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发放" sheetId="3" r:id="rId1"/>
    <sheet name="KSO_Salary_Config" sheetId="4" state="veryHidden" r:id="rId2"/>
  </sheets>
  <externalReferences>
    <externalReference r:id="rId3"/>
  </externalReferences>
  <definedNames>
    <definedName name="_xlnm._FilterDatabase" localSheetId="0" hidden="1">发放!$A$1:$BB$51</definedName>
    <definedName name="_xlnm.Print_Area" localSheetId="0">发放!$A$1:$BB$52</definedName>
    <definedName name="_xlnm.Print_Titles" localSheetId="0">发放!$1:$3</definedName>
  </definedNames>
  <calcPr calcId="144525" fullPrecision="0"/>
</workbook>
</file>

<file path=xl/comments1.xml><?xml version="1.0" encoding="utf-8"?>
<comments xmlns="http://schemas.openxmlformats.org/spreadsheetml/2006/main">
  <authors>
    <author>Administrator</author>
  </authors>
  <commentList>
    <comment ref="AH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补22年1-6月</t>
        </r>
      </text>
    </comment>
    <comment ref="U3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夜班补贴3天</t>
        </r>
      </text>
    </comment>
    <comment ref="U3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夜班补贴3天</t>
        </r>
      </text>
    </comment>
    <comment ref="U3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夜班补贴5天</t>
        </r>
      </text>
    </comment>
    <comment ref="U3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夜班补贴3天</t>
        </r>
      </text>
    </comment>
    <comment ref="U4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6月多扣19元，未调基数但是扣了。</t>
        </r>
      </text>
    </comment>
  </commentList>
</comments>
</file>

<file path=xl/sharedStrings.xml><?xml version="1.0" encoding="utf-8"?>
<sst xmlns="http://schemas.openxmlformats.org/spreadsheetml/2006/main" count="521" uniqueCount="362">
  <si>
    <t>成都光华智能汽车部件有限公司2022年7月工资明细表</t>
  </si>
  <si>
    <t>序号</t>
  </si>
  <si>
    <t>姓名</t>
  </si>
  <si>
    <t>部门</t>
  </si>
  <si>
    <t>岗位</t>
  </si>
  <si>
    <t>身份证号码</t>
  </si>
  <si>
    <t>工资卡号（中行）</t>
  </si>
  <si>
    <t>考勤天数</t>
  </si>
  <si>
    <t>基本
工资</t>
  </si>
  <si>
    <t>岗位
工资</t>
  </si>
  <si>
    <t>绩效
工资</t>
  </si>
  <si>
    <t>全勤</t>
  </si>
  <si>
    <t>交通
补贴</t>
  </si>
  <si>
    <t>特殊岗位津贴</t>
  </si>
  <si>
    <t>厂龄补贴</t>
  </si>
  <si>
    <t>夜班津贴</t>
  </si>
  <si>
    <t>加班费</t>
  </si>
  <si>
    <t>奖罚</t>
  </si>
  <si>
    <t>缺勤扣款</t>
  </si>
  <si>
    <t>其他</t>
  </si>
  <si>
    <t>7月
应发工资</t>
  </si>
  <si>
    <t>社保、公积金公司部分</t>
  </si>
  <si>
    <t>各项扣款</t>
  </si>
  <si>
    <t>上期累计收入额</t>
  </si>
  <si>
    <t>上期累计专项扣除</t>
  </si>
  <si>
    <t>上期累计减除费用</t>
  </si>
  <si>
    <t>上期累计金额</t>
  </si>
  <si>
    <t>本期累计收入额</t>
  </si>
  <si>
    <t>本期专项附加</t>
  </si>
  <si>
    <t>起征累计</t>
  </si>
  <si>
    <t>应纳税所得额</t>
  </si>
  <si>
    <t>应纳税额</t>
  </si>
  <si>
    <t>已缴税额</t>
  </si>
  <si>
    <t>应补/退个税</t>
  </si>
  <si>
    <t>工会
会费</t>
  </si>
  <si>
    <t>7月
实发工资</t>
  </si>
  <si>
    <t>备注</t>
  </si>
  <si>
    <t>岗位性质</t>
  </si>
  <si>
    <t>岗位划分</t>
  </si>
  <si>
    <t>养老</t>
  </si>
  <si>
    <t>失业</t>
  </si>
  <si>
    <t>医疗</t>
  </si>
  <si>
    <t>大病</t>
  </si>
  <si>
    <t>工伤</t>
  </si>
  <si>
    <t>生育</t>
  </si>
  <si>
    <t>公积金</t>
  </si>
  <si>
    <t>调基数补扣</t>
  </si>
  <si>
    <t>7.8月
扣款小计</t>
  </si>
  <si>
    <t>子女教育</t>
  </si>
  <si>
    <t>赡养老人</t>
  </si>
  <si>
    <t>住房贷款利息</t>
  </si>
  <si>
    <t>住房租金</t>
  </si>
  <si>
    <t>继续教育</t>
  </si>
  <si>
    <t>专项附加累计</t>
  </si>
  <si>
    <t>周继菊</t>
  </si>
  <si>
    <t>综合</t>
  </si>
  <si>
    <t>科长</t>
  </si>
  <si>
    <t>间接</t>
  </si>
  <si>
    <t>科级</t>
  </si>
  <si>
    <t>513401198901276424</t>
  </si>
  <si>
    <t>6216693100007496686</t>
  </si>
  <si>
    <t>彭远清</t>
  </si>
  <si>
    <t>保洁（兼职）</t>
  </si>
  <si>
    <t>二线</t>
  </si>
  <si>
    <t>51011219750808072X</t>
  </si>
  <si>
    <t>6217563100017328890</t>
  </si>
  <si>
    <t/>
  </si>
  <si>
    <t>综合管理科小计</t>
  </si>
  <si>
    <t>杨辉</t>
  </si>
  <si>
    <t>财务</t>
  </si>
  <si>
    <t>511025198308102623</t>
  </si>
  <si>
    <t>6217903100032985160</t>
  </si>
  <si>
    <t>财务管理科小计</t>
  </si>
  <si>
    <t>陈文君</t>
  </si>
  <si>
    <t>销售</t>
  </si>
  <si>
    <t>销售内勤</t>
  </si>
  <si>
    <t>511324199404276003</t>
  </si>
  <si>
    <t>6215683100023258072</t>
  </si>
  <si>
    <t>销售服务科小计</t>
  </si>
  <si>
    <t>曾超</t>
  </si>
  <si>
    <t>生产运营</t>
  </si>
  <si>
    <t>511025198611141414</t>
  </si>
  <si>
    <t>6217903100009286469</t>
  </si>
  <si>
    <t>方兰</t>
  </si>
  <si>
    <t>操作工</t>
  </si>
  <si>
    <t>直接</t>
  </si>
  <si>
    <t>一线</t>
  </si>
  <si>
    <t>510112198109290361</t>
  </si>
  <si>
    <t>6216613100015122214</t>
  </si>
  <si>
    <t>肖全英</t>
  </si>
  <si>
    <t>总装班长</t>
  </si>
  <si>
    <t>511011199001072825</t>
  </si>
  <si>
    <t>6217853100025205808</t>
  </si>
  <si>
    <t>事假2天</t>
  </si>
  <si>
    <t>李绍碧</t>
  </si>
  <si>
    <t>512223197410152162</t>
  </si>
  <si>
    <t>6217583100007227116</t>
  </si>
  <si>
    <t>陈平丽</t>
  </si>
  <si>
    <t>终检</t>
  </si>
  <si>
    <t>510112198006092426</t>
  </si>
  <si>
    <t>6217583100027918298</t>
  </si>
  <si>
    <t>文丽</t>
  </si>
  <si>
    <t>510122198108266426</t>
  </si>
  <si>
    <t>6217583100009114882</t>
  </si>
  <si>
    <t>陈义</t>
  </si>
  <si>
    <t>工段长</t>
  </si>
  <si>
    <t>510112198007100782</t>
  </si>
  <si>
    <r>
      <rPr>
        <sz val="10"/>
        <color indexed="8"/>
        <rFont val="宋体"/>
        <charset val="134"/>
      </rPr>
      <t>6</t>
    </r>
    <r>
      <rPr>
        <sz val="10"/>
        <color indexed="8"/>
        <rFont val="宋体"/>
        <charset val="134"/>
      </rPr>
      <t>216613100009115661</t>
    </r>
  </si>
  <si>
    <t>刘芳</t>
  </si>
  <si>
    <t>510321198707044889</t>
  </si>
  <si>
    <t>6216603100007178390</t>
  </si>
  <si>
    <t>邓春梅</t>
  </si>
  <si>
    <t>510722198003221064</t>
  </si>
  <si>
    <t>6217853100026106187</t>
  </si>
  <si>
    <t>周春梅</t>
  </si>
  <si>
    <t>6217853100026124990</t>
  </si>
  <si>
    <t>叶美群</t>
  </si>
  <si>
    <t>6217853100026218347</t>
  </si>
  <si>
    <t>干达莉</t>
  </si>
  <si>
    <t>上料工</t>
  </si>
  <si>
    <t>511027197608020943</t>
  </si>
  <si>
    <t>6216693100007295401</t>
  </si>
  <si>
    <t>方华</t>
  </si>
  <si>
    <t>510112197903290321</t>
  </si>
  <si>
    <t>6215683100021585336</t>
  </si>
  <si>
    <t>刘光琼</t>
  </si>
  <si>
    <t>510112197703172443</t>
  </si>
  <si>
    <t>6013823100103680062</t>
  </si>
  <si>
    <t>杨晓英</t>
  </si>
  <si>
    <t>510321198111193680</t>
  </si>
  <si>
    <t>6215683100021590955</t>
  </si>
  <si>
    <t>汪德桂</t>
  </si>
  <si>
    <t>513902198602072927</t>
  </si>
  <si>
    <t>6215683100030530919</t>
  </si>
  <si>
    <t>邵林</t>
  </si>
  <si>
    <t>座椅装配工</t>
  </si>
  <si>
    <t>51390119921010457x</t>
  </si>
  <si>
    <t>6217903100031200728</t>
  </si>
  <si>
    <t>工资结算至8月1号</t>
  </si>
  <si>
    <t>陈辉</t>
  </si>
  <si>
    <t>维修电工</t>
  </si>
  <si>
    <t>510623197809204817</t>
  </si>
  <si>
    <t>6216693100007594191</t>
  </si>
  <si>
    <t>李飞</t>
  </si>
  <si>
    <t>副科长</t>
  </si>
  <si>
    <t>511028199004058022</t>
  </si>
  <si>
    <t>6216603100005890343</t>
  </si>
  <si>
    <t>易小利</t>
  </si>
  <si>
    <t>配料工</t>
  </si>
  <si>
    <t>522122198910025287</t>
  </si>
  <si>
    <t>6217853100017450263</t>
  </si>
  <si>
    <t>廖世金</t>
  </si>
  <si>
    <t>6215683100021417175</t>
  </si>
  <si>
    <t>郭林凤</t>
  </si>
  <si>
    <t>采购</t>
  </si>
  <si>
    <t>632801198810060589</t>
  </si>
  <si>
    <t>6215683100023267917</t>
  </si>
  <si>
    <t>付山春</t>
  </si>
  <si>
    <t>物料筹措</t>
  </si>
  <si>
    <t>510112198611164643</t>
  </si>
  <si>
    <t xml:space="preserve"> 6215683100030517148 </t>
  </si>
  <si>
    <t>袁美中</t>
  </si>
  <si>
    <t>排序工</t>
  </si>
  <si>
    <t>510211197311109057</t>
  </si>
  <si>
    <t>6215683100020246138</t>
  </si>
  <si>
    <t>钟红梅</t>
  </si>
  <si>
    <t>库管员</t>
  </si>
  <si>
    <t>51102719820305770X</t>
  </si>
  <si>
    <t>6217583100008042498</t>
  </si>
  <si>
    <t>艾涵英</t>
  </si>
  <si>
    <t>513902199003283989</t>
  </si>
  <si>
    <t xml:space="preserve">6217853100033891805 </t>
  </si>
  <si>
    <t>7月出勤14天</t>
  </si>
  <si>
    <t>生产运营科小计</t>
  </si>
  <si>
    <t>谭文波</t>
  </si>
  <si>
    <t>技术质量</t>
  </si>
  <si>
    <t>510622198204014517</t>
  </si>
  <si>
    <t>6216603100007119121</t>
  </si>
  <si>
    <t>张菊香</t>
  </si>
  <si>
    <t>SQE</t>
  </si>
  <si>
    <t>510921198605014024</t>
  </si>
  <si>
    <t>6217903100033605163</t>
  </si>
  <si>
    <t>车月</t>
  </si>
  <si>
    <t>质量工程师</t>
  </si>
  <si>
    <t>510183199310080032</t>
  </si>
  <si>
    <t>6217903100027512045</t>
  </si>
  <si>
    <t>陈梦菲</t>
  </si>
  <si>
    <t>现场服务（兼职）</t>
  </si>
  <si>
    <t>510112199405270722</t>
  </si>
  <si>
    <t>6217853100025378134</t>
  </si>
  <si>
    <t>任威利</t>
  </si>
  <si>
    <t>来料检</t>
  </si>
  <si>
    <t>513022198903283548</t>
  </si>
  <si>
    <t>6215683100019282433</t>
  </si>
  <si>
    <t xml:space="preserve"> </t>
  </si>
  <si>
    <t>汪薛敏</t>
  </si>
  <si>
    <t>513902198504171745</t>
  </si>
  <si>
    <t>6216693100008670628</t>
  </si>
  <si>
    <t>孙林</t>
  </si>
  <si>
    <t>511923199801306348</t>
  </si>
  <si>
    <t>6215683100026473637</t>
  </si>
  <si>
    <t>王道慧</t>
  </si>
  <si>
    <t>返修</t>
  </si>
  <si>
    <t>510112199112013028</t>
  </si>
  <si>
    <t>6215683100017136466</t>
  </si>
  <si>
    <t>周兰</t>
  </si>
  <si>
    <t>巡检</t>
  </si>
  <si>
    <t>513029197406014945</t>
  </si>
  <si>
    <t>6216693100007542026</t>
  </si>
  <si>
    <t>技术质量科小计</t>
  </si>
  <si>
    <t>合   计</t>
  </si>
  <si>
    <t>审批：                        审核：                             出纳：                         复核：                            制表：                         日期：</t>
  </si>
  <si>
    <t>$A$3</t>
  </si>
  <si>
    <t>$B$3</t>
  </si>
  <si>
    <t>$C$3</t>
  </si>
  <si>
    <t>$D$3</t>
  </si>
  <si>
    <t>$E$3</t>
  </si>
  <si>
    <t>$F$3</t>
  </si>
  <si>
    <t>标题区域</t>
  </si>
  <si>
    <t>$A$3:$CD$4</t>
  </si>
  <si>
    <t>$G$3</t>
  </si>
  <si>
    <t>数据开始行</t>
  </si>
  <si>
    <t>$H$3</t>
  </si>
  <si>
    <t>$I$3</t>
  </si>
  <si>
    <t>$J$3</t>
  </si>
  <si>
    <t>餐补</t>
  </si>
  <si>
    <t>$K$3</t>
  </si>
  <si>
    <t>各项津补贴</t>
  </si>
  <si>
    <t>$L$3</t>
  </si>
  <si>
    <t>标题区域左上角值</t>
  </si>
  <si>
    <t>$M$3</t>
  </si>
  <si>
    <t>标题区域右下角值</t>
  </si>
  <si>
    <t>$N$3</t>
  </si>
  <si>
    <t>交通补贴</t>
  </si>
  <si>
    <t>$O$3</t>
  </si>
  <si>
    <t>$P$3</t>
  </si>
  <si>
    <t>工资表头json</t>
  </si>
  <si>
    <t>{"list":[{"id":"1","label":"序号","address":"$A$3","selected":2},{"id":"2","label":"姓名","address":"$B$3","selected":2},{"id":"3","label":"部门","address":"$C$3","selected":2},{"id":"4","label":"岗位","address":"$D$3","selected":2},{"id":"5","label":"身份证号码","address":"$E$3","selected":2},{"id":"6","label":"工资卡号（中行）","address":"$F$3","selected":2},{"id":"7","label":"考勤天数","address":"$G$3","selected":2},{"id":"8","label":"基本\n工资","address":"$H$3","selected":2},{"id":"9","label":"岗位\n工资","address":"$I$3","selected":2},{"id":"10","label":"绩效\n工资","address":"$J$3","selected":2},{"id":"11","label":"餐补","address":"$K$3","selected":2},{"id":"12","label":"各项津补贴","address":"$L$3","selected":2},{"id":"13","label":"厂龄补贴","address":"$M$3","selected":2},{"id":"14","label":"夜班津贴","address":"$N$3","selected":2},{"id":"15","label":"交通补贴","address":"$O$3","selected":2},{"id":"16","label":"缺勤扣款","address":"$P$3","selected":2},{"id":"17","label":"其他","address":"$Q$3","selected":2},{"id":"18","label":"5月\n应发工资","address":"$R$3","selected":2},{"id":"19","label":"各项扣款","address":"$S$3","selected":2,"children":[{"id":"19","label":"养老","address":"$S$4","selected":2},{"id":"20","label":"医疗","address":"$T$4","selected":2},{"id":"21","label":"失业","address":"$U$4","selected":2},{"id":"22","label":"公积金","address":"$V$4","selected":2},{"id":"23","label":"5.6月\n扣款小计","address":"$W$4","selected":2}]},{"id":"24","label":"税前工资","address":"$X$3","selected":2},{"id":"25","label":"1月应税工资","address":"$Y$3","selected":2},{"id":"26","label":"2月应税工资","address":"$Z$3","selected":2},{"id":"27","label":"3月应税工资","address":"$AA$3","selected":2},{"id":"28","label":"4月应税工资","address":"$AB$3","selected":2},{"id":"29","label":"5月应税工资","address":"$AC$3","selected":2},{"id":"30","label":"6月应税工资","address":"$AD$3","selected":2},{"id":"31","label":"7月应税工资","address":"$AE$3","selected":2},{"id":"32","label":"8月应税工资","address":"$AF$3","selected":2},{"id":"33","label":"9月应税工资","address":"$AG$3","selected":2},{"id":"34","label":"10月应税工资","address":"$AH$3","selected":2},{"id":"35","label":"11月应税工资","address":"$AI$3","selected":2},{"id":"36","label":"12月应税工资","address":"$AJ$3","selected":2},{"id":"37","label":"累计应税工资","address":"$AK$3","selected":2},{"id":"38","label":"1月专项附加","address":"$AL$3","selected":2},{"id":"39","label":"2月专项附加","address":"$AM$3","selected":2},{"id":"40","label":"3月专项附加","address":"$AN$3","selected":2},{"id":"41","label":"4月专项附加","address":"$AO$3","selected":2},{"id":"42","label":"5月专项附加","address":"$AP$3","selected":2},{"id":"43","label":"6月专项附加","address":"$AQ$3","selected":2},{"id":"44","label":"7月专项附加","address":"$AR$3","selected":2},{"id":"45","label":"8月专项附加","address":"$AS$3","selected":2},{"id":"46","label":"9月专项附加","address":"$AT$3","selected":2},{"id":"47","label":"10月专项附加","address":"$AU$3","selected":2},{"id":"48","label":"11月专项附加","address":"$AV$3","selected":2},{"id":"49","label":"12月专项附加","address":"$AW$3","selected":2},{"id":"50","label":"累计专项附加","address":"$AX$3","selected":2},{"id":"51","label":"1月起征","address":"$AY$3","selected":2},{"id":"52","label":"2月起征","address":"$AZ$3","selected":2},{"id":"53","label":"3月起征","address":"$BA$3","selected":2},{"id":"54","label":"4月起征","address":"$BB$3","selected":2},{"id":"55","label":"5月起征","address":"$BC$3","selected":2},{"id":"56","label":"6月起征","address":"$BD$3","selected":2},{"id":"57","label":"7月起征","address":"$BE$3","selected":2},{"id":"58","label":"8月起征","address":"$BF$3","selected":2},{"id":"59","label":"9月起征","address":"$BG$3","selected":2},{"id":"60","label":"10月起征","address":"$BH$3","selected":2},{"id":"61","label":"11月起征","address":"$BI$3","selected":2},{"id":"62","label":"12月起征","address":"$BJ$3","selected":2},{"id":"63","label":"起征累计","address":"$BK$3","selected":2},{"id":"64","label":"累计应税工资","address":"$BL$3","selected":2},{"id":"65","label":"累计应缴个税","address":"$BM$3","selected":2},{"id":"66","label":"1月已扣税","address":"$BN$3","selected":2},{"id":"67","label":"2月已扣税","address":"$BO$3","selected":2},{"id":"68","label":"3月已扣税","address":"$BP$3","selected":2},{"id":"69","label":"4月已扣税","address":"$BQ$3","selected":2},{"id":"70","label":"5月已扣税","address":"$BR$3","selected":2},{"id":"71","label":"6月已扣税","address":"$BS$3","selected":2},{"id":"72","label":"7月已扣税","address":"$BT$3","selected":2},{"id":"73","label":"8月已扣税","address":"$BU$3","selected":2},{"id":"74","label":"9月已扣税","address":"$BV$3","selected":2},{"id":"75","label":"10月已扣税","address":"$BW$3","selected":2},{"id":"76","label":"11月已扣税","address":"$BX$3","selected":2},{"id":"77","label":"12月已扣税","address":"$BY$3","selected":2},{"id":"78","label":"累计已扣税","address":"$BZ$3","selected":2},{"id":"79","label":"5月应缴个税","address":"$CA$3","selected":2},{"id":"80","label":"工会\n会费","address":"$CB$3","selected":2},{"id":"81","label":"5月\n实发工资","address":"$CC$3","selected":2},{"id":"82","label":"备注","address":"$CD$3","selected":2}]}</t>
  </si>
  <si>
    <t>$Q$3</t>
  </si>
  <si>
    <t>5月
应发工资</t>
  </si>
  <si>
    <t>$R$3</t>
  </si>
  <si>
    <t>$S$3</t>
  </si>
  <si>
    <t>$S$4</t>
  </si>
  <si>
    <t>$T$4</t>
  </si>
  <si>
    <t>$U$4</t>
  </si>
  <si>
    <t>$V$4</t>
  </si>
  <si>
    <t>5.6月
扣款小计</t>
  </si>
  <si>
    <t>$W$4</t>
  </si>
  <si>
    <t>税前工资</t>
  </si>
  <si>
    <t>$X$3</t>
  </si>
  <si>
    <t>1月应税工资</t>
  </si>
  <si>
    <t>$Y$3</t>
  </si>
  <si>
    <t>2月应税工资</t>
  </si>
  <si>
    <t>$Z$3</t>
  </si>
  <si>
    <t>3月应税工资</t>
  </si>
  <si>
    <t>$AA$3</t>
  </si>
  <si>
    <t>4月应税工资</t>
  </si>
  <si>
    <t>$AB$3</t>
  </si>
  <si>
    <t>5月应税工资</t>
  </si>
  <si>
    <t>$AC$3</t>
  </si>
  <si>
    <t>6月应税工资</t>
  </si>
  <si>
    <t>$AD$3</t>
  </si>
  <si>
    <t>7月应税工资</t>
  </si>
  <si>
    <t>$AE$3</t>
  </si>
  <si>
    <t>8月应税工资</t>
  </si>
  <si>
    <t>$AF$3</t>
  </si>
  <si>
    <t>9月应税工资</t>
  </si>
  <si>
    <t>$AG$3</t>
  </si>
  <si>
    <t>10月应税工资</t>
  </si>
  <si>
    <t>$AH$3</t>
  </si>
  <si>
    <t>11月应税工资</t>
  </si>
  <si>
    <t>$AI$3</t>
  </si>
  <si>
    <t>12月应税工资</t>
  </si>
  <si>
    <t>$AJ$3</t>
  </si>
  <si>
    <t>累计应税工资</t>
  </si>
  <si>
    <t>$AK$3</t>
  </si>
  <si>
    <t>1月专项附加</t>
  </si>
  <si>
    <t>$AL$3</t>
  </si>
  <si>
    <t>2月专项附加</t>
  </si>
  <si>
    <t>$AM$3</t>
  </si>
  <si>
    <t>3月专项附加</t>
  </si>
  <si>
    <t>$AN$3</t>
  </si>
  <si>
    <t>4月专项附加</t>
  </si>
  <si>
    <t>$AO$3</t>
  </si>
  <si>
    <t>5月专项附加</t>
  </si>
  <si>
    <t>$AP$3</t>
  </si>
  <si>
    <t>6月专项附加</t>
  </si>
  <si>
    <t>$AQ$3</t>
  </si>
  <si>
    <t>7月专项附加</t>
  </si>
  <si>
    <t>$AR$3</t>
  </si>
  <si>
    <t>8月专项附加</t>
  </si>
  <si>
    <t>$AS$3</t>
  </si>
  <si>
    <t>9月专项附加</t>
  </si>
  <si>
    <t>$AT$3</t>
  </si>
  <si>
    <t>10月专项附加</t>
  </si>
  <si>
    <t>$AU$3</t>
  </si>
  <si>
    <t>11月专项附加</t>
  </si>
  <si>
    <t>$AV$3</t>
  </si>
  <si>
    <t>12月专项附加</t>
  </si>
  <si>
    <t>$AW$3</t>
  </si>
  <si>
    <t>累计专项附加</t>
  </si>
  <si>
    <t>$AX$3</t>
  </si>
  <si>
    <t>1月起征</t>
  </si>
  <si>
    <t>$AY$3</t>
  </si>
  <si>
    <t>2月起征</t>
  </si>
  <si>
    <t>$AZ$3</t>
  </si>
  <si>
    <t>3月起征</t>
  </si>
  <si>
    <t>$BA$3</t>
  </si>
  <si>
    <t>4月起征</t>
  </si>
  <si>
    <t>$BB$3</t>
  </si>
  <si>
    <t>5月起征</t>
  </si>
  <si>
    <t>$BC$3</t>
  </si>
  <si>
    <t>6月起征</t>
  </si>
  <si>
    <t>$BD$3</t>
  </si>
  <si>
    <t>7月起征</t>
  </si>
  <si>
    <t>$BE$3</t>
  </si>
  <si>
    <t>8月起征</t>
  </si>
  <si>
    <t>$BF$3</t>
  </si>
  <si>
    <t>9月起征</t>
  </si>
  <si>
    <t>$BG$3</t>
  </si>
  <si>
    <t>10月起征</t>
  </si>
  <si>
    <t>$BH$3</t>
  </si>
  <si>
    <t>11月起征</t>
  </si>
  <si>
    <t>$BI$3</t>
  </si>
  <si>
    <t>12月起征</t>
  </si>
  <si>
    <t>$BJ$3</t>
  </si>
  <si>
    <t>$BK$3</t>
  </si>
  <si>
    <t>$BL$3</t>
  </si>
  <si>
    <t>累计应缴个税</t>
  </si>
  <si>
    <t>$BM$3</t>
  </si>
  <si>
    <t>1月已扣税</t>
  </si>
  <si>
    <t>$BN$3</t>
  </si>
  <si>
    <t>2月已扣税</t>
  </si>
  <si>
    <t>$BO$3</t>
  </si>
  <si>
    <t>3月已扣税</t>
  </si>
  <si>
    <t>$BP$3</t>
  </si>
  <si>
    <t>4月已扣税</t>
  </si>
  <si>
    <t>$BQ$3</t>
  </si>
  <si>
    <t>5月已扣税</t>
  </si>
  <si>
    <t>$BR$3</t>
  </si>
  <si>
    <t>6月已扣税</t>
  </si>
  <si>
    <t>$BS$3</t>
  </si>
  <si>
    <t>7月已扣税</t>
  </si>
  <si>
    <t>$BT$3</t>
  </si>
  <si>
    <t>8月已扣税</t>
  </si>
  <si>
    <t>$BU$3</t>
  </si>
  <si>
    <t>9月已扣税</t>
  </si>
  <si>
    <t>$BV$3</t>
  </si>
  <si>
    <t>10月已扣税</t>
  </si>
  <si>
    <t>$BW$3</t>
  </si>
  <si>
    <t>11月已扣税</t>
  </si>
  <si>
    <t>$BX$3</t>
  </si>
  <si>
    <t>12月已扣税</t>
  </si>
  <si>
    <t>$BY$3</t>
  </si>
  <si>
    <t>累计已扣税</t>
  </si>
  <si>
    <t>$BZ$3</t>
  </si>
  <si>
    <t>5月应缴个税</t>
  </si>
  <si>
    <t>$CA$3</t>
  </si>
  <si>
    <t>$CB$3</t>
  </si>
  <si>
    <t>5月
实发工资</t>
  </si>
  <si>
    <t>$CC$3</t>
  </si>
  <si>
    <t>$CD$3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</si>
</sst>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36">
    <font>
      <sz val="11"/>
      <color indexed="8"/>
      <name val="宋体"/>
      <charset val="134"/>
    </font>
    <font>
      <sz val="24"/>
      <color indexed="8"/>
      <name val="宋体"/>
      <charset val="134"/>
    </font>
    <font>
      <b/>
      <sz val="10"/>
      <color indexed="8"/>
      <name val="宋体"/>
      <charset val="134"/>
    </font>
    <font>
      <b/>
      <sz val="11"/>
      <color indexed="8"/>
      <name val="宋体"/>
      <charset val="134"/>
    </font>
    <font>
      <b/>
      <sz val="20"/>
      <color indexed="8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b/>
      <sz val="10"/>
      <color rgb="FFFF0000"/>
      <name val="宋体"/>
      <charset val="134"/>
    </font>
    <font>
      <sz val="11"/>
      <color indexed="62"/>
      <name val="宋体"/>
      <charset val="134"/>
    </font>
    <font>
      <sz val="10"/>
      <name val="楷体_GB2312"/>
      <charset val="134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indexed="56"/>
      <name val="宋体"/>
      <charset val="134"/>
    </font>
    <font>
      <sz val="10"/>
      <name val="Arial"/>
      <charset val="134"/>
    </font>
    <font>
      <sz val="11"/>
      <color indexed="20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4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auto="1"/>
      </top>
      <bottom style="thin">
        <color indexed="8"/>
      </bottom>
      <diagonal/>
    </border>
    <border>
      <left/>
      <right/>
      <top style="medium">
        <color auto="1"/>
      </top>
      <bottom style="thin">
        <color indexed="8"/>
      </bottom>
      <diagonal/>
    </border>
    <border>
      <left/>
      <right style="thin">
        <color auto="1"/>
      </right>
      <top style="medium">
        <color auto="1"/>
      </top>
      <bottom style="thin">
        <color indexed="8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0" fontId="11" fillId="0" borderId="0" applyFill="0" applyAlignment="0">
      <alignment vertical="center"/>
    </xf>
    <xf numFmtId="0" fontId="12" fillId="3" borderId="0" applyNumberFormat="0" applyBorder="0" applyAlignment="0" applyProtection="0">
      <alignment vertical="center"/>
    </xf>
    <xf numFmtId="0" fontId="13" fillId="4" borderId="26" applyNumberFormat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" fillId="8" borderId="27" applyNumberFormat="0" applyFont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0" borderId="0" applyFill="0" applyAlignment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0" borderId="0" applyFill="0" applyAlignment="0">
      <alignment vertical="center"/>
    </xf>
    <xf numFmtId="0" fontId="0" fillId="0" borderId="0" applyFill="0" applyAlignment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28" applyNumberFormat="0" applyFill="0" applyAlignment="0" applyProtection="0">
      <alignment vertical="center"/>
    </xf>
    <xf numFmtId="0" fontId="23" fillId="0" borderId="28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8" fillId="0" borderId="29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4" fillId="12" borderId="30" applyNumberFormat="0" applyAlignment="0" applyProtection="0">
      <alignment vertical="center"/>
    </xf>
    <xf numFmtId="0" fontId="0" fillId="0" borderId="0" applyFill="0" applyAlignment="0">
      <alignment vertical="center"/>
    </xf>
    <xf numFmtId="0" fontId="25" fillId="12" borderId="26" applyNumberFormat="0" applyAlignment="0" applyProtection="0">
      <alignment vertical="center"/>
    </xf>
    <xf numFmtId="0" fontId="26" fillId="13" borderId="31" applyNumberFormat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7" fillId="0" borderId="32" applyNumberFormat="0" applyFill="0" applyAlignment="0" applyProtection="0">
      <alignment vertical="center"/>
    </xf>
    <xf numFmtId="0" fontId="28" fillId="0" borderId="33" applyNumberFormat="0" applyFill="0" applyAlignment="0" applyProtection="0">
      <alignment vertical="center"/>
    </xf>
    <xf numFmtId="0" fontId="0" fillId="0" borderId="0" applyFill="0" applyAlignment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11" fillId="0" borderId="0" applyFill="0" applyAlignment="0">
      <alignment vertical="center"/>
    </xf>
    <xf numFmtId="0" fontId="12" fillId="18" borderId="0" applyNumberFormat="0" applyBorder="0" applyAlignment="0" applyProtection="0">
      <alignment vertical="center"/>
    </xf>
    <xf numFmtId="0" fontId="0" fillId="0" borderId="0" applyAlignment="0"/>
    <xf numFmtId="0" fontId="11" fillId="0" borderId="0" applyFill="0" applyAlignment="0">
      <alignment vertical="center"/>
    </xf>
    <xf numFmtId="0" fontId="15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1" fillId="0" borderId="0" applyFill="0" applyAlignment="0">
      <alignment vertical="center"/>
    </xf>
    <xf numFmtId="0" fontId="12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1" fillId="0" borderId="0" applyFill="0" applyAlignment="0">
      <alignment vertical="center"/>
    </xf>
    <xf numFmtId="0" fontId="12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0" fillId="0" borderId="0" applyFill="0" applyAlignment="0">
      <alignment vertical="center"/>
    </xf>
    <xf numFmtId="0" fontId="15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0" fillId="0" borderId="0" applyFill="0" applyAlignment="0">
      <alignment vertical="center"/>
    </xf>
    <xf numFmtId="0" fontId="15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0" fillId="0" borderId="0" applyFill="0" applyAlignment="0">
      <alignment vertical="center"/>
    </xf>
    <xf numFmtId="0" fontId="15" fillId="33" borderId="0" applyNumberFormat="0" applyBorder="0" applyAlignment="0" applyProtection="0">
      <alignment vertical="center"/>
    </xf>
    <xf numFmtId="0" fontId="0" fillId="0" borderId="0" applyFill="0" applyAlignment="0">
      <alignment vertical="center"/>
    </xf>
    <xf numFmtId="0" fontId="0" fillId="0" borderId="0" applyFill="0" applyAlignment="0">
      <alignment vertical="center"/>
    </xf>
    <xf numFmtId="0" fontId="11" fillId="0" borderId="0" applyFill="0" applyAlignment="0">
      <alignment vertical="center"/>
    </xf>
    <xf numFmtId="0" fontId="0" fillId="0" borderId="0" applyFill="0" applyAlignment="0">
      <alignment vertical="center"/>
    </xf>
    <xf numFmtId="0" fontId="0" fillId="0" borderId="0" applyFill="0" applyAlignment="0">
      <alignment vertical="center"/>
    </xf>
    <xf numFmtId="0" fontId="0" fillId="0" borderId="0" applyFill="0" applyAlignment="0">
      <alignment vertical="center"/>
    </xf>
    <xf numFmtId="0" fontId="11" fillId="0" borderId="0" applyFill="0" applyAlignment="0">
      <alignment vertical="center"/>
    </xf>
    <xf numFmtId="0" fontId="11" fillId="0" borderId="0" applyFill="0" applyAlignment="0">
      <alignment vertical="center"/>
    </xf>
    <xf numFmtId="0" fontId="31" fillId="0" borderId="0" applyFill="0" applyAlignment="0">
      <alignment vertical="center"/>
    </xf>
    <xf numFmtId="0" fontId="32" fillId="0" borderId="0"/>
    <xf numFmtId="0" fontId="33" fillId="0" borderId="0" applyFill="0" applyAlignment="0">
      <alignment vertical="center"/>
    </xf>
    <xf numFmtId="0" fontId="11" fillId="0" borderId="0" applyFill="0" applyAlignment="0">
      <alignment vertical="center"/>
    </xf>
    <xf numFmtId="0" fontId="11" fillId="0" borderId="0" applyFill="0" applyAlignment="0">
      <alignment vertical="center"/>
    </xf>
    <xf numFmtId="0" fontId="11" fillId="0" borderId="0" applyFill="0" applyAlignment="0">
      <alignment vertical="center"/>
    </xf>
  </cellStyleXfs>
  <cellXfs count="89">
    <xf numFmtId="0" fontId="0" fillId="0" borderId="0" xfId="0" applyAlignment="1"/>
    <xf numFmtId="0" fontId="0" fillId="0" borderId="0" xfId="0" applyAlignment="1">
      <alignment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shrinkToFit="1"/>
    </xf>
    <xf numFmtId="0" fontId="0" fillId="0" borderId="0" xfId="0" applyFill="1" applyAlignment="1"/>
    <xf numFmtId="49" fontId="0" fillId="0" borderId="0" xfId="0" applyNumberFormat="1" applyAlignment="1"/>
    <xf numFmtId="0" fontId="3" fillId="0" borderId="0" xfId="0" applyFont="1" applyAlignment="1"/>
    <xf numFmtId="0" fontId="4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shrinkToFit="1"/>
    </xf>
    <xf numFmtId="0" fontId="5" fillId="0" borderId="7" xfId="0" applyFont="1" applyFill="1" applyBorder="1" applyAlignment="1">
      <alignment horizontal="center" vertical="center" shrinkToFit="1"/>
    </xf>
    <xf numFmtId="0" fontId="5" fillId="0" borderId="5" xfId="0" applyFont="1" applyFill="1" applyBorder="1" applyAlignment="1">
      <alignment horizontal="center" vertical="center" shrinkToFit="1"/>
    </xf>
    <xf numFmtId="49" fontId="5" fillId="0" borderId="5" xfId="0" applyNumberFormat="1" applyFont="1" applyFill="1" applyBorder="1" applyAlignment="1">
      <alignment horizontal="center" vertical="center" shrinkToFit="1"/>
    </xf>
    <xf numFmtId="0" fontId="2" fillId="0" borderId="4" xfId="0" applyFont="1" applyFill="1" applyBorder="1" applyAlignment="1">
      <alignment horizontal="center" vertical="center" shrinkToFit="1"/>
    </xf>
    <xf numFmtId="0" fontId="2" fillId="0" borderId="7" xfId="0" applyFont="1" applyFill="1" applyBorder="1" applyAlignment="1">
      <alignment horizontal="center" vertical="center" shrinkToFit="1"/>
    </xf>
    <xf numFmtId="0" fontId="2" fillId="0" borderId="8" xfId="0" applyFont="1" applyFill="1" applyBorder="1" applyAlignment="1">
      <alignment horizontal="center" vertical="center" shrinkToFit="1"/>
    </xf>
    <xf numFmtId="0" fontId="2" fillId="0" borderId="5" xfId="0" applyFont="1" applyFill="1" applyBorder="1" applyAlignment="1">
      <alignment horizontal="center" vertical="center" shrinkToFit="1"/>
    </xf>
    <xf numFmtId="49" fontId="2" fillId="0" borderId="5" xfId="0" applyNumberFormat="1" applyFont="1" applyFill="1" applyBorder="1" applyAlignment="1">
      <alignment horizontal="center" vertical="center" shrinkToFit="1"/>
    </xf>
    <xf numFmtId="0" fontId="6" fillId="0" borderId="5" xfId="0" applyFont="1" applyFill="1" applyBorder="1" applyAlignment="1">
      <alignment horizontal="center" vertical="center" shrinkToFit="1"/>
    </xf>
    <xf numFmtId="0" fontId="5" fillId="0" borderId="9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 shrinkToFit="1"/>
    </xf>
    <xf numFmtId="0" fontId="2" fillId="0" borderId="11" xfId="0" applyFont="1" applyFill="1" applyBorder="1" applyAlignment="1">
      <alignment horizontal="center" vertical="center" shrinkToFit="1"/>
    </xf>
    <xf numFmtId="0" fontId="2" fillId="0" borderId="12" xfId="0" applyFont="1" applyFill="1" applyBorder="1" applyAlignment="1">
      <alignment horizontal="center" vertical="center" shrinkToFit="1"/>
    </xf>
    <xf numFmtId="49" fontId="2" fillId="0" borderId="13" xfId="0" applyNumberFormat="1" applyFont="1" applyFill="1" applyBorder="1" applyAlignment="1">
      <alignment horizontal="center" vertical="center" shrinkToFit="1"/>
    </xf>
    <xf numFmtId="177" fontId="2" fillId="0" borderId="13" xfId="0" applyNumberFormat="1" applyFont="1" applyFill="1" applyBorder="1" applyAlignment="1">
      <alignment horizontal="center" vertical="center" shrinkToFit="1"/>
    </xf>
    <xf numFmtId="0" fontId="0" fillId="0" borderId="0" xfId="0" applyFill="1" applyAlignment="1">
      <alignment horizontal="center"/>
    </xf>
    <xf numFmtId="49" fontId="0" fillId="0" borderId="0" xfId="0" applyNumberFormat="1" applyFill="1" applyAlignment="1"/>
    <xf numFmtId="0" fontId="7" fillId="0" borderId="0" xfId="0" applyFont="1" applyFill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177" fontId="5" fillId="0" borderId="5" xfId="0" applyNumberFormat="1" applyFont="1" applyFill="1" applyBorder="1" applyAlignment="1">
      <alignment horizontal="center" vertical="center" shrinkToFit="1"/>
    </xf>
    <xf numFmtId="177" fontId="8" fillId="0" borderId="5" xfId="0" applyNumberFormat="1" applyFont="1" applyFill="1" applyBorder="1" applyAlignment="1">
      <alignment horizontal="center" vertical="center" shrinkToFit="1"/>
    </xf>
    <xf numFmtId="177" fontId="5" fillId="0" borderId="0" xfId="0" applyNumberFormat="1" applyFont="1" applyFill="1" applyAlignment="1">
      <alignment horizontal="center" vertical="center" shrinkToFit="1"/>
    </xf>
    <xf numFmtId="0" fontId="0" fillId="0" borderId="0" xfId="0" applyBorder="1" applyAlignment="1"/>
    <xf numFmtId="0" fontId="0" fillId="0" borderId="0" xfId="0" applyFill="1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Fill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177" fontId="2" fillId="0" borderId="5" xfId="0" applyNumberFormat="1" applyFont="1" applyFill="1" applyBorder="1" applyAlignment="1">
      <alignment horizontal="center" vertical="center" shrinkToFit="1"/>
    </xf>
    <xf numFmtId="0" fontId="5" fillId="0" borderId="5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vertical="center" wrapText="1"/>
    </xf>
    <xf numFmtId="177" fontId="7" fillId="0" borderId="5" xfId="0" applyNumberFormat="1" applyFont="1" applyFill="1" applyBorder="1" applyAlignment="1">
      <alignment horizontal="center" vertical="center"/>
    </xf>
    <xf numFmtId="0" fontId="3" fillId="0" borderId="0" xfId="0" applyFont="1" applyFill="1" applyAlignment="1"/>
    <xf numFmtId="177" fontId="5" fillId="0" borderId="0" xfId="0" applyNumberFormat="1" applyFont="1" applyFill="1" applyBorder="1" applyAlignment="1">
      <alignment horizontal="center" vertical="center" shrinkToFit="1"/>
    </xf>
    <xf numFmtId="0" fontId="0" fillId="0" borderId="0" xfId="0" applyFill="1" applyBorder="1" applyAlignment="1"/>
    <xf numFmtId="0" fontId="3" fillId="0" borderId="0" xfId="0" applyFont="1" applyBorder="1" applyAlignment="1"/>
    <xf numFmtId="177" fontId="2" fillId="0" borderId="0" xfId="0" applyNumberFormat="1" applyFont="1" applyFill="1" applyBorder="1" applyAlignment="1">
      <alignment horizontal="center" vertical="center" shrinkToFit="1"/>
    </xf>
    <xf numFmtId="0" fontId="2" fillId="0" borderId="16" xfId="0" applyFont="1" applyBorder="1" applyAlignment="1">
      <alignment horizontal="center" vertical="center" wrapText="1"/>
    </xf>
    <xf numFmtId="0" fontId="5" fillId="0" borderId="5" xfId="0" applyNumberFormat="1" applyFont="1" applyFill="1" applyBorder="1" applyAlignment="1">
      <alignment horizontal="center" vertical="center" wrapText="1"/>
    </xf>
    <xf numFmtId="0" fontId="9" fillId="2" borderId="17" xfId="41" applyFont="1" applyFill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2" fontId="9" fillId="0" borderId="17" xfId="41" applyNumberFormat="1" applyFont="1" applyBorder="1" applyAlignment="1">
      <alignment horizontal="center" vertical="center" wrapText="1"/>
    </xf>
    <xf numFmtId="2" fontId="9" fillId="0" borderId="5" xfId="41" applyNumberFormat="1" applyFont="1" applyBorder="1" applyAlignment="1">
      <alignment horizontal="center" vertical="center" wrapText="1"/>
    </xf>
    <xf numFmtId="177" fontId="2" fillId="0" borderId="6" xfId="0" applyNumberFormat="1" applyFont="1" applyFill="1" applyBorder="1" applyAlignment="1">
      <alignment horizontal="center" vertical="center" shrinkToFit="1"/>
    </xf>
    <xf numFmtId="2" fontId="9" fillId="0" borderId="5" xfId="41" applyNumberFormat="1" applyFont="1" applyFill="1" applyBorder="1" applyAlignment="1">
      <alignment horizontal="center" vertical="center" wrapText="1"/>
    </xf>
    <xf numFmtId="2" fontId="9" fillId="0" borderId="17" xfId="41" applyNumberFormat="1" applyFont="1" applyFill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177" fontId="5" fillId="0" borderId="6" xfId="0" applyNumberFormat="1" applyFont="1" applyFill="1" applyBorder="1" applyAlignment="1">
      <alignment horizontal="center" vertical="center" wrapText="1"/>
    </xf>
    <xf numFmtId="176" fontId="5" fillId="0" borderId="6" xfId="0" applyNumberFormat="1" applyFont="1" applyFill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177" fontId="10" fillId="0" borderId="17" xfId="0" applyNumberFormat="1" applyFont="1" applyFill="1" applyBorder="1" applyAlignment="1">
      <alignment horizontal="center" vertical="center" shrinkToFit="1"/>
    </xf>
    <xf numFmtId="177" fontId="2" fillId="0" borderId="5" xfId="0" applyNumberFormat="1" applyFont="1" applyFill="1" applyBorder="1" applyAlignment="1">
      <alignment horizontal="center" vertical="center" wrapText="1"/>
    </xf>
    <xf numFmtId="0" fontId="5" fillId="0" borderId="23" xfId="0" applyFont="1" applyFill="1" applyBorder="1" applyAlignment="1">
      <alignment horizontal="center" vertical="center" shrinkToFit="1"/>
    </xf>
    <xf numFmtId="177" fontId="10" fillId="0" borderId="6" xfId="0" applyNumberFormat="1" applyFont="1" applyFill="1" applyBorder="1" applyAlignment="1">
      <alignment horizontal="center" vertical="center" shrinkToFi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23" xfId="0" applyFont="1" applyFill="1" applyBorder="1" applyAlignment="1">
      <alignment horizontal="center" vertical="center" shrinkToFit="1"/>
    </xf>
    <xf numFmtId="0" fontId="5" fillId="0" borderId="6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shrinkToFit="1"/>
    </xf>
    <xf numFmtId="0" fontId="2" fillId="0" borderId="0" xfId="0" applyFont="1" applyFill="1" applyBorder="1" applyAlignment="1">
      <alignment vertical="center" wrapText="1"/>
    </xf>
    <xf numFmtId="0" fontId="5" fillId="0" borderId="22" xfId="0" applyFont="1" applyFill="1" applyBorder="1" applyAlignment="1">
      <alignment horizontal="center" vertical="center" shrinkToFit="1"/>
    </xf>
    <xf numFmtId="177" fontId="10" fillId="0" borderId="22" xfId="0" applyNumberFormat="1" applyFont="1" applyFill="1" applyBorder="1" applyAlignment="1">
      <alignment horizontal="center" vertical="center" shrinkToFit="1"/>
    </xf>
    <xf numFmtId="177" fontId="10" fillId="0" borderId="24" xfId="0" applyNumberFormat="1" applyFont="1" applyFill="1" applyBorder="1" applyAlignment="1">
      <alignment horizontal="center" vertical="center" shrinkToFit="1"/>
    </xf>
    <xf numFmtId="177" fontId="10" fillId="0" borderId="22" xfId="0" applyNumberFormat="1" applyFont="1" applyFill="1" applyBorder="1" applyAlignment="1">
      <alignment horizontal="center" vertical="center" wrapText="1" shrinkToFit="1"/>
    </xf>
    <xf numFmtId="0" fontId="2" fillId="0" borderId="22" xfId="0" applyFont="1" applyFill="1" applyBorder="1" applyAlignment="1">
      <alignment horizontal="center" vertical="center" shrinkToFit="1"/>
    </xf>
    <xf numFmtId="0" fontId="2" fillId="0" borderId="25" xfId="0" applyFont="1" applyFill="1" applyBorder="1" applyAlignment="1">
      <alignment horizontal="center" vertical="center" shrinkToFit="1"/>
    </xf>
    <xf numFmtId="49" fontId="5" fillId="0" borderId="5" xfId="0" applyNumberFormat="1" applyFont="1" applyFill="1" applyBorder="1" applyAlignment="1" quotePrefix="1">
      <alignment horizontal="center" vertical="center" shrinkToFit="1"/>
    </xf>
  </cellXfs>
  <cellStyles count="77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适中" xfId="38" builtinId="28"/>
    <cellStyle name="着色 5" xfId="39"/>
    <cellStyle name="20% - 强调文字颜色 5" xfId="40" builtinId="46"/>
    <cellStyle name="常规_发放" xfId="41"/>
    <cellStyle name="60% - 着色 4" xfId="42"/>
    <cellStyle name="强调文字颜色 1" xfId="43" builtinId="29"/>
    <cellStyle name="20% - 强调文字颜色 1" xfId="44" builtinId="30"/>
    <cellStyle name="40% - 强调文字颜色 1" xfId="45" builtinId="31"/>
    <cellStyle name="60% - 着色 1" xfId="46"/>
    <cellStyle name="20% - 强调文字颜色 2" xfId="47" builtinId="34"/>
    <cellStyle name="40% - 强调文字颜色 2" xfId="48" builtinId="35"/>
    <cellStyle name="强调文字颜色 3" xfId="49" builtinId="37"/>
    <cellStyle name="强调文字颜色 4" xfId="50" builtinId="41"/>
    <cellStyle name="60% - 着色 3" xfId="51"/>
    <cellStyle name="20% - 强调文字颜色 4" xfId="52" builtinId="42"/>
    <cellStyle name="40% - 强调文字颜色 4" xfId="53" builtinId="43"/>
    <cellStyle name="20% - 着色 1" xfId="54"/>
    <cellStyle name="强调文字颜色 5" xfId="55" builtinId="45"/>
    <cellStyle name="40% - 强调文字颜色 5" xfId="56" builtinId="47"/>
    <cellStyle name="20% - 着色 2" xfId="57"/>
    <cellStyle name="60% - 强调文字颜色 5" xfId="58" builtinId="48"/>
    <cellStyle name="强调文字颜色 6" xfId="59" builtinId="49"/>
    <cellStyle name="40% - 强调文字颜色 6" xfId="60" builtinId="51"/>
    <cellStyle name="20% - 着色 3" xfId="61"/>
    <cellStyle name="60% - 强调文字颜色 6" xfId="62" builtinId="52"/>
    <cellStyle name="20% - 着色 4" xfId="63"/>
    <cellStyle name="20% - 着色 6" xfId="64"/>
    <cellStyle name="着色 2" xfId="65"/>
    <cellStyle name="40% - 着色 1" xfId="66"/>
    <cellStyle name="40% - 着色 2" xfId="67"/>
    <cellStyle name="40% - 着色 6" xfId="68"/>
    <cellStyle name="60% - 着色 5" xfId="69"/>
    <cellStyle name="60% - 着色 6" xfId="70"/>
    <cellStyle name="差_发放" xfId="71"/>
    <cellStyle name="常规 2" xfId="72"/>
    <cellStyle name="好_发放" xfId="73"/>
    <cellStyle name="着色 3" xfId="74"/>
    <cellStyle name="着色 4" xfId="75"/>
    <cellStyle name="着色 6" xfId="76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21150;&#20844;\&#20154;&#36164;\&#33457;&#21517;&#20876;\&#21592;&#24037;&#33457;&#21517;&#20876;-8.17&#26356;&#26032;(3)(1)(4)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在职汇总"/>
      <sheetName val="综合管理科"/>
      <sheetName val="高管"/>
      <sheetName val="财务科"/>
      <sheetName val="技术质量科"/>
      <sheetName val="生产管理科"/>
      <sheetName val="生产制造科-总装"/>
      <sheetName val="生产制造科-注塑"/>
      <sheetName val="设备管理科"/>
      <sheetName val="离职人员名单"/>
      <sheetName val="应聘登记表"/>
    </sheetNames>
    <sheetDataSet>
      <sheetData sheetId="0" refreshError="1">
        <row r="3">
          <cell r="E3" t="str">
            <v>孙振明</v>
          </cell>
          <cell r="F3" t="str">
            <v>男</v>
          </cell>
        </row>
        <row r="4">
          <cell r="E4" t="str">
            <v>李开富</v>
          </cell>
          <cell r="F4" t="str">
            <v>男</v>
          </cell>
          <cell r="G4" t="str">
            <v>370830198301205256</v>
          </cell>
        </row>
        <row r="5">
          <cell r="E5" t="str">
            <v>白成梅</v>
          </cell>
          <cell r="F5" t="str">
            <v>女</v>
          </cell>
          <cell r="G5" t="str">
            <v>510112198107270025</v>
          </cell>
        </row>
        <row r="6">
          <cell r="E6" t="str">
            <v>李 飞</v>
          </cell>
          <cell r="F6" t="str">
            <v>女</v>
          </cell>
          <cell r="G6" t="str">
            <v>511028199004058022</v>
          </cell>
        </row>
        <row r="7">
          <cell r="E7" t="str">
            <v>瞿小强</v>
          </cell>
          <cell r="F7" t="str">
            <v>男</v>
          </cell>
          <cell r="G7" t="str">
            <v>51112119780714329X</v>
          </cell>
        </row>
        <row r="8">
          <cell r="E8" t="str">
            <v>方 兰</v>
          </cell>
          <cell r="F8" t="str">
            <v>女</v>
          </cell>
          <cell r="G8" t="str">
            <v>510112198109290361</v>
          </cell>
        </row>
        <row r="9">
          <cell r="E9" t="str">
            <v>张菊香</v>
          </cell>
          <cell r="F9" t="str">
            <v>女</v>
          </cell>
          <cell r="G9" t="str">
            <v>510921198605014024</v>
          </cell>
        </row>
        <row r="10">
          <cell r="E10" t="str">
            <v>曾 超</v>
          </cell>
          <cell r="F10" t="str">
            <v>男</v>
          </cell>
          <cell r="G10" t="str">
            <v>511025198611141414</v>
          </cell>
        </row>
        <row r="11">
          <cell r="E11" t="str">
            <v>杨晓霞</v>
          </cell>
          <cell r="F11" t="str">
            <v>女</v>
          </cell>
          <cell r="G11" t="str">
            <v>420300197510101749</v>
          </cell>
        </row>
        <row r="12">
          <cell r="E12" t="str">
            <v>朱小军</v>
          </cell>
          <cell r="F12" t="str">
            <v>男</v>
          </cell>
          <cell r="G12" t="str">
            <v>510823199104081191</v>
          </cell>
        </row>
        <row r="13">
          <cell r="E13" t="str">
            <v>叶 红</v>
          </cell>
          <cell r="F13" t="str">
            <v>女</v>
          </cell>
          <cell r="G13" t="str">
            <v>510112198708142424</v>
          </cell>
        </row>
        <row r="14">
          <cell r="E14" t="str">
            <v>任威利</v>
          </cell>
          <cell r="F14" t="str">
            <v>女</v>
          </cell>
          <cell r="G14" t="str">
            <v>513022198903283548</v>
          </cell>
        </row>
        <row r="15">
          <cell r="E15" t="str">
            <v>钟家齐</v>
          </cell>
          <cell r="F15" t="str">
            <v>男</v>
          </cell>
          <cell r="G15" t="str">
            <v>51092219830108197X</v>
          </cell>
        </row>
        <row r="16">
          <cell r="E16" t="str">
            <v>蒋晓维</v>
          </cell>
          <cell r="F16" t="str">
            <v>男</v>
          </cell>
          <cell r="G16" t="str">
            <v>512924197703176197</v>
          </cell>
        </row>
        <row r="17">
          <cell r="E17" t="str">
            <v>肖全英</v>
          </cell>
          <cell r="F17" t="str">
            <v>女</v>
          </cell>
          <cell r="G17" t="str">
            <v>511011199001072825</v>
          </cell>
        </row>
        <row r="18">
          <cell r="E18" t="str">
            <v>李绍碧</v>
          </cell>
          <cell r="F18" t="str">
            <v>女</v>
          </cell>
          <cell r="G18" t="str">
            <v>512223197410152162</v>
          </cell>
        </row>
        <row r="19">
          <cell r="E19" t="str">
            <v>陈平丽</v>
          </cell>
          <cell r="F19" t="str">
            <v>女</v>
          </cell>
          <cell r="G19" t="str">
            <v>510112198006092426</v>
          </cell>
        </row>
        <row r="20">
          <cell r="E20" t="str">
            <v>易小利</v>
          </cell>
          <cell r="F20" t="str">
            <v>女</v>
          </cell>
          <cell r="G20" t="str">
            <v>522122198910025287</v>
          </cell>
        </row>
        <row r="21">
          <cell r="E21" t="str">
            <v>文 丽</v>
          </cell>
          <cell r="F21" t="str">
            <v>女</v>
          </cell>
          <cell r="G21" t="str">
            <v>510122198108266426</v>
          </cell>
        </row>
        <row r="22">
          <cell r="E22" t="str">
            <v>姚 飞</v>
          </cell>
          <cell r="F22" t="str">
            <v>男</v>
          </cell>
          <cell r="G22" t="str">
            <v>510322198905094314</v>
          </cell>
        </row>
        <row r="23">
          <cell r="E23" t="str">
            <v>谭文波</v>
          </cell>
          <cell r="F23" t="str">
            <v>男</v>
          </cell>
          <cell r="G23" t="str">
            <v>510622198204014517</v>
          </cell>
        </row>
        <row r="24">
          <cell r="E24" t="str">
            <v>郑友谊</v>
          </cell>
          <cell r="F24" t="str">
            <v>男</v>
          </cell>
          <cell r="G24" t="str">
            <v>513021197601286910</v>
          </cell>
        </row>
        <row r="25">
          <cell r="E25" t="str">
            <v>任小利</v>
          </cell>
          <cell r="F25" t="str">
            <v>女</v>
          </cell>
          <cell r="G25" t="str">
            <v>513021198902044223</v>
          </cell>
        </row>
        <row r="26">
          <cell r="E26" t="str">
            <v>陈义</v>
          </cell>
          <cell r="F26" t="str">
            <v>女</v>
          </cell>
          <cell r="G26" t="str">
            <v>510112198007100782</v>
          </cell>
        </row>
        <row r="27">
          <cell r="E27" t="str">
            <v>彭巧丽</v>
          </cell>
          <cell r="F27" t="str">
            <v>女</v>
          </cell>
          <cell r="G27" t="str">
            <v>652701197807214528</v>
          </cell>
        </row>
        <row r="28">
          <cell r="E28" t="str">
            <v>李娇龙</v>
          </cell>
          <cell r="F28" t="str">
            <v>女</v>
          </cell>
          <cell r="G28" t="str">
            <v>513902198609292180</v>
          </cell>
        </row>
        <row r="29">
          <cell r="E29" t="str">
            <v>曹海军</v>
          </cell>
          <cell r="F29" t="str">
            <v>男</v>
          </cell>
          <cell r="G29" t="str">
            <v>510823199109031337</v>
          </cell>
        </row>
        <row r="30">
          <cell r="E30" t="str">
            <v>汪胜</v>
          </cell>
          <cell r="F30" t="str">
            <v>男</v>
          </cell>
          <cell r="G30" t="str">
            <v>513901198801267130</v>
          </cell>
        </row>
        <row r="31">
          <cell r="E31" t="str">
            <v>刘芳</v>
          </cell>
          <cell r="F31" t="str">
            <v>女</v>
          </cell>
          <cell r="G31" t="str">
            <v>510321198707044889</v>
          </cell>
        </row>
        <row r="32">
          <cell r="E32" t="str">
            <v>秦文杰</v>
          </cell>
          <cell r="F32" t="str">
            <v>男</v>
          </cell>
          <cell r="G32" t="str">
            <v>510112199304011836</v>
          </cell>
        </row>
        <row r="33">
          <cell r="E33" t="str">
            <v>杨超</v>
          </cell>
          <cell r="F33" t="str">
            <v>女</v>
          </cell>
          <cell r="G33" t="str">
            <v>510112198712273945</v>
          </cell>
        </row>
        <row r="34">
          <cell r="E34" t="str">
            <v>彭燕</v>
          </cell>
          <cell r="F34" t="str">
            <v>女</v>
          </cell>
          <cell r="G34" t="str">
            <v>510113198505287427</v>
          </cell>
        </row>
        <row r="35">
          <cell r="E35" t="str">
            <v>袁美中</v>
          </cell>
          <cell r="F35" t="str">
            <v>男</v>
          </cell>
          <cell r="G35" t="str">
            <v>510211197311109057</v>
          </cell>
        </row>
        <row r="36">
          <cell r="E36" t="str">
            <v>邱月</v>
          </cell>
          <cell r="F36" t="str">
            <v>女</v>
          </cell>
          <cell r="G36" t="str">
            <v>51011219951017242X</v>
          </cell>
        </row>
        <row r="37">
          <cell r="E37" t="str">
            <v>廖运娣</v>
          </cell>
          <cell r="F37" t="str">
            <v>女</v>
          </cell>
          <cell r="G37" t="str">
            <v>360726198901238623</v>
          </cell>
        </row>
        <row r="38">
          <cell r="E38" t="str">
            <v>康燕</v>
          </cell>
          <cell r="F38" t="str">
            <v>女</v>
          </cell>
          <cell r="G38" t="str">
            <v>511023198203070466</v>
          </cell>
        </row>
        <row r="39">
          <cell r="E39" t="str">
            <v>邓春梅</v>
          </cell>
          <cell r="F39" t="str">
            <v>女</v>
          </cell>
          <cell r="G39" t="str">
            <v>510722198003221064</v>
          </cell>
        </row>
        <row r="40">
          <cell r="E40" t="str">
            <v>刘亮</v>
          </cell>
          <cell r="F40" t="str">
            <v>女</v>
          </cell>
          <cell r="G40" t="str">
            <v>510902199308112643</v>
          </cell>
        </row>
        <row r="41">
          <cell r="E41" t="str">
            <v>李强</v>
          </cell>
          <cell r="F41" t="str">
            <v>男</v>
          </cell>
          <cell r="G41" t="str">
            <v>510122197610076236</v>
          </cell>
        </row>
        <row r="42">
          <cell r="E42" t="str">
            <v>周春梅</v>
          </cell>
          <cell r="F42" t="str">
            <v>女</v>
          </cell>
          <cell r="G42" t="str">
            <v>510112197612194823</v>
          </cell>
        </row>
        <row r="43">
          <cell r="E43" t="str">
            <v>江盛强</v>
          </cell>
          <cell r="F43" t="str">
            <v>男</v>
          </cell>
          <cell r="G43" t="str">
            <v>510112199103125618</v>
          </cell>
        </row>
        <row r="44">
          <cell r="E44" t="str">
            <v>杨叔容</v>
          </cell>
          <cell r="F44" t="str">
            <v>女</v>
          </cell>
          <cell r="G44" t="str">
            <v>513621198210152701</v>
          </cell>
        </row>
        <row r="45">
          <cell r="E45" t="str">
            <v>曾莉</v>
          </cell>
          <cell r="F45" t="str">
            <v>女</v>
          </cell>
          <cell r="G45" t="str">
            <v>510112198910151228</v>
          </cell>
        </row>
        <row r="46">
          <cell r="E46" t="str">
            <v>王宇</v>
          </cell>
          <cell r="F46" t="str">
            <v>男</v>
          </cell>
          <cell r="G46" t="str">
            <v>511123199302131471</v>
          </cell>
        </row>
        <row r="47">
          <cell r="E47" t="str">
            <v>罗世凤</v>
          </cell>
          <cell r="F47" t="str">
            <v>女</v>
          </cell>
          <cell r="G47" t="str">
            <v>510112197906120723</v>
          </cell>
        </row>
        <row r="48">
          <cell r="E48" t="str">
            <v>赵曼莉</v>
          </cell>
          <cell r="F48" t="str">
            <v>女</v>
          </cell>
          <cell r="G48" t="str">
            <v>513024197804092568</v>
          </cell>
        </row>
        <row r="49">
          <cell r="E49" t="str">
            <v>赵平</v>
          </cell>
          <cell r="F49" t="str">
            <v>女</v>
          </cell>
          <cell r="G49" t="str">
            <v>510112197906205620</v>
          </cell>
        </row>
        <row r="50">
          <cell r="E50" t="str">
            <v>张昌玉</v>
          </cell>
          <cell r="F50" t="str">
            <v>女</v>
          </cell>
          <cell r="G50" t="str">
            <v>510112198410230923</v>
          </cell>
        </row>
        <row r="51">
          <cell r="E51" t="str">
            <v>林燕</v>
          </cell>
          <cell r="F51" t="str">
            <v>女</v>
          </cell>
          <cell r="G51" t="str">
            <v>510112199310215421</v>
          </cell>
        </row>
        <row r="52">
          <cell r="E52" t="str">
            <v>王高平</v>
          </cell>
          <cell r="F52" t="str">
            <v>男</v>
          </cell>
          <cell r="G52" t="str">
            <v>510683198705180313</v>
          </cell>
        </row>
        <row r="53">
          <cell r="E53" t="str">
            <v>吴稠</v>
          </cell>
          <cell r="F53" t="str">
            <v>女</v>
          </cell>
          <cell r="G53" t="str">
            <v>51060219940404682X</v>
          </cell>
        </row>
        <row r="54">
          <cell r="E54" t="str">
            <v>廖世金</v>
          </cell>
          <cell r="F54" t="str">
            <v>男</v>
          </cell>
          <cell r="G54" t="str">
            <v>512501197303147219</v>
          </cell>
        </row>
        <row r="55">
          <cell r="E55" t="str">
            <v>郑善均</v>
          </cell>
          <cell r="F55" t="str">
            <v>男</v>
          </cell>
          <cell r="G55" t="str">
            <v>510722197601241431</v>
          </cell>
        </row>
        <row r="56">
          <cell r="E56" t="str">
            <v>王芳</v>
          </cell>
          <cell r="F56" t="str">
            <v>女</v>
          </cell>
          <cell r="G56" t="str">
            <v>513122197903284824</v>
          </cell>
        </row>
        <row r="57">
          <cell r="E57" t="str">
            <v>江萍</v>
          </cell>
          <cell r="F57" t="str">
            <v>女</v>
          </cell>
          <cell r="G57" t="str">
            <v>533422198701071120</v>
          </cell>
        </row>
        <row r="58">
          <cell r="E58" t="str">
            <v>钟正权</v>
          </cell>
          <cell r="F58" t="str">
            <v>男</v>
          </cell>
          <cell r="G58" t="str">
            <v>511223198001183375</v>
          </cell>
        </row>
        <row r="59">
          <cell r="E59" t="str">
            <v>熊丽华</v>
          </cell>
          <cell r="F59" t="str">
            <v>女</v>
          </cell>
          <cell r="G59" t="str">
            <v>510112198111050025</v>
          </cell>
        </row>
        <row r="60">
          <cell r="E60" t="str">
            <v>邹思兰</v>
          </cell>
          <cell r="F60" t="str">
            <v>女</v>
          </cell>
          <cell r="G60" t="str">
            <v>510902198408144103</v>
          </cell>
        </row>
        <row r="61">
          <cell r="E61" t="str">
            <v>彭彦莉</v>
          </cell>
          <cell r="F61" t="str">
            <v>女</v>
          </cell>
          <cell r="G61" t="str">
            <v>510108198408261822</v>
          </cell>
        </row>
        <row r="62">
          <cell r="E62" t="str">
            <v>李兵</v>
          </cell>
          <cell r="F62" t="str">
            <v>男</v>
          </cell>
          <cell r="G62" t="str">
            <v>510821197812259112</v>
          </cell>
        </row>
        <row r="63">
          <cell r="E63" t="str">
            <v>李维虎</v>
          </cell>
          <cell r="F63" t="str">
            <v>男</v>
          </cell>
          <cell r="G63" t="str">
            <v>510112199012280719</v>
          </cell>
        </row>
        <row r="64">
          <cell r="E64" t="str">
            <v>叶美群</v>
          </cell>
          <cell r="F64" t="str">
            <v>女</v>
          </cell>
          <cell r="G64" t="str">
            <v>510122197903022362</v>
          </cell>
        </row>
        <row r="65">
          <cell r="E65" t="str">
            <v>邓小琴</v>
          </cell>
          <cell r="F65" t="str">
            <v>女</v>
          </cell>
          <cell r="G65" t="str">
            <v>513902198710277700</v>
          </cell>
        </row>
        <row r="66">
          <cell r="E66" t="str">
            <v>王敏</v>
          </cell>
          <cell r="F66" t="str">
            <v>女</v>
          </cell>
          <cell r="G66" t="str">
            <v>511011199311285885</v>
          </cell>
        </row>
        <row r="67">
          <cell r="E67" t="str">
            <v>段蓉华</v>
          </cell>
          <cell r="F67" t="str">
            <v>女</v>
          </cell>
          <cell r="G67" t="str">
            <v>512902197502263421</v>
          </cell>
        </row>
        <row r="68">
          <cell r="E68" t="str">
            <v>杨永红</v>
          </cell>
          <cell r="F68" t="str">
            <v>女</v>
          </cell>
          <cell r="G68" t="str">
            <v>52213119850712584X</v>
          </cell>
        </row>
        <row r="69">
          <cell r="E69" t="str">
            <v>郑拾军</v>
          </cell>
          <cell r="F69" t="str">
            <v>男</v>
          </cell>
          <cell r="G69" t="str">
            <v>410421197409010514</v>
          </cell>
        </row>
        <row r="70">
          <cell r="E70" t="str">
            <v>曹霞</v>
          </cell>
          <cell r="F70" t="str">
            <v>女</v>
          </cell>
          <cell r="G70" t="str">
            <v>511027197708240046</v>
          </cell>
        </row>
        <row r="71">
          <cell r="E71" t="str">
            <v>郑翠容</v>
          </cell>
          <cell r="F71" t="str">
            <v>女</v>
          </cell>
          <cell r="G71" t="str">
            <v>510725198402106820</v>
          </cell>
        </row>
        <row r="72">
          <cell r="E72" t="str">
            <v>林宏丽</v>
          </cell>
          <cell r="F72" t="str">
            <v>女</v>
          </cell>
          <cell r="G72" t="str">
            <v>510121198810118822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C74"/>
  <sheetViews>
    <sheetView tabSelected="1" topLeftCell="E1" workbookViewId="0">
      <pane ySplit="3" topLeftCell="A34" activePane="bottomLeft" state="frozen"/>
      <selection/>
      <selection pane="bottomLeft" activeCell="BB53" sqref="BB53"/>
    </sheetView>
  </sheetViews>
  <sheetFormatPr defaultColWidth="9" defaultRowHeight="13.5"/>
  <cols>
    <col min="1" max="1" width="4.75" customWidth="1"/>
    <col min="2" max="2" width="7.75" customWidth="1"/>
    <col min="3" max="3" width="6.125" customWidth="1"/>
    <col min="4" max="4" width="9.125" customWidth="1"/>
    <col min="5" max="5" width="9.125" hidden="1" customWidth="1"/>
    <col min="6" max="6" width="6.5" hidden="1" customWidth="1"/>
    <col min="7" max="7" width="17" style="7" customWidth="1"/>
    <col min="8" max="8" width="19.375" style="7" customWidth="1"/>
    <col min="9" max="9" width="1.75" hidden="1" customWidth="1"/>
    <col min="10" max="10" width="7.125" customWidth="1"/>
    <col min="11" max="11" width="7.25" customWidth="1"/>
    <col min="12" max="12" width="7.625" customWidth="1"/>
    <col min="13" max="14" width="6.625" customWidth="1"/>
    <col min="15" max="15" width="6.125" customWidth="1"/>
    <col min="16" max="16" width="5.25" customWidth="1"/>
    <col min="17" max="17" width="5.75" customWidth="1"/>
    <col min="18" max="18" width="6.75" style="6" customWidth="1"/>
    <col min="19" max="19" width="6" style="6" customWidth="1"/>
    <col min="20" max="20" width="6.375" customWidth="1"/>
    <col min="21" max="21" width="7.875" style="6" customWidth="1"/>
    <col min="22" max="22" width="9.5" style="8" customWidth="1"/>
    <col min="23" max="29" width="9.5" style="8" hidden="1" customWidth="1"/>
    <col min="30" max="30" width="7.875" customWidth="1"/>
    <col min="31" max="32" width="7.125" customWidth="1"/>
    <col min="33" max="33" width="8.25" customWidth="1"/>
    <col min="34" max="34" width="6.875" customWidth="1"/>
    <col min="35" max="35" width="8" customWidth="1"/>
    <col min="36" max="49" width="9.625" style="8" hidden="1" customWidth="1"/>
    <col min="50" max="50" width="6.625" style="8" hidden="1" customWidth="1"/>
    <col min="51" max="51" width="7.5" customWidth="1"/>
    <col min="52" max="52" width="6.375" customWidth="1"/>
    <col min="53" max="53" width="11.125" style="8" customWidth="1"/>
    <col min="54" max="54" width="18.25" customWidth="1"/>
  </cols>
  <sheetData>
    <row r="1" s="2" customFormat="1" ht="41.1" customHeight="1" spans="1:54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45"/>
      <c r="S1" s="45"/>
      <c r="T1" s="9"/>
      <c r="U1" s="45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  <c r="BB1" s="9"/>
    </row>
    <row r="2" s="3" customFormat="1" ht="22" customHeight="1" spans="1:54">
      <c r="A2" s="10" t="s">
        <v>1</v>
      </c>
      <c r="B2" s="11" t="s">
        <v>2</v>
      </c>
      <c r="C2" s="12" t="s">
        <v>3</v>
      </c>
      <c r="D2" s="12" t="s">
        <v>4</v>
      </c>
      <c r="E2" s="12"/>
      <c r="F2" s="12"/>
      <c r="G2" s="13" t="s">
        <v>5</v>
      </c>
      <c r="H2" s="13" t="s">
        <v>6</v>
      </c>
      <c r="I2" s="12" t="s">
        <v>7</v>
      </c>
      <c r="J2" s="11" t="s">
        <v>8</v>
      </c>
      <c r="K2" s="11" t="s">
        <v>9</v>
      </c>
      <c r="L2" s="37" t="s">
        <v>10</v>
      </c>
      <c r="M2" s="11" t="s">
        <v>11</v>
      </c>
      <c r="N2" s="12" t="s">
        <v>12</v>
      </c>
      <c r="O2" s="12" t="s">
        <v>13</v>
      </c>
      <c r="P2" s="11" t="s">
        <v>14</v>
      </c>
      <c r="Q2" s="11" t="s">
        <v>15</v>
      </c>
      <c r="R2" s="37" t="s">
        <v>16</v>
      </c>
      <c r="S2" s="37" t="s">
        <v>17</v>
      </c>
      <c r="T2" s="12" t="s">
        <v>18</v>
      </c>
      <c r="U2" s="37" t="s">
        <v>19</v>
      </c>
      <c r="V2" s="11" t="s">
        <v>20</v>
      </c>
      <c r="W2" s="46" t="s">
        <v>21</v>
      </c>
      <c r="X2" s="47"/>
      <c r="Y2" s="47"/>
      <c r="Z2" s="47"/>
      <c r="AA2" s="47"/>
      <c r="AB2" s="47"/>
      <c r="AC2" s="57"/>
      <c r="AD2" s="11" t="s">
        <v>22</v>
      </c>
      <c r="AE2" s="11"/>
      <c r="AF2" s="11"/>
      <c r="AG2" s="11"/>
      <c r="AH2" s="11"/>
      <c r="AI2" s="11"/>
      <c r="AJ2" s="59" t="s">
        <v>23</v>
      </c>
      <c r="AK2" s="59" t="s">
        <v>24</v>
      </c>
      <c r="AL2" s="59" t="s">
        <v>25</v>
      </c>
      <c r="AM2" s="60" t="s">
        <v>26</v>
      </c>
      <c r="AN2" s="61"/>
      <c r="AO2" s="61"/>
      <c r="AP2" s="61"/>
      <c r="AQ2" s="67"/>
      <c r="AR2" s="68" t="s">
        <v>27</v>
      </c>
      <c r="AS2" s="68" t="s">
        <v>28</v>
      </c>
      <c r="AT2" s="68" t="s">
        <v>29</v>
      </c>
      <c r="AU2" s="68"/>
      <c r="AV2" s="68" t="s">
        <v>30</v>
      </c>
      <c r="AW2" s="59" t="s">
        <v>31</v>
      </c>
      <c r="AX2" s="59" t="s">
        <v>32</v>
      </c>
      <c r="AY2" s="59" t="s">
        <v>33</v>
      </c>
      <c r="AZ2" s="11" t="s">
        <v>34</v>
      </c>
      <c r="BA2" s="11" t="s">
        <v>35</v>
      </c>
      <c r="BB2" s="72" t="s">
        <v>36</v>
      </c>
    </row>
    <row r="3" s="3" customFormat="1" ht="30" customHeight="1" spans="1:54">
      <c r="A3" s="14"/>
      <c r="B3" s="15"/>
      <c r="C3" s="16"/>
      <c r="D3" s="16"/>
      <c r="E3" s="16" t="s">
        <v>37</v>
      </c>
      <c r="F3" s="16" t="s">
        <v>38</v>
      </c>
      <c r="G3" s="17"/>
      <c r="H3" s="17"/>
      <c r="I3" s="16"/>
      <c r="J3" s="15"/>
      <c r="K3" s="15"/>
      <c r="L3" s="38"/>
      <c r="M3" s="15"/>
      <c r="N3" s="16"/>
      <c r="O3" s="16"/>
      <c r="P3" s="15"/>
      <c r="Q3" s="15"/>
      <c r="R3" s="38"/>
      <c r="S3" s="38"/>
      <c r="T3" s="16"/>
      <c r="U3" s="38"/>
      <c r="V3" s="15"/>
      <c r="W3" s="15" t="s">
        <v>39</v>
      </c>
      <c r="X3" s="15" t="s">
        <v>40</v>
      </c>
      <c r="Y3" s="15" t="s">
        <v>41</v>
      </c>
      <c r="Z3" s="15" t="s">
        <v>42</v>
      </c>
      <c r="AA3" s="15" t="s">
        <v>43</v>
      </c>
      <c r="AB3" s="15" t="s">
        <v>44</v>
      </c>
      <c r="AC3" s="15" t="s">
        <v>45</v>
      </c>
      <c r="AD3" s="15" t="s">
        <v>39</v>
      </c>
      <c r="AE3" s="15" t="s">
        <v>41</v>
      </c>
      <c r="AF3" s="15" t="s">
        <v>40</v>
      </c>
      <c r="AG3" s="15" t="s">
        <v>45</v>
      </c>
      <c r="AH3" s="15" t="s">
        <v>46</v>
      </c>
      <c r="AI3" s="15" t="s">
        <v>47</v>
      </c>
      <c r="AJ3" s="59"/>
      <c r="AK3" s="59"/>
      <c r="AL3" s="59"/>
      <c r="AM3" s="59" t="s">
        <v>48</v>
      </c>
      <c r="AN3" s="59" t="s">
        <v>49</v>
      </c>
      <c r="AO3" s="59" t="s">
        <v>50</v>
      </c>
      <c r="AP3" s="59" t="s">
        <v>51</v>
      </c>
      <c r="AQ3" s="59" t="s">
        <v>52</v>
      </c>
      <c r="AR3" s="69"/>
      <c r="AS3" s="69"/>
      <c r="AT3" s="69"/>
      <c r="AU3" s="69" t="s">
        <v>53</v>
      </c>
      <c r="AV3" s="69"/>
      <c r="AW3" s="59"/>
      <c r="AX3" s="59"/>
      <c r="AY3" s="59"/>
      <c r="AZ3" s="15"/>
      <c r="BA3" s="15"/>
      <c r="BB3" s="73"/>
    </row>
    <row r="4" s="4" customFormat="1" ht="25" customHeight="1" spans="1:54">
      <c r="A4" s="18">
        <v>1</v>
      </c>
      <c r="B4" s="19" t="s">
        <v>54</v>
      </c>
      <c r="C4" s="20" t="s">
        <v>55</v>
      </c>
      <c r="D4" s="20" t="s">
        <v>56</v>
      </c>
      <c r="E4" s="20" t="s">
        <v>57</v>
      </c>
      <c r="F4" s="20" t="s">
        <v>58</v>
      </c>
      <c r="G4" s="21" t="s">
        <v>59</v>
      </c>
      <c r="H4" s="21" t="s">
        <v>60</v>
      </c>
      <c r="I4" s="20"/>
      <c r="J4" s="39">
        <v>2100</v>
      </c>
      <c r="K4" s="39">
        <f>3500</f>
        <v>3500</v>
      </c>
      <c r="L4" s="39">
        <f>3170*1.14</f>
        <v>3613.8</v>
      </c>
      <c r="M4" s="39">
        <v>200</v>
      </c>
      <c r="N4" s="39">
        <v>100</v>
      </c>
      <c r="O4" s="39"/>
      <c r="P4" s="39">
        <v>40</v>
      </c>
      <c r="Q4" s="39"/>
      <c r="R4" s="39"/>
      <c r="S4" s="39"/>
      <c r="T4" s="39"/>
      <c r="U4" s="38"/>
      <c r="V4" s="48">
        <f>SUM(J4:S4)-T4+U4</f>
        <v>9553.8</v>
      </c>
      <c r="W4" s="49">
        <v>462.08</v>
      </c>
      <c r="X4" s="49">
        <v>19.42</v>
      </c>
      <c r="Y4" s="49">
        <v>210.34</v>
      </c>
      <c r="Z4" s="49">
        <v>32.36</v>
      </c>
      <c r="AA4" s="49">
        <v>7.28</v>
      </c>
      <c r="AB4" s="49">
        <v>25.89</v>
      </c>
      <c r="AC4" s="39">
        <f>107</f>
        <v>107</v>
      </c>
      <c r="AD4" s="20">
        <v>338.08</v>
      </c>
      <c r="AE4" s="20">
        <v>84.52</v>
      </c>
      <c r="AF4" s="20">
        <v>16.9</v>
      </c>
      <c r="AG4" s="39">
        <v>156</v>
      </c>
      <c r="AH4" s="39">
        <v>12.4</v>
      </c>
      <c r="AI4" s="39">
        <f>SUM(AD4:AH4)</f>
        <v>607.9</v>
      </c>
      <c r="AJ4" s="62">
        <v>63761.21</v>
      </c>
      <c r="AK4" s="63">
        <v>4048.68</v>
      </c>
      <c r="AL4" s="62">
        <v>35000</v>
      </c>
      <c r="AM4" s="64">
        <v>7000</v>
      </c>
      <c r="AN4" s="64"/>
      <c r="AO4" s="62">
        <v>7000</v>
      </c>
      <c r="AP4" s="62"/>
      <c r="AQ4" s="64"/>
      <c r="AR4" s="70">
        <f>V4+AJ4</f>
        <v>73315.01</v>
      </c>
      <c r="AS4" s="70">
        <f>AI4+AK4</f>
        <v>4656.58</v>
      </c>
      <c r="AT4" s="71">
        <f>AL4+5000</f>
        <v>40000</v>
      </c>
      <c r="AU4" s="71">
        <f>AM4+AO4+2000</f>
        <v>16000</v>
      </c>
      <c r="AV4" s="70">
        <f>AR4-AS4-AT4-AU4</f>
        <v>12658.43</v>
      </c>
      <c r="AW4" s="74">
        <f>5*MAX(0,AV4*{0.6;2;4;5;6;7;9}%-{0;504;3384;6384;10584;17184;36384})</f>
        <v>379.75</v>
      </c>
      <c r="AX4" s="74">
        <v>321.38</v>
      </c>
      <c r="AY4" s="74">
        <f>IF(+AW4-AX4&gt;0,AW4-AX4,0)</f>
        <v>58.37</v>
      </c>
      <c r="AZ4" s="38"/>
      <c r="BA4" s="75">
        <f>V4-AI4-AY4</f>
        <v>8887.53</v>
      </c>
      <c r="BB4" s="76"/>
    </row>
    <row r="5" s="4" customFormat="1" ht="25" customHeight="1" spans="1:54">
      <c r="A5" s="18">
        <v>2</v>
      </c>
      <c r="B5" s="19" t="s">
        <v>61</v>
      </c>
      <c r="C5" s="20" t="s">
        <v>55</v>
      </c>
      <c r="D5" s="20" t="s">
        <v>62</v>
      </c>
      <c r="E5" s="20" t="s">
        <v>57</v>
      </c>
      <c r="F5" s="20" t="s">
        <v>63</v>
      </c>
      <c r="G5" s="21" t="s">
        <v>64</v>
      </c>
      <c r="H5" s="21" t="s">
        <v>65</v>
      </c>
      <c r="I5" s="20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50"/>
      <c r="V5" s="48">
        <v>1100</v>
      </c>
      <c r="W5" s="49"/>
      <c r="X5" s="49"/>
      <c r="Y5" s="49"/>
      <c r="Z5" s="49"/>
      <c r="AA5" s="49"/>
      <c r="AB5" s="49"/>
      <c r="AC5" s="39"/>
      <c r="AD5" s="58"/>
      <c r="AE5" s="49"/>
      <c r="AF5" s="49"/>
      <c r="AG5" s="39" t="s">
        <v>66</v>
      </c>
      <c r="AH5" s="39"/>
      <c r="AI5" s="39"/>
      <c r="AJ5" s="62">
        <v>7700</v>
      </c>
      <c r="AK5" s="63">
        <v>0</v>
      </c>
      <c r="AL5" s="63">
        <v>35000</v>
      </c>
      <c r="AM5" s="64"/>
      <c r="AN5" s="64"/>
      <c r="AO5" s="63"/>
      <c r="AP5" s="63"/>
      <c r="AQ5" s="64"/>
      <c r="AR5" s="70">
        <f>V5+AJ5</f>
        <v>8800</v>
      </c>
      <c r="AS5" s="70">
        <f>AI5+AK5</f>
        <v>0</v>
      </c>
      <c r="AT5" s="71">
        <f>AL5+5000</f>
        <v>40000</v>
      </c>
      <c r="AU5" s="71"/>
      <c r="AV5" s="70">
        <f>AR5-AS5-AT5-AU5</f>
        <v>-31200</v>
      </c>
      <c r="AW5" s="74">
        <f>5*MAX(0,AV5*{0.6;2;4;5;6;7;9}%-{0;504;3384;6384;10584;17184;36384})</f>
        <v>0</v>
      </c>
      <c r="AX5" s="77"/>
      <c r="AY5" s="74">
        <f>IF(+AW5-AX5&gt;0,AW5-AX5,0)</f>
        <v>0</v>
      </c>
      <c r="AZ5" s="78"/>
      <c r="BA5" s="75">
        <f>V5-AI5-AY5</f>
        <v>1100</v>
      </c>
      <c r="BB5" s="76"/>
    </row>
    <row r="6" s="4" customFormat="1" ht="22" customHeight="1" spans="1:54">
      <c r="A6" s="22"/>
      <c r="B6" s="23" t="s">
        <v>67</v>
      </c>
      <c r="C6" s="24"/>
      <c r="D6" s="25"/>
      <c r="E6" s="25"/>
      <c r="F6" s="25"/>
      <c r="G6" s="26"/>
      <c r="H6" s="26"/>
      <c r="I6" s="25"/>
      <c r="J6" s="40">
        <f>SUM(J4:J5)</f>
        <v>2100</v>
      </c>
      <c r="K6" s="40">
        <f>SUM(K4:K5)</f>
        <v>3500</v>
      </c>
      <c r="L6" s="40">
        <f>SUM(L4:L5)</f>
        <v>3613.8</v>
      </c>
      <c r="M6" s="40">
        <f>SUM(M4:M5)</f>
        <v>200</v>
      </c>
      <c r="N6" s="40">
        <f>SUM(N4:N5)</f>
        <v>100</v>
      </c>
      <c r="O6" s="40">
        <f>SUM(O4:O5)</f>
        <v>0</v>
      </c>
      <c r="P6" s="40">
        <f>SUM(P4:P5)</f>
        <v>40</v>
      </c>
      <c r="Q6" s="40">
        <f>SUM(Q4:Q5)</f>
        <v>0</v>
      </c>
      <c r="R6" s="40">
        <f>SUM(R4:R5)</f>
        <v>0</v>
      </c>
      <c r="S6" s="40">
        <f>SUM(S4:S5)</f>
        <v>0</v>
      </c>
      <c r="T6" s="40">
        <f>SUM(T4:T5)</f>
        <v>0</v>
      </c>
      <c r="U6" s="40">
        <f>SUM(U4:U5)</f>
        <v>0</v>
      </c>
      <c r="V6" s="40">
        <f>SUM(V4:V5)</f>
        <v>10653.8</v>
      </c>
      <c r="W6" s="40">
        <f>SUM(W4:W5)</f>
        <v>462.08</v>
      </c>
      <c r="X6" s="40">
        <f>SUM(X4:X5)</f>
        <v>19.42</v>
      </c>
      <c r="Y6" s="40">
        <f>SUM(Y4:Y5)</f>
        <v>210.34</v>
      </c>
      <c r="Z6" s="40">
        <f>SUM(Z4:Z5)</f>
        <v>32.36</v>
      </c>
      <c r="AA6" s="40">
        <f>SUM(AA4:AA5)</f>
        <v>7.28</v>
      </c>
      <c r="AB6" s="40">
        <f>SUM(AB4:AB5)</f>
        <v>25.89</v>
      </c>
      <c r="AC6" s="40">
        <f>SUM(AC4:AC5)</f>
        <v>107</v>
      </c>
      <c r="AD6" s="40">
        <f>SUM(AD4:AD5)</f>
        <v>338.08</v>
      </c>
      <c r="AE6" s="40">
        <f>SUM(AE4:AE5)</f>
        <v>84.52</v>
      </c>
      <c r="AF6" s="40">
        <f>SUM(AF4:AF5)</f>
        <v>16.9</v>
      </c>
      <c r="AG6" s="40">
        <f>SUM(AG4:AG5)</f>
        <v>156</v>
      </c>
      <c r="AH6" s="40">
        <f>SUM(AH4:AH5)</f>
        <v>12.4</v>
      </c>
      <c r="AI6" s="40">
        <f t="shared" ref="AI6:BA6" si="0">SUM(AI4:AI5)</f>
        <v>607.9</v>
      </c>
      <c r="AJ6" s="40">
        <f t="shared" si="0"/>
        <v>71461.21</v>
      </c>
      <c r="AK6" s="40">
        <f t="shared" si="0"/>
        <v>4048.68</v>
      </c>
      <c r="AL6" s="40">
        <f t="shared" si="0"/>
        <v>70000</v>
      </c>
      <c r="AM6" s="40">
        <f t="shared" si="0"/>
        <v>7000</v>
      </c>
      <c r="AN6" s="40">
        <f t="shared" si="0"/>
        <v>0</v>
      </c>
      <c r="AO6" s="40">
        <f t="shared" si="0"/>
        <v>7000</v>
      </c>
      <c r="AP6" s="40">
        <f t="shared" si="0"/>
        <v>0</v>
      </c>
      <c r="AQ6" s="40">
        <f t="shared" si="0"/>
        <v>0</v>
      </c>
      <c r="AR6" s="40">
        <f t="shared" si="0"/>
        <v>82115.01</v>
      </c>
      <c r="AS6" s="40">
        <f t="shared" si="0"/>
        <v>4656.58</v>
      </c>
      <c r="AT6" s="40">
        <f t="shared" si="0"/>
        <v>80000</v>
      </c>
      <c r="AU6" s="40">
        <f t="shared" si="0"/>
        <v>16000</v>
      </c>
      <c r="AV6" s="40">
        <f t="shared" si="0"/>
        <v>-18541.57</v>
      </c>
      <c r="AW6" s="40">
        <f t="shared" si="0"/>
        <v>379.75</v>
      </c>
      <c r="AX6" s="40">
        <f t="shared" si="0"/>
        <v>321.38</v>
      </c>
      <c r="AY6" s="40">
        <f t="shared" si="0"/>
        <v>58.37</v>
      </c>
      <c r="AZ6" s="40">
        <f t="shared" si="0"/>
        <v>0</v>
      </c>
      <c r="BA6" s="40">
        <f>SUM(BA4:BA5)</f>
        <v>9987.53</v>
      </c>
      <c r="BB6" s="79"/>
    </row>
    <row r="7" s="4" customFormat="1" ht="25" customHeight="1" spans="1:54">
      <c r="A7" s="18">
        <v>3</v>
      </c>
      <c r="B7" s="27" t="s">
        <v>68</v>
      </c>
      <c r="C7" s="20" t="s">
        <v>69</v>
      </c>
      <c r="D7" s="20" t="s">
        <v>56</v>
      </c>
      <c r="E7" s="20" t="s">
        <v>57</v>
      </c>
      <c r="F7" s="20" t="s">
        <v>58</v>
      </c>
      <c r="G7" s="21" t="s">
        <v>70</v>
      </c>
      <c r="H7" s="21" t="s">
        <v>71</v>
      </c>
      <c r="I7" s="20"/>
      <c r="J7" s="39">
        <v>2100</v>
      </c>
      <c r="K7" s="39">
        <f>3200</f>
        <v>3200</v>
      </c>
      <c r="L7" s="39">
        <f>1970*1.0575</f>
        <v>2083.28</v>
      </c>
      <c r="M7" s="39">
        <v>200</v>
      </c>
      <c r="N7" s="39">
        <v>100</v>
      </c>
      <c r="O7" s="39"/>
      <c r="P7" s="39">
        <v>40</v>
      </c>
      <c r="Q7" s="39"/>
      <c r="R7" s="39"/>
      <c r="S7" s="39"/>
      <c r="T7" s="39"/>
      <c r="U7" s="39">
        <v>19</v>
      </c>
      <c r="V7" s="48">
        <f>SUM(J7:S7)-T7+U7</f>
        <v>7742.28</v>
      </c>
      <c r="W7" s="49"/>
      <c r="X7" s="49"/>
      <c r="Y7" s="49"/>
      <c r="Z7" s="49"/>
      <c r="AA7" s="49"/>
      <c r="AB7" s="49"/>
      <c r="AC7" s="39"/>
      <c r="AD7" s="20">
        <v>338.08</v>
      </c>
      <c r="AE7" s="20">
        <v>84.52</v>
      </c>
      <c r="AF7" s="20">
        <v>16.9</v>
      </c>
      <c r="AG7" s="39">
        <v>137</v>
      </c>
      <c r="AH7" s="39">
        <v>12.4</v>
      </c>
      <c r="AI7" s="39">
        <f>SUM(AD7:AH7)</f>
        <v>588.9</v>
      </c>
      <c r="AJ7" s="63">
        <v>52035.79</v>
      </c>
      <c r="AK7" s="63">
        <v>3992.68</v>
      </c>
      <c r="AL7" s="63">
        <v>35000</v>
      </c>
      <c r="AM7" s="63">
        <v>7000</v>
      </c>
      <c r="AN7" s="63">
        <v>7000</v>
      </c>
      <c r="AO7" s="63"/>
      <c r="AP7" s="63"/>
      <c r="AQ7" s="63"/>
      <c r="AR7" s="70">
        <f>V7+AJ7</f>
        <v>59778.07</v>
      </c>
      <c r="AS7" s="70">
        <f>AI7+AK7</f>
        <v>4581.58</v>
      </c>
      <c r="AT7" s="71">
        <f>AL7+5000</f>
        <v>40000</v>
      </c>
      <c r="AU7" s="71">
        <f>AN7+AM7+2000</f>
        <v>16000</v>
      </c>
      <c r="AV7" s="70">
        <f>AR7-AS7-AT7-AU7</f>
        <v>-803.51</v>
      </c>
      <c r="AW7" s="74">
        <f>5*MAX(0,AV7*{0.6;2;4;5;6;7;9}%-{0;504;3384;6384;10584;17184;36384})</f>
        <v>0</v>
      </c>
      <c r="AX7" s="80">
        <v>0</v>
      </c>
      <c r="AY7" s="74">
        <f>IF(+AW7-AX7&gt;0,AW7-AX7,0)</f>
        <v>0</v>
      </c>
      <c r="AZ7" s="38"/>
      <c r="BA7" s="75">
        <f>V7-AI7-AY7</f>
        <v>7153.38</v>
      </c>
      <c r="BB7" s="76"/>
    </row>
    <row r="8" s="4" customFormat="1" ht="24" customHeight="1" spans="1:55">
      <c r="A8" s="22"/>
      <c r="B8" s="23" t="s">
        <v>72</v>
      </c>
      <c r="C8" s="24"/>
      <c r="D8" s="25"/>
      <c r="E8" s="25"/>
      <c r="F8" s="25"/>
      <c r="G8" s="21"/>
      <c r="H8" s="21"/>
      <c r="I8" s="25"/>
      <c r="J8" s="40">
        <f>SUM(J7)</f>
        <v>2100</v>
      </c>
      <c r="K8" s="40">
        <f>SUM(K7)</f>
        <v>3200</v>
      </c>
      <c r="L8" s="40">
        <f>SUM(L7)</f>
        <v>2083.28</v>
      </c>
      <c r="M8" s="40">
        <f>SUM(M7)</f>
        <v>200</v>
      </c>
      <c r="N8" s="40">
        <f>SUM(N7)</f>
        <v>100</v>
      </c>
      <c r="O8" s="40">
        <f>SUM(O7)</f>
        <v>0</v>
      </c>
      <c r="P8" s="40">
        <f>SUM(P7)</f>
        <v>40</v>
      </c>
      <c r="Q8" s="40">
        <f>SUM(Q7)</f>
        <v>0</v>
      </c>
      <c r="R8" s="40">
        <f>SUM(R7)</f>
        <v>0</v>
      </c>
      <c r="S8" s="40">
        <f>SUM(S7)</f>
        <v>0</v>
      </c>
      <c r="T8" s="40">
        <f>SUM(T7)</f>
        <v>0</v>
      </c>
      <c r="U8" s="40">
        <f>SUM(U7)</f>
        <v>19</v>
      </c>
      <c r="V8" s="40">
        <f>SUM(V7)</f>
        <v>7742.28</v>
      </c>
      <c r="W8" s="40">
        <f>SUM(W7)</f>
        <v>0</v>
      </c>
      <c r="X8" s="40">
        <f>SUM(X7)</f>
        <v>0</v>
      </c>
      <c r="Y8" s="40">
        <f>SUM(Y7)</f>
        <v>0</v>
      </c>
      <c r="Z8" s="40">
        <f>SUM(Z7)</f>
        <v>0</v>
      </c>
      <c r="AA8" s="40">
        <f>SUM(AA7)</f>
        <v>0</v>
      </c>
      <c r="AB8" s="40">
        <f>SUM(AB7)</f>
        <v>0</v>
      </c>
      <c r="AC8" s="40">
        <f>SUM(AC7)</f>
        <v>0</v>
      </c>
      <c r="AD8" s="40">
        <f>SUM(AD7)</f>
        <v>338.08</v>
      </c>
      <c r="AE8" s="40">
        <f>SUM(AE7)</f>
        <v>84.52</v>
      </c>
      <c r="AF8" s="40">
        <f>SUM(AF7)</f>
        <v>16.9</v>
      </c>
      <c r="AG8" s="40">
        <f>SUM(AG7)</f>
        <v>137</v>
      </c>
      <c r="AH8" s="40">
        <f>SUM(AH7)</f>
        <v>12.4</v>
      </c>
      <c r="AI8" s="40">
        <f t="shared" ref="AI8:BA8" si="1">SUM(AI7)</f>
        <v>588.9</v>
      </c>
      <c r="AJ8" s="40">
        <f t="shared" si="1"/>
        <v>52035.79</v>
      </c>
      <c r="AK8" s="40">
        <f t="shared" si="1"/>
        <v>3992.68</v>
      </c>
      <c r="AL8" s="40">
        <f t="shared" si="1"/>
        <v>35000</v>
      </c>
      <c r="AM8" s="40">
        <f t="shared" si="1"/>
        <v>7000</v>
      </c>
      <c r="AN8" s="40">
        <f t="shared" si="1"/>
        <v>7000</v>
      </c>
      <c r="AO8" s="40">
        <f t="shared" si="1"/>
        <v>0</v>
      </c>
      <c r="AP8" s="40">
        <f t="shared" si="1"/>
        <v>0</v>
      </c>
      <c r="AQ8" s="40">
        <f t="shared" si="1"/>
        <v>0</v>
      </c>
      <c r="AR8" s="40">
        <f t="shared" si="1"/>
        <v>59778.07</v>
      </c>
      <c r="AS8" s="40">
        <f t="shared" si="1"/>
        <v>4581.58</v>
      </c>
      <c r="AT8" s="40">
        <f t="shared" si="1"/>
        <v>40000</v>
      </c>
      <c r="AU8" s="40">
        <f t="shared" si="1"/>
        <v>16000</v>
      </c>
      <c r="AV8" s="40">
        <f t="shared" si="1"/>
        <v>-803.51</v>
      </c>
      <c r="AW8" s="40">
        <f t="shared" si="1"/>
        <v>0</v>
      </c>
      <c r="AX8" s="40">
        <f t="shared" si="1"/>
        <v>0</v>
      </c>
      <c r="AY8" s="40">
        <f t="shared" si="1"/>
        <v>0</v>
      </c>
      <c r="AZ8" s="40">
        <f t="shared" si="1"/>
        <v>0</v>
      </c>
      <c r="BA8" s="40">
        <f t="shared" si="1"/>
        <v>7153.38</v>
      </c>
      <c r="BB8" s="79"/>
      <c r="BC8" s="81"/>
    </row>
    <row r="9" s="4" customFormat="1" ht="25" customHeight="1" spans="1:55">
      <c r="A9" s="18">
        <v>4</v>
      </c>
      <c r="B9" s="27" t="s">
        <v>73</v>
      </c>
      <c r="C9" s="20" t="s">
        <v>74</v>
      </c>
      <c r="D9" s="20" t="s">
        <v>75</v>
      </c>
      <c r="E9" s="20" t="s">
        <v>57</v>
      </c>
      <c r="F9" s="20" t="s">
        <v>58</v>
      </c>
      <c r="G9" s="21" t="s">
        <v>76</v>
      </c>
      <c r="H9" s="21" t="s">
        <v>77</v>
      </c>
      <c r="I9" s="20"/>
      <c r="J9" s="39">
        <f>2100/168*158</f>
        <v>1975</v>
      </c>
      <c r="K9" s="39">
        <f>2000/168*158</f>
        <v>1880.95</v>
      </c>
      <c r="L9" s="39">
        <f>(970*1.085)/168*158</f>
        <v>989.8</v>
      </c>
      <c r="M9" s="39"/>
      <c r="N9" s="39">
        <v>100</v>
      </c>
      <c r="O9" s="39"/>
      <c r="P9" s="39">
        <v>40</v>
      </c>
      <c r="Q9" s="39"/>
      <c r="R9" s="39"/>
      <c r="S9" s="39"/>
      <c r="T9" s="39"/>
      <c r="U9" s="39">
        <v>19</v>
      </c>
      <c r="V9" s="48">
        <f>SUM(J9:S9)-T9+U9</f>
        <v>5004.75</v>
      </c>
      <c r="W9" s="49"/>
      <c r="X9" s="49"/>
      <c r="Y9" s="49"/>
      <c r="Z9" s="49"/>
      <c r="AA9" s="49"/>
      <c r="AB9" s="49"/>
      <c r="AC9" s="39"/>
      <c r="AD9" s="58">
        <v>325.68</v>
      </c>
      <c r="AE9" s="49">
        <v>81.42</v>
      </c>
      <c r="AF9" s="49">
        <v>16.28</v>
      </c>
      <c r="AG9" s="39">
        <v>119</v>
      </c>
      <c r="AH9" s="39">
        <v>85.6</v>
      </c>
      <c r="AI9" s="39">
        <f>SUM(AD9:AH9)</f>
        <v>627.98</v>
      </c>
      <c r="AJ9" s="65">
        <v>35730.79</v>
      </c>
      <c r="AK9" s="65">
        <v>3686.97</v>
      </c>
      <c r="AL9" s="65">
        <v>35000</v>
      </c>
      <c r="AM9" s="65"/>
      <c r="AN9" s="65"/>
      <c r="AO9" s="65"/>
      <c r="AP9" s="65"/>
      <c r="AQ9" s="65"/>
      <c r="AR9" s="70">
        <f>V9+AJ9</f>
        <v>40735.54</v>
      </c>
      <c r="AS9" s="70">
        <f>AI9+AK9</f>
        <v>4314.95</v>
      </c>
      <c r="AT9" s="71">
        <f>AL9+5000</f>
        <v>40000</v>
      </c>
      <c r="AU9" s="71"/>
      <c r="AV9" s="70">
        <f>AR9-AS9-AT9-AU9</f>
        <v>-3579.41</v>
      </c>
      <c r="AW9" s="74">
        <f>5*MAX(0,AV9*{0.6;2;4;5;6;7;9}%-{0;504;3384;6384;10584;17184;36384})</f>
        <v>0</v>
      </c>
      <c r="AX9" s="80">
        <v>0</v>
      </c>
      <c r="AY9" s="74">
        <f>IF(+AW9-AX9&gt;0,AW9-AX9,0)</f>
        <v>0</v>
      </c>
      <c r="AZ9" s="38"/>
      <c r="BA9" s="75">
        <f>V9-AI9-AY9</f>
        <v>4376.77</v>
      </c>
      <c r="BB9" s="76"/>
      <c r="BC9" s="82"/>
    </row>
    <row r="10" s="4" customFormat="1" ht="24" customHeight="1" spans="1:55">
      <c r="A10" s="22"/>
      <c r="B10" s="23" t="s">
        <v>78</v>
      </c>
      <c r="C10" s="24"/>
      <c r="D10" s="25"/>
      <c r="E10" s="25"/>
      <c r="F10" s="25"/>
      <c r="G10" s="21"/>
      <c r="H10" s="21"/>
      <c r="I10" s="25"/>
      <c r="J10" s="40">
        <f>SUM(J9)</f>
        <v>1975</v>
      </c>
      <c r="K10" s="40">
        <f>SUM(K9)</f>
        <v>1880.95</v>
      </c>
      <c r="L10" s="40">
        <f>SUM(L9)</f>
        <v>989.8</v>
      </c>
      <c r="M10" s="40">
        <f>SUM(M9)</f>
        <v>0</v>
      </c>
      <c r="N10" s="40">
        <f t="shared" ref="N10:BA10" si="2">SUM(N9)</f>
        <v>100</v>
      </c>
      <c r="O10" s="40">
        <f t="shared" si="2"/>
        <v>0</v>
      </c>
      <c r="P10" s="40">
        <f t="shared" si="2"/>
        <v>40</v>
      </c>
      <c r="Q10" s="40">
        <f t="shared" si="2"/>
        <v>0</v>
      </c>
      <c r="R10" s="40">
        <f t="shared" si="2"/>
        <v>0</v>
      </c>
      <c r="S10" s="40">
        <f t="shared" si="2"/>
        <v>0</v>
      </c>
      <c r="T10" s="40">
        <f t="shared" si="2"/>
        <v>0</v>
      </c>
      <c r="U10" s="40">
        <f t="shared" si="2"/>
        <v>19</v>
      </c>
      <c r="V10" s="40">
        <f t="shared" si="2"/>
        <v>5004.75</v>
      </c>
      <c r="W10" s="40">
        <f t="shared" si="2"/>
        <v>0</v>
      </c>
      <c r="X10" s="40">
        <f t="shared" si="2"/>
        <v>0</v>
      </c>
      <c r="Y10" s="40">
        <f t="shared" si="2"/>
        <v>0</v>
      </c>
      <c r="Z10" s="40">
        <f t="shared" si="2"/>
        <v>0</v>
      </c>
      <c r="AA10" s="40">
        <f t="shared" si="2"/>
        <v>0</v>
      </c>
      <c r="AB10" s="40">
        <f t="shared" si="2"/>
        <v>0</v>
      </c>
      <c r="AC10" s="40">
        <f t="shared" si="2"/>
        <v>0</v>
      </c>
      <c r="AD10" s="40">
        <f>SUM(AD9)</f>
        <v>325.68</v>
      </c>
      <c r="AE10" s="40">
        <f t="shared" si="2"/>
        <v>81.42</v>
      </c>
      <c r="AF10" s="40">
        <f t="shared" si="2"/>
        <v>16.28</v>
      </c>
      <c r="AG10" s="40">
        <f t="shared" si="2"/>
        <v>119</v>
      </c>
      <c r="AH10" s="40">
        <f t="shared" si="2"/>
        <v>85.6</v>
      </c>
      <c r="AI10" s="40">
        <f t="shared" ref="AI10:BA10" si="3">SUM(AI9)</f>
        <v>627.98</v>
      </c>
      <c r="AJ10" s="40">
        <f t="shared" si="3"/>
        <v>35730.79</v>
      </c>
      <c r="AK10" s="40">
        <f t="shared" si="3"/>
        <v>3686.97</v>
      </c>
      <c r="AL10" s="40">
        <f t="shared" si="3"/>
        <v>35000</v>
      </c>
      <c r="AM10" s="40">
        <f t="shared" si="3"/>
        <v>0</v>
      </c>
      <c r="AN10" s="40">
        <f t="shared" si="3"/>
        <v>0</v>
      </c>
      <c r="AO10" s="40">
        <f t="shared" si="3"/>
        <v>0</v>
      </c>
      <c r="AP10" s="40">
        <f t="shared" si="3"/>
        <v>0</v>
      </c>
      <c r="AQ10" s="40">
        <f t="shared" si="3"/>
        <v>0</v>
      </c>
      <c r="AR10" s="40">
        <f t="shared" si="3"/>
        <v>40735.54</v>
      </c>
      <c r="AS10" s="40">
        <f t="shared" si="3"/>
        <v>4314.95</v>
      </c>
      <c r="AT10" s="40">
        <f t="shared" si="3"/>
        <v>40000</v>
      </c>
      <c r="AU10" s="40">
        <f t="shared" si="3"/>
        <v>0</v>
      </c>
      <c r="AV10" s="40">
        <f t="shared" si="3"/>
        <v>-3579.41</v>
      </c>
      <c r="AW10" s="40">
        <f t="shared" si="3"/>
        <v>0</v>
      </c>
      <c r="AX10" s="40">
        <f t="shared" si="3"/>
        <v>0</v>
      </c>
      <c r="AY10" s="40">
        <f t="shared" si="3"/>
        <v>0</v>
      </c>
      <c r="AZ10" s="40">
        <f t="shared" si="3"/>
        <v>0</v>
      </c>
      <c r="BA10" s="40">
        <f>SUM(BA9)</f>
        <v>4376.77</v>
      </c>
      <c r="BB10" s="79"/>
      <c r="BC10" s="81"/>
    </row>
    <row r="11" s="4" customFormat="1" ht="25" customHeight="1" spans="1:54">
      <c r="A11" s="18">
        <v>5</v>
      </c>
      <c r="B11" s="19" t="s">
        <v>79</v>
      </c>
      <c r="C11" s="20" t="s">
        <v>80</v>
      </c>
      <c r="D11" s="20" t="s">
        <v>56</v>
      </c>
      <c r="E11" s="20" t="s">
        <v>57</v>
      </c>
      <c r="F11" s="20" t="s">
        <v>58</v>
      </c>
      <c r="G11" s="21" t="s">
        <v>81</v>
      </c>
      <c r="H11" s="21" t="s">
        <v>82</v>
      </c>
      <c r="I11" s="20"/>
      <c r="J11" s="39">
        <v>2100</v>
      </c>
      <c r="K11" s="39">
        <v>3500</v>
      </c>
      <c r="L11" s="39">
        <f>2670*1.119</f>
        <v>2987.73</v>
      </c>
      <c r="M11" s="39">
        <v>200</v>
      </c>
      <c r="N11" s="39">
        <v>100</v>
      </c>
      <c r="O11" s="39"/>
      <c r="P11" s="39">
        <v>60</v>
      </c>
      <c r="Q11" s="39"/>
      <c r="R11" s="39"/>
      <c r="S11" s="39"/>
      <c r="T11" s="39"/>
      <c r="U11" s="39">
        <v>19</v>
      </c>
      <c r="V11" s="48">
        <f>SUM(J11:S11)-T11+U11</f>
        <v>8966.73</v>
      </c>
      <c r="W11" s="49">
        <v>431.52</v>
      </c>
      <c r="X11" s="49">
        <v>19.42</v>
      </c>
      <c r="Y11" s="49">
        <v>210.34</v>
      </c>
      <c r="Z11" s="49">
        <v>32.36</v>
      </c>
      <c r="AA11" s="49">
        <v>7.28</v>
      </c>
      <c r="AB11" s="49">
        <v>25.89</v>
      </c>
      <c r="AC11" s="39">
        <v>119</v>
      </c>
      <c r="AD11" s="20">
        <v>338.08</v>
      </c>
      <c r="AE11" s="20">
        <v>84.52</v>
      </c>
      <c r="AF11" s="20">
        <v>16.9</v>
      </c>
      <c r="AG11" s="39">
        <v>137</v>
      </c>
      <c r="AH11" s="39">
        <v>12.4</v>
      </c>
      <c r="AI11" s="39">
        <f>SUM(AD11:AH11)</f>
        <v>588.9</v>
      </c>
      <c r="AJ11" s="66">
        <v>59439.66</v>
      </c>
      <c r="AK11" s="66">
        <v>3992.68</v>
      </c>
      <c r="AL11" s="66">
        <v>35000</v>
      </c>
      <c r="AM11" s="66">
        <v>7000</v>
      </c>
      <c r="AN11" s="66">
        <v>7000</v>
      </c>
      <c r="AO11" s="66"/>
      <c r="AP11" s="66"/>
      <c r="AQ11" s="66"/>
      <c r="AR11" s="70">
        <f>V11+AJ11</f>
        <v>68406.39</v>
      </c>
      <c r="AS11" s="70">
        <f t="shared" ref="AS11:AS29" si="4">AI11+AK11</f>
        <v>4581.58</v>
      </c>
      <c r="AT11" s="71">
        <f>AL11+5000</f>
        <v>40000</v>
      </c>
      <c r="AU11" s="71">
        <f>AM11+AN11+2000</f>
        <v>16000</v>
      </c>
      <c r="AV11" s="70">
        <f>AR11-AS11-AT11-AU11</f>
        <v>7824.81</v>
      </c>
      <c r="AW11" s="74">
        <f>5*MAX(0,AV11*{0.6;2;4;5;6;7;9}%-{0;504;3384;6384;10584;17184;36384})</f>
        <v>234.74</v>
      </c>
      <c r="AX11" s="80">
        <v>193.41</v>
      </c>
      <c r="AY11" s="74">
        <f>IF(+AW11-AX11&gt;0,AW11-AX11,0)</f>
        <v>41.33</v>
      </c>
      <c r="AZ11" s="38"/>
      <c r="BA11" s="75">
        <f>V11-AI11-AY11</f>
        <v>8336.5</v>
      </c>
      <c r="BB11" s="76"/>
    </row>
    <row r="12" s="4" customFormat="1" ht="25" customHeight="1" spans="1:54">
      <c r="A12" s="18">
        <v>6</v>
      </c>
      <c r="B12" s="19" t="s">
        <v>83</v>
      </c>
      <c r="C12" s="20" t="s">
        <v>80</v>
      </c>
      <c r="D12" s="20" t="s">
        <v>84</v>
      </c>
      <c r="E12" s="20" t="s">
        <v>85</v>
      </c>
      <c r="F12" s="20" t="s">
        <v>86</v>
      </c>
      <c r="G12" s="21" t="s">
        <v>87</v>
      </c>
      <c r="H12" s="21" t="s">
        <v>88</v>
      </c>
      <c r="I12" s="20"/>
      <c r="J12" s="39">
        <v>2100</v>
      </c>
      <c r="K12" s="39">
        <f>400/168*104</f>
        <v>247.62</v>
      </c>
      <c r="L12" s="39">
        <f>300/168*104</f>
        <v>185.71</v>
      </c>
      <c r="M12" s="39"/>
      <c r="N12" s="39">
        <v>100</v>
      </c>
      <c r="O12" s="39">
        <f>100/168*104</f>
        <v>61.9</v>
      </c>
      <c r="P12" s="39">
        <v>60</v>
      </c>
      <c r="Q12" s="39"/>
      <c r="R12" s="39"/>
      <c r="S12" s="39"/>
      <c r="T12" s="39"/>
      <c r="U12" s="39"/>
      <c r="V12" s="48">
        <f>SUM(J12:S12)-T12+U12</f>
        <v>2755.23</v>
      </c>
      <c r="W12" s="49">
        <v>431.52</v>
      </c>
      <c r="X12" s="49">
        <v>19.42</v>
      </c>
      <c r="Y12" s="49">
        <v>210.34</v>
      </c>
      <c r="Z12" s="49">
        <v>32.36</v>
      </c>
      <c r="AA12" s="49">
        <v>7.28</v>
      </c>
      <c r="AB12" s="49">
        <v>25.89</v>
      </c>
      <c r="AC12" s="49">
        <v>107</v>
      </c>
      <c r="AD12" s="58">
        <v>325.68</v>
      </c>
      <c r="AE12" s="49">
        <v>81.42</v>
      </c>
      <c r="AF12" s="49">
        <v>16.28</v>
      </c>
      <c r="AG12" s="39">
        <v>126</v>
      </c>
      <c r="AH12" s="39">
        <v>165.6</v>
      </c>
      <c r="AI12" s="39">
        <f t="shared" ref="AI12:AI39" si="5">SUM(AD12:AH12)</f>
        <v>714.98</v>
      </c>
      <c r="AJ12" s="66">
        <v>23389.17</v>
      </c>
      <c r="AK12" s="66">
        <v>3560.97</v>
      </c>
      <c r="AL12" s="66">
        <v>35000</v>
      </c>
      <c r="AM12" s="66"/>
      <c r="AN12" s="66"/>
      <c r="AO12" s="66"/>
      <c r="AP12" s="66"/>
      <c r="AQ12" s="66"/>
      <c r="AR12" s="70">
        <f>V12+AJ12</f>
        <v>26144.4</v>
      </c>
      <c r="AS12" s="70">
        <f t="shared" si="4"/>
        <v>4275.95</v>
      </c>
      <c r="AT12" s="71">
        <f>AL12+5000</f>
        <v>40000</v>
      </c>
      <c r="AU12" s="71"/>
      <c r="AV12" s="70">
        <f>AR12-AS12-AT12-AU12</f>
        <v>-18131.55</v>
      </c>
      <c r="AW12" s="74">
        <f>5*MAX(0,AV12*{0.6;2;4;5;6;7;9}%-{0;504;3384;6384;10584;17184;36384})</f>
        <v>0</v>
      </c>
      <c r="AX12" s="80"/>
      <c r="AY12" s="74">
        <f>IF(+AW12-AX12&gt;0,AW12-AX12,0)</f>
        <v>0</v>
      </c>
      <c r="AZ12" s="38"/>
      <c r="BA12" s="75">
        <f>V12-AI12-AY12</f>
        <v>2040.25</v>
      </c>
      <c r="BB12" s="76"/>
    </row>
    <row r="13" s="4" customFormat="1" ht="25" customHeight="1" spans="1:54">
      <c r="A13" s="18">
        <v>7</v>
      </c>
      <c r="B13" s="19" t="s">
        <v>89</v>
      </c>
      <c r="C13" s="20" t="s">
        <v>80</v>
      </c>
      <c r="D13" s="20" t="s">
        <v>90</v>
      </c>
      <c r="E13" s="20" t="s">
        <v>85</v>
      </c>
      <c r="F13" s="20" t="s">
        <v>86</v>
      </c>
      <c r="G13" s="21" t="s">
        <v>91</v>
      </c>
      <c r="H13" s="21" t="s">
        <v>92</v>
      </c>
      <c r="I13" s="20"/>
      <c r="J13" s="39">
        <f>2100/168*152</f>
        <v>1900</v>
      </c>
      <c r="K13" s="39">
        <f>700/168*77.5</f>
        <v>322.92</v>
      </c>
      <c r="L13" s="39">
        <f>500/168*77.5</f>
        <v>230.65</v>
      </c>
      <c r="M13" s="39"/>
      <c r="N13" s="39">
        <v>100</v>
      </c>
      <c r="O13" s="39">
        <v>0</v>
      </c>
      <c r="P13" s="39">
        <v>60</v>
      </c>
      <c r="Q13" s="39"/>
      <c r="R13" s="39"/>
      <c r="S13" s="39"/>
      <c r="T13" s="39"/>
      <c r="U13" s="51"/>
      <c r="V13" s="48">
        <f>SUM(J13:S13)-T13+U13</f>
        <v>2613.57</v>
      </c>
      <c r="W13" s="49">
        <v>431.52</v>
      </c>
      <c r="X13" s="49">
        <v>19.42</v>
      </c>
      <c r="Y13" s="49">
        <v>210.34</v>
      </c>
      <c r="Z13" s="49">
        <v>32.36</v>
      </c>
      <c r="AA13" s="49">
        <v>7.28</v>
      </c>
      <c r="AB13" s="49">
        <v>25.89</v>
      </c>
      <c r="AC13" s="49">
        <v>107</v>
      </c>
      <c r="AD13" s="58">
        <v>325.68</v>
      </c>
      <c r="AE13" s="49">
        <v>81.42</v>
      </c>
      <c r="AF13" s="49">
        <v>16.28</v>
      </c>
      <c r="AG13" s="39">
        <v>126</v>
      </c>
      <c r="AH13" s="39">
        <v>165.6</v>
      </c>
      <c r="AI13" s="39">
        <f t="shared" si="5"/>
        <v>714.98</v>
      </c>
      <c r="AJ13" s="66">
        <v>24868.64</v>
      </c>
      <c r="AK13" s="66">
        <v>3560.97</v>
      </c>
      <c r="AL13" s="66">
        <v>35000</v>
      </c>
      <c r="AM13" s="64"/>
      <c r="AN13" s="64"/>
      <c r="AO13" s="64"/>
      <c r="AP13" s="64"/>
      <c r="AQ13" s="64"/>
      <c r="AR13" s="70">
        <f>V13+AJ13</f>
        <v>27482.21</v>
      </c>
      <c r="AS13" s="70">
        <f t="shared" si="4"/>
        <v>4275.95</v>
      </c>
      <c r="AT13" s="71">
        <f>AL13+5000</f>
        <v>40000</v>
      </c>
      <c r="AU13" s="71"/>
      <c r="AV13" s="70">
        <f>AR13-AS13-AT13-AU13</f>
        <v>-16793.74</v>
      </c>
      <c r="AW13" s="74">
        <f>5*MAX(0,AV13*{0.6;2;4;5;6;7;9}%-{0;504;3384;6384;10584;17184;36384})</f>
        <v>0</v>
      </c>
      <c r="AX13" s="80"/>
      <c r="AY13" s="74">
        <f>IF(+AW13-AX13&gt;0,AW13-AX13,0)</f>
        <v>0</v>
      </c>
      <c r="AZ13" s="38"/>
      <c r="BA13" s="75">
        <f>V13-AI13-AY13</f>
        <v>1898.59</v>
      </c>
      <c r="BB13" s="76" t="s">
        <v>93</v>
      </c>
    </row>
    <row r="14" s="4" customFormat="1" ht="25" customHeight="1" spans="1:54">
      <c r="A14" s="18">
        <v>8</v>
      </c>
      <c r="B14" s="19" t="s">
        <v>94</v>
      </c>
      <c r="C14" s="20" t="s">
        <v>80</v>
      </c>
      <c r="D14" s="20" t="s">
        <v>84</v>
      </c>
      <c r="E14" s="20" t="s">
        <v>85</v>
      </c>
      <c r="F14" s="20" t="s">
        <v>86</v>
      </c>
      <c r="G14" s="21" t="s">
        <v>95</v>
      </c>
      <c r="H14" s="21" t="s">
        <v>96</v>
      </c>
      <c r="I14" s="20"/>
      <c r="J14" s="39">
        <v>2100</v>
      </c>
      <c r="K14" s="39">
        <f>200/168*104</f>
        <v>123.81</v>
      </c>
      <c r="L14" s="39">
        <f>300/168*104</f>
        <v>185.71</v>
      </c>
      <c r="M14" s="39"/>
      <c r="N14" s="39">
        <v>100</v>
      </c>
      <c r="O14" s="39">
        <f>100/168*104</f>
        <v>61.9</v>
      </c>
      <c r="P14" s="39">
        <v>60</v>
      </c>
      <c r="Q14" s="39"/>
      <c r="R14" s="39"/>
      <c r="S14" s="39"/>
      <c r="U14" s="51"/>
      <c r="V14" s="48">
        <f>SUM(J14:S14)-T14+U14</f>
        <v>2631.42</v>
      </c>
      <c r="W14" s="49">
        <v>431.52</v>
      </c>
      <c r="X14" s="49">
        <v>19.42</v>
      </c>
      <c r="Y14" s="49">
        <v>210.34</v>
      </c>
      <c r="Z14" s="49">
        <v>32.36</v>
      </c>
      <c r="AA14" s="49">
        <v>7.28</v>
      </c>
      <c r="AB14" s="49">
        <v>25.89</v>
      </c>
      <c r="AC14" s="49">
        <v>107</v>
      </c>
      <c r="AD14" s="58">
        <v>325.68</v>
      </c>
      <c r="AE14" s="49">
        <v>81.42</v>
      </c>
      <c r="AF14" s="49">
        <v>16.28</v>
      </c>
      <c r="AG14" s="39">
        <v>126</v>
      </c>
      <c r="AH14" s="39">
        <v>165.6</v>
      </c>
      <c r="AI14" s="39">
        <f t="shared" si="5"/>
        <v>714.98</v>
      </c>
      <c r="AJ14" s="66">
        <v>22175.57</v>
      </c>
      <c r="AK14" s="66">
        <v>3560.97</v>
      </c>
      <c r="AL14" s="66">
        <v>35000</v>
      </c>
      <c r="AM14" s="64"/>
      <c r="AN14" s="64"/>
      <c r="AO14" s="64"/>
      <c r="AP14" s="64"/>
      <c r="AQ14" s="64"/>
      <c r="AR14" s="70">
        <f>V14+AJ14</f>
        <v>24806.99</v>
      </c>
      <c r="AS14" s="70">
        <f t="shared" si="4"/>
        <v>4275.95</v>
      </c>
      <c r="AT14" s="71">
        <f>AL14+5000</f>
        <v>40000</v>
      </c>
      <c r="AU14" s="71"/>
      <c r="AV14" s="70">
        <f>AR14-AS14-AT14-AU14</f>
        <v>-19468.96</v>
      </c>
      <c r="AW14" s="74">
        <f>5*MAX(0,AV14*{0.6;2;4;5;6;7;9}%-{0;504;3384;6384;10584;17184;36384})</f>
        <v>0</v>
      </c>
      <c r="AX14" s="80"/>
      <c r="AY14" s="74">
        <f>IF(+AW14-AX14&gt;0,AW14-AX14,0)</f>
        <v>0</v>
      </c>
      <c r="AZ14" s="38"/>
      <c r="BA14" s="75">
        <f>V14-AI14-AY14</f>
        <v>1916.44</v>
      </c>
      <c r="BB14" s="83"/>
    </row>
    <row r="15" s="4" customFormat="1" ht="25" customHeight="1" spans="1:54">
      <c r="A15" s="18">
        <v>9</v>
      </c>
      <c r="B15" s="19" t="s">
        <v>97</v>
      </c>
      <c r="C15" s="20" t="s">
        <v>80</v>
      </c>
      <c r="D15" s="20" t="s">
        <v>98</v>
      </c>
      <c r="E15" s="20" t="s">
        <v>85</v>
      </c>
      <c r="F15" s="20" t="s">
        <v>86</v>
      </c>
      <c r="G15" s="21" t="s">
        <v>99</v>
      </c>
      <c r="H15" s="21" t="s">
        <v>100</v>
      </c>
      <c r="I15" s="20"/>
      <c r="J15" s="39">
        <v>2100</v>
      </c>
      <c r="K15" s="39">
        <f>200/168*101</f>
        <v>120.24</v>
      </c>
      <c r="L15" s="39">
        <f>300/168*101</f>
        <v>180.36</v>
      </c>
      <c r="M15" s="39"/>
      <c r="N15" s="39">
        <v>100</v>
      </c>
      <c r="O15" s="39">
        <f>100/168*101</f>
        <v>60.12</v>
      </c>
      <c r="P15" s="39">
        <v>60</v>
      </c>
      <c r="Q15" s="39"/>
      <c r="R15" s="39"/>
      <c r="S15" s="39">
        <v>400</v>
      </c>
      <c r="T15" s="39"/>
      <c r="U15" s="51"/>
      <c r="V15" s="48">
        <f>SUM(J15:S15)-T15+U15</f>
        <v>3020.72</v>
      </c>
      <c r="W15" s="49">
        <v>431.52</v>
      </c>
      <c r="X15" s="49">
        <v>19.42</v>
      </c>
      <c r="Y15" s="49">
        <v>210.34</v>
      </c>
      <c r="Z15" s="49">
        <v>32.36</v>
      </c>
      <c r="AA15" s="49">
        <v>7.28</v>
      </c>
      <c r="AB15" s="49">
        <v>25.89</v>
      </c>
      <c r="AC15" s="49">
        <v>107</v>
      </c>
      <c r="AD15" s="58">
        <v>325.68</v>
      </c>
      <c r="AE15" s="49">
        <v>81.42</v>
      </c>
      <c r="AF15" s="49">
        <v>16.28</v>
      </c>
      <c r="AG15" s="39">
        <v>126</v>
      </c>
      <c r="AH15" s="39">
        <v>165.6</v>
      </c>
      <c r="AI15" s="39">
        <f t="shared" si="5"/>
        <v>714.98</v>
      </c>
      <c r="AJ15" s="66">
        <v>25033.42</v>
      </c>
      <c r="AK15" s="66">
        <v>3560.97</v>
      </c>
      <c r="AL15" s="66">
        <v>35000</v>
      </c>
      <c r="AM15" s="64"/>
      <c r="AN15" s="64"/>
      <c r="AO15" s="64"/>
      <c r="AP15" s="64"/>
      <c r="AQ15" s="64"/>
      <c r="AR15" s="70">
        <f>V15+AJ15</f>
        <v>28054.14</v>
      </c>
      <c r="AS15" s="70">
        <f t="shared" si="4"/>
        <v>4275.95</v>
      </c>
      <c r="AT15" s="71">
        <f>AL15+5000</f>
        <v>40000</v>
      </c>
      <c r="AU15" s="71"/>
      <c r="AV15" s="70">
        <f>AR15-AS15-AT15-AU15</f>
        <v>-16221.81</v>
      </c>
      <c r="AW15" s="74">
        <f>5*MAX(0,AV15*{0.6;2;4;5;6;7;9}%-{0;504;3384;6384;10584;17184;36384})</f>
        <v>0</v>
      </c>
      <c r="AX15" s="80"/>
      <c r="AY15" s="74">
        <f>IF(+AW15-AX15&gt;0,AW15-AX15,0)</f>
        <v>0</v>
      </c>
      <c r="AZ15" s="38"/>
      <c r="BA15" s="75">
        <f>V15-AI15-AY15</f>
        <v>2305.74</v>
      </c>
      <c r="BB15" s="83"/>
    </row>
    <row r="16" s="4" customFormat="1" ht="25" customHeight="1" spans="1:54">
      <c r="A16" s="18">
        <v>10</v>
      </c>
      <c r="B16" s="19" t="s">
        <v>101</v>
      </c>
      <c r="C16" s="20" t="s">
        <v>80</v>
      </c>
      <c r="D16" s="20" t="s">
        <v>98</v>
      </c>
      <c r="E16" s="20" t="s">
        <v>85</v>
      </c>
      <c r="F16" s="20" t="s">
        <v>86</v>
      </c>
      <c r="G16" s="21" t="s">
        <v>102</v>
      </c>
      <c r="H16" s="21" t="s">
        <v>103</v>
      </c>
      <c r="I16" s="20"/>
      <c r="J16" s="39">
        <v>2100</v>
      </c>
      <c r="K16" s="39">
        <f>300/168*104</f>
        <v>185.71</v>
      </c>
      <c r="L16" s="39">
        <f>300/168*104</f>
        <v>185.71</v>
      </c>
      <c r="M16" s="39"/>
      <c r="N16" s="39">
        <v>100</v>
      </c>
      <c r="O16" s="39">
        <f>100/168*104</f>
        <v>61.9</v>
      </c>
      <c r="P16" s="39">
        <v>60</v>
      </c>
      <c r="Q16" s="39"/>
      <c r="R16" s="39"/>
      <c r="S16" s="39">
        <v>400</v>
      </c>
      <c r="T16" s="39"/>
      <c r="U16" s="51"/>
      <c r="V16" s="48">
        <f t="shared" ref="V16:V36" si="6">SUM(J16:S16)-T16+U16</f>
        <v>3093.32</v>
      </c>
      <c r="W16" s="49">
        <v>431.52</v>
      </c>
      <c r="X16" s="49">
        <v>19.42</v>
      </c>
      <c r="Y16" s="49">
        <v>210.34</v>
      </c>
      <c r="Z16" s="49">
        <v>32.36</v>
      </c>
      <c r="AA16" s="49">
        <v>7.28</v>
      </c>
      <c r="AB16" s="49">
        <v>25.89</v>
      </c>
      <c r="AC16" s="49">
        <v>107</v>
      </c>
      <c r="AD16" s="58">
        <v>325.68</v>
      </c>
      <c r="AE16" s="49">
        <v>81.42</v>
      </c>
      <c r="AF16" s="49">
        <v>16.28</v>
      </c>
      <c r="AG16" s="39">
        <v>126</v>
      </c>
      <c r="AH16" s="39">
        <v>165.6</v>
      </c>
      <c r="AI16" s="39">
        <f t="shared" si="5"/>
        <v>714.98</v>
      </c>
      <c r="AJ16" s="66">
        <v>25238.68</v>
      </c>
      <c r="AK16" s="66">
        <v>3560.97</v>
      </c>
      <c r="AL16" s="66">
        <v>35000</v>
      </c>
      <c r="AM16" s="64"/>
      <c r="AN16" s="64"/>
      <c r="AO16" s="64"/>
      <c r="AP16" s="64"/>
      <c r="AQ16" s="64"/>
      <c r="AR16" s="70">
        <f t="shared" ref="AR16:AR36" si="7">V16+AJ16</f>
        <v>28332</v>
      </c>
      <c r="AS16" s="70">
        <f t="shared" si="4"/>
        <v>4275.95</v>
      </c>
      <c r="AT16" s="71">
        <f t="shared" ref="AT16:AT36" si="8">AL16+5000</f>
        <v>40000</v>
      </c>
      <c r="AU16" s="71"/>
      <c r="AV16" s="70">
        <f t="shared" ref="AV16:AV36" si="9">AR16-AS16-AT16-AU16</f>
        <v>-15943.95</v>
      </c>
      <c r="AW16" s="74">
        <f>5*MAX(0,AV16*{0.6;2;4;5;6;7;9}%-{0;504;3384;6384;10584;17184;36384})</f>
        <v>0</v>
      </c>
      <c r="AX16" s="80"/>
      <c r="AY16" s="74">
        <f t="shared" ref="AY16:AY36" si="10">IF(+AW16-AX16&gt;0,AW16-AX16,0)</f>
        <v>0</v>
      </c>
      <c r="AZ16" s="38"/>
      <c r="BA16" s="75">
        <f t="shared" ref="BA16:BA36" si="11">V16-AI16-AY16</f>
        <v>2378.34</v>
      </c>
      <c r="BB16" s="84"/>
    </row>
    <row r="17" s="4" customFormat="1" ht="25" customHeight="1" spans="1:54">
      <c r="A17" s="18">
        <v>11</v>
      </c>
      <c r="B17" s="19" t="s">
        <v>104</v>
      </c>
      <c r="C17" s="20" t="s">
        <v>80</v>
      </c>
      <c r="D17" s="20" t="s">
        <v>105</v>
      </c>
      <c r="E17" s="20" t="s">
        <v>57</v>
      </c>
      <c r="F17" s="20" t="s">
        <v>58</v>
      </c>
      <c r="G17" s="21" t="s">
        <v>106</v>
      </c>
      <c r="H17" s="21" t="s">
        <v>107</v>
      </c>
      <c r="I17" s="20"/>
      <c r="J17" s="39">
        <v>2100</v>
      </c>
      <c r="K17" s="39">
        <f>900</f>
        <v>900</v>
      </c>
      <c r="L17" s="39">
        <f>800*1.083</f>
        <v>866.4</v>
      </c>
      <c r="M17" s="39">
        <v>200</v>
      </c>
      <c r="N17" s="39">
        <v>100</v>
      </c>
      <c r="O17" s="39">
        <f>1470</f>
        <v>1470</v>
      </c>
      <c r="P17" s="39">
        <v>60</v>
      </c>
      <c r="Q17" s="39"/>
      <c r="R17" s="39"/>
      <c r="S17" s="39"/>
      <c r="T17" s="39"/>
      <c r="U17" s="51"/>
      <c r="V17" s="48">
        <f t="shared" si="6"/>
        <v>5696.4</v>
      </c>
      <c r="W17" s="49">
        <v>431.52</v>
      </c>
      <c r="X17" s="49">
        <v>19.42</v>
      </c>
      <c r="Y17" s="49">
        <v>210.34</v>
      </c>
      <c r="Z17" s="49">
        <v>32.36</v>
      </c>
      <c r="AA17" s="49">
        <v>7.28</v>
      </c>
      <c r="AB17" s="49">
        <v>25.89</v>
      </c>
      <c r="AC17" s="49">
        <v>107</v>
      </c>
      <c r="AD17" s="58">
        <v>325.68</v>
      </c>
      <c r="AE17" s="49">
        <v>81.42</v>
      </c>
      <c r="AF17" s="49">
        <v>16.28</v>
      </c>
      <c r="AG17" s="39">
        <v>138</v>
      </c>
      <c r="AH17" s="39">
        <v>165.6</v>
      </c>
      <c r="AI17" s="39">
        <f t="shared" si="5"/>
        <v>726.98</v>
      </c>
      <c r="AJ17" s="66">
        <v>37992</v>
      </c>
      <c r="AK17" s="66">
        <v>3584.97</v>
      </c>
      <c r="AL17" s="66">
        <v>35000</v>
      </c>
      <c r="AM17" s="64"/>
      <c r="AN17" s="64"/>
      <c r="AO17" s="64"/>
      <c r="AP17" s="64"/>
      <c r="AQ17" s="64"/>
      <c r="AR17" s="70">
        <f t="shared" si="7"/>
        <v>43688.4</v>
      </c>
      <c r="AS17" s="70">
        <f t="shared" si="4"/>
        <v>4311.95</v>
      </c>
      <c r="AT17" s="71">
        <f t="shared" si="8"/>
        <v>40000</v>
      </c>
      <c r="AU17" s="71"/>
      <c r="AV17" s="70">
        <f t="shared" si="9"/>
        <v>-623.55</v>
      </c>
      <c r="AW17" s="74">
        <f>5*MAX(0,AV17*{0.6;2;4;5;6;7;9}%-{0;504;3384;6384;10584;17184;36384})</f>
        <v>0</v>
      </c>
      <c r="AX17" s="80"/>
      <c r="AY17" s="74">
        <f t="shared" si="10"/>
        <v>0</v>
      </c>
      <c r="AZ17" s="38"/>
      <c r="BA17" s="75">
        <f t="shared" si="11"/>
        <v>4969.42</v>
      </c>
      <c r="BB17" s="83"/>
    </row>
    <row r="18" s="4" customFormat="1" ht="25" customHeight="1" spans="1:54">
      <c r="A18" s="18">
        <v>12</v>
      </c>
      <c r="B18" s="19" t="s">
        <v>108</v>
      </c>
      <c r="C18" s="20" t="s">
        <v>80</v>
      </c>
      <c r="D18" s="20" t="s">
        <v>84</v>
      </c>
      <c r="E18" s="20" t="s">
        <v>85</v>
      </c>
      <c r="F18" s="20" t="s">
        <v>86</v>
      </c>
      <c r="G18" s="21" t="s">
        <v>109</v>
      </c>
      <c r="H18" s="21" t="s">
        <v>110</v>
      </c>
      <c r="I18" s="20"/>
      <c r="J18" s="39">
        <v>2100</v>
      </c>
      <c r="K18" s="39">
        <f>200/168*104</f>
        <v>123.81</v>
      </c>
      <c r="L18" s="39">
        <f>300/168*104</f>
        <v>185.71</v>
      </c>
      <c r="M18" s="39"/>
      <c r="N18" s="39">
        <v>100</v>
      </c>
      <c r="O18" s="39">
        <f>100/168*104</f>
        <v>61.9</v>
      </c>
      <c r="P18" s="39">
        <v>40</v>
      </c>
      <c r="Q18" s="39"/>
      <c r="R18" s="39"/>
      <c r="S18" s="39"/>
      <c r="T18" s="39"/>
      <c r="U18" s="51"/>
      <c r="V18" s="48">
        <f t="shared" si="6"/>
        <v>2611.42</v>
      </c>
      <c r="W18" s="49">
        <v>431.52</v>
      </c>
      <c r="X18" s="49">
        <v>19.42</v>
      </c>
      <c r="Y18" s="49">
        <v>210.34</v>
      </c>
      <c r="Z18" s="49">
        <v>32.36</v>
      </c>
      <c r="AA18" s="49">
        <v>7.28</v>
      </c>
      <c r="AB18" s="49">
        <v>25.89</v>
      </c>
      <c r="AC18" s="49">
        <v>107</v>
      </c>
      <c r="AD18" s="58">
        <v>325.68</v>
      </c>
      <c r="AE18" s="49">
        <v>81.42</v>
      </c>
      <c r="AF18" s="49">
        <v>16.28</v>
      </c>
      <c r="AG18" s="39">
        <v>126</v>
      </c>
      <c r="AH18" s="39">
        <v>165.6</v>
      </c>
      <c r="AI18" s="39">
        <f t="shared" si="5"/>
        <v>714.98</v>
      </c>
      <c r="AJ18" s="66">
        <v>22122.3</v>
      </c>
      <c r="AK18" s="66">
        <v>3560.97</v>
      </c>
      <c r="AL18" s="66">
        <v>35000</v>
      </c>
      <c r="AM18" s="64"/>
      <c r="AN18" s="64"/>
      <c r="AO18" s="64"/>
      <c r="AP18" s="64"/>
      <c r="AQ18" s="64"/>
      <c r="AR18" s="70">
        <f t="shared" si="7"/>
        <v>24733.72</v>
      </c>
      <c r="AS18" s="70">
        <f t="shared" si="4"/>
        <v>4275.95</v>
      </c>
      <c r="AT18" s="71">
        <f t="shared" si="8"/>
        <v>40000</v>
      </c>
      <c r="AU18" s="71"/>
      <c r="AV18" s="70">
        <f t="shared" si="9"/>
        <v>-19542.23</v>
      </c>
      <c r="AW18" s="74">
        <f>5*MAX(0,AV18*{0.6;2;4;5;6;7;9}%-{0;504;3384;6384;10584;17184;36384})</f>
        <v>0</v>
      </c>
      <c r="AX18" s="80"/>
      <c r="AY18" s="74">
        <f t="shared" si="10"/>
        <v>0</v>
      </c>
      <c r="AZ18" s="38"/>
      <c r="BA18" s="75">
        <f t="shared" si="11"/>
        <v>1896.44</v>
      </c>
      <c r="BB18" s="85"/>
    </row>
    <row r="19" s="4" customFormat="1" ht="25" customHeight="1" spans="1:54">
      <c r="A19" s="18">
        <v>13</v>
      </c>
      <c r="B19" s="19" t="s">
        <v>111</v>
      </c>
      <c r="C19" s="20" t="s">
        <v>80</v>
      </c>
      <c r="D19" s="20" t="s">
        <v>98</v>
      </c>
      <c r="E19" s="20" t="s">
        <v>85</v>
      </c>
      <c r="F19" s="20" t="s">
        <v>86</v>
      </c>
      <c r="G19" s="21" t="s">
        <v>112</v>
      </c>
      <c r="H19" s="21" t="s">
        <v>113</v>
      </c>
      <c r="I19" s="20"/>
      <c r="J19" s="39">
        <v>2100</v>
      </c>
      <c r="K19" s="39">
        <f>300/168*104</f>
        <v>185.71</v>
      </c>
      <c r="L19" s="39">
        <f>300/168*104</f>
        <v>185.71</v>
      </c>
      <c r="M19" s="39"/>
      <c r="N19" s="39">
        <v>100</v>
      </c>
      <c r="O19" s="39">
        <f>100/168*104</f>
        <v>61.9</v>
      </c>
      <c r="P19" s="39">
        <v>40</v>
      </c>
      <c r="Q19" s="39"/>
      <c r="R19" s="39"/>
      <c r="S19" s="39">
        <v>400</v>
      </c>
      <c r="T19" s="39"/>
      <c r="U19" s="51"/>
      <c r="V19" s="48">
        <f t="shared" si="6"/>
        <v>3073.32</v>
      </c>
      <c r="W19" s="49">
        <v>431.52</v>
      </c>
      <c r="X19" s="49">
        <v>19.42</v>
      </c>
      <c r="Y19" s="49">
        <v>210.34</v>
      </c>
      <c r="Z19" s="49">
        <v>32.36</v>
      </c>
      <c r="AA19" s="49">
        <v>7.28</v>
      </c>
      <c r="AB19" s="49">
        <v>25.89</v>
      </c>
      <c r="AC19" s="49">
        <v>107</v>
      </c>
      <c r="AD19" s="58">
        <v>325.68</v>
      </c>
      <c r="AE19" s="49">
        <v>81.42</v>
      </c>
      <c r="AF19" s="49">
        <v>16.28</v>
      </c>
      <c r="AG19" s="39">
        <v>126</v>
      </c>
      <c r="AH19" s="39">
        <v>165.6</v>
      </c>
      <c r="AI19" s="39">
        <f t="shared" si="5"/>
        <v>714.98</v>
      </c>
      <c r="AJ19" s="66">
        <v>23577.75</v>
      </c>
      <c r="AK19" s="66">
        <v>3560.97</v>
      </c>
      <c r="AL19" s="66">
        <v>35000</v>
      </c>
      <c r="AM19" s="64"/>
      <c r="AN19" s="64"/>
      <c r="AO19" s="64"/>
      <c r="AP19" s="64"/>
      <c r="AQ19" s="64"/>
      <c r="AR19" s="70">
        <f t="shared" si="7"/>
        <v>26651.07</v>
      </c>
      <c r="AS19" s="70">
        <f t="shared" si="4"/>
        <v>4275.95</v>
      </c>
      <c r="AT19" s="71">
        <f t="shared" si="8"/>
        <v>40000</v>
      </c>
      <c r="AU19" s="71"/>
      <c r="AV19" s="70">
        <f t="shared" si="9"/>
        <v>-17624.88</v>
      </c>
      <c r="AW19" s="74">
        <f>5*MAX(0,AV19*{0.6;2;4;5;6;7;9}%-{0;504;3384;6384;10584;17184;36384})</f>
        <v>0</v>
      </c>
      <c r="AX19" s="80"/>
      <c r="AY19" s="74">
        <f t="shared" si="10"/>
        <v>0</v>
      </c>
      <c r="AZ19" s="38"/>
      <c r="BA19" s="75">
        <f t="shared" si="11"/>
        <v>2358.34</v>
      </c>
      <c r="BB19" s="84"/>
    </row>
    <row r="20" s="4" customFormat="1" ht="25" customHeight="1" spans="1:54">
      <c r="A20" s="18">
        <v>14</v>
      </c>
      <c r="B20" s="19" t="s">
        <v>114</v>
      </c>
      <c r="C20" s="20" t="s">
        <v>80</v>
      </c>
      <c r="D20" s="20" t="s">
        <v>84</v>
      </c>
      <c r="E20" s="20" t="s">
        <v>85</v>
      </c>
      <c r="F20" s="20" t="s">
        <v>86</v>
      </c>
      <c r="G20" s="21" t="str">
        <f>VLOOKUP(B20,[1]在职汇总!$E$3:$G$98,3,FALSE)</f>
        <v>510112197612194823</v>
      </c>
      <c r="H20" s="21" t="s">
        <v>115</v>
      </c>
      <c r="I20" s="20"/>
      <c r="J20" s="39">
        <v>2100</v>
      </c>
      <c r="K20" s="39">
        <f>200/168*104</f>
        <v>123.81</v>
      </c>
      <c r="L20" s="39">
        <f>300/168*104</f>
        <v>185.71</v>
      </c>
      <c r="M20" s="39"/>
      <c r="N20" s="39">
        <v>100</v>
      </c>
      <c r="O20" s="39">
        <f>100/168*104</f>
        <v>61.9</v>
      </c>
      <c r="P20" s="39">
        <v>40</v>
      </c>
      <c r="Q20" s="39"/>
      <c r="R20" s="39"/>
      <c r="S20" s="39"/>
      <c r="T20" s="39"/>
      <c r="U20" s="51"/>
      <c r="V20" s="48">
        <f t="shared" si="6"/>
        <v>2611.42</v>
      </c>
      <c r="W20" s="49">
        <v>431.52</v>
      </c>
      <c r="X20" s="49">
        <v>19.42</v>
      </c>
      <c r="Y20" s="49">
        <v>210.34</v>
      </c>
      <c r="Z20" s="49">
        <v>32.36</v>
      </c>
      <c r="AA20" s="49">
        <v>7.28</v>
      </c>
      <c r="AB20" s="49">
        <v>25.89</v>
      </c>
      <c r="AC20" s="49">
        <v>107</v>
      </c>
      <c r="AD20" s="58">
        <v>325.68</v>
      </c>
      <c r="AE20" s="49">
        <v>81.42</v>
      </c>
      <c r="AF20" s="49">
        <v>16.28</v>
      </c>
      <c r="AG20" s="39">
        <v>126</v>
      </c>
      <c r="AH20" s="39">
        <v>165.6</v>
      </c>
      <c r="AI20" s="39">
        <f t="shared" si="5"/>
        <v>714.98</v>
      </c>
      <c r="AJ20" s="66">
        <v>22920.7</v>
      </c>
      <c r="AK20" s="66">
        <v>3560.97</v>
      </c>
      <c r="AL20" s="66">
        <v>35000</v>
      </c>
      <c r="AM20" s="64"/>
      <c r="AN20" s="64"/>
      <c r="AO20" s="64"/>
      <c r="AP20" s="64"/>
      <c r="AQ20" s="64"/>
      <c r="AR20" s="70">
        <f t="shared" si="7"/>
        <v>25532.12</v>
      </c>
      <c r="AS20" s="70">
        <f t="shared" si="4"/>
        <v>4275.95</v>
      </c>
      <c r="AT20" s="71">
        <f t="shared" si="8"/>
        <v>40000</v>
      </c>
      <c r="AU20" s="71"/>
      <c r="AV20" s="70">
        <f t="shared" si="9"/>
        <v>-18743.83</v>
      </c>
      <c r="AW20" s="74">
        <f>5*MAX(0,AV20*{0.6;2;4;5;6;7;9}%-{0;504;3384;6384;10584;17184;36384})</f>
        <v>0</v>
      </c>
      <c r="AX20" s="80"/>
      <c r="AY20" s="74">
        <f t="shared" si="10"/>
        <v>0</v>
      </c>
      <c r="AZ20" s="38"/>
      <c r="BA20" s="75">
        <f t="shared" si="11"/>
        <v>1896.44</v>
      </c>
      <c r="BB20" s="84"/>
    </row>
    <row r="21" s="4" customFormat="1" ht="25" customHeight="1" spans="1:54">
      <c r="A21" s="18">
        <v>15</v>
      </c>
      <c r="B21" s="19" t="s">
        <v>116</v>
      </c>
      <c r="C21" s="20" t="s">
        <v>80</v>
      </c>
      <c r="D21" s="20" t="s">
        <v>84</v>
      </c>
      <c r="E21" s="20" t="s">
        <v>85</v>
      </c>
      <c r="F21" s="20" t="s">
        <v>86</v>
      </c>
      <c r="G21" s="21" t="str">
        <f>VLOOKUP(B21,[1]在职汇总!$E$3:$G$98,3,FALSE)</f>
        <v>510122197903022362</v>
      </c>
      <c r="H21" s="89" t="s">
        <v>117</v>
      </c>
      <c r="I21" s="20"/>
      <c r="J21" s="39">
        <v>2100</v>
      </c>
      <c r="K21" s="39">
        <f>400/168*103.5</f>
        <v>246.43</v>
      </c>
      <c r="L21" s="39">
        <f>300/168*103.5</f>
        <v>184.82</v>
      </c>
      <c r="M21" s="39"/>
      <c r="N21" s="39">
        <v>100</v>
      </c>
      <c r="O21" s="39">
        <f>100/168*104</f>
        <v>61.9</v>
      </c>
      <c r="P21" s="39">
        <v>40</v>
      </c>
      <c r="Q21" s="39"/>
      <c r="R21" s="39"/>
      <c r="S21" s="39"/>
      <c r="T21" s="39"/>
      <c r="U21" s="39"/>
      <c r="V21" s="48">
        <f t="shared" si="6"/>
        <v>2733.15</v>
      </c>
      <c r="W21" s="49">
        <v>431.52</v>
      </c>
      <c r="X21" s="49">
        <v>19.42</v>
      </c>
      <c r="Y21" s="49">
        <v>210.34</v>
      </c>
      <c r="Z21" s="49">
        <v>32.36</v>
      </c>
      <c r="AA21" s="49">
        <v>7.28</v>
      </c>
      <c r="AB21" s="49">
        <v>25.89</v>
      </c>
      <c r="AC21" s="49">
        <v>107</v>
      </c>
      <c r="AD21" s="58">
        <v>325.68</v>
      </c>
      <c r="AE21" s="49">
        <v>81.42</v>
      </c>
      <c r="AF21" s="49">
        <v>16.28</v>
      </c>
      <c r="AG21" s="39">
        <v>126</v>
      </c>
      <c r="AH21" s="39">
        <v>165.6</v>
      </c>
      <c r="AI21" s="39">
        <f t="shared" si="5"/>
        <v>714.98</v>
      </c>
      <c r="AJ21" s="66">
        <v>24082.32</v>
      </c>
      <c r="AK21" s="66">
        <v>3560.97</v>
      </c>
      <c r="AL21" s="66">
        <v>35000</v>
      </c>
      <c r="AM21" s="64"/>
      <c r="AN21" s="64"/>
      <c r="AO21" s="64"/>
      <c r="AP21" s="64"/>
      <c r="AQ21" s="64"/>
      <c r="AR21" s="70">
        <f t="shared" si="7"/>
        <v>26815.47</v>
      </c>
      <c r="AS21" s="70">
        <f t="shared" si="4"/>
        <v>4275.95</v>
      </c>
      <c r="AT21" s="71">
        <f t="shared" si="8"/>
        <v>40000</v>
      </c>
      <c r="AU21" s="71"/>
      <c r="AV21" s="70">
        <f t="shared" si="9"/>
        <v>-17460.48</v>
      </c>
      <c r="AW21" s="74">
        <f>5*MAX(0,AV21*{0.6;2;4;5;6;7;9}%-{0;504;3384;6384;10584;17184;36384})</f>
        <v>0</v>
      </c>
      <c r="AX21" s="80"/>
      <c r="AY21" s="74">
        <f t="shared" si="10"/>
        <v>0</v>
      </c>
      <c r="AZ21" s="38"/>
      <c r="BA21" s="75">
        <f t="shared" si="11"/>
        <v>2018.17</v>
      </c>
      <c r="BB21" s="84"/>
    </row>
    <row r="22" s="4" customFormat="1" ht="25" customHeight="1" spans="1:54">
      <c r="A22" s="18">
        <v>16</v>
      </c>
      <c r="B22" s="19" t="s">
        <v>118</v>
      </c>
      <c r="C22" s="20" t="s">
        <v>80</v>
      </c>
      <c r="D22" s="20" t="s">
        <v>119</v>
      </c>
      <c r="E22" s="20" t="s">
        <v>85</v>
      </c>
      <c r="F22" s="20" t="s">
        <v>86</v>
      </c>
      <c r="G22" s="21" t="s">
        <v>120</v>
      </c>
      <c r="H22" s="89" t="s">
        <v>121</v>
      </c>
      <c r="I22" s="20"/>
      <c r="J22" s="39">
        <v>2100</v>
      </c>
      <c r="K22" s="39">
        <f>600/168*104</f>
        <v>371.43</v>
      </c>
      <c r="L22" s="39">
        <f>400/168*104</f>
        <v>247.62</v>
      </c>
      <c r="M22" s="39"/>
      <c r="N22" s="39">
        <v>100</v>
      </c>
      <c r="O22" s="39"/>
      <c r="P22" s="39">
        <v>40</v>
      </c>
      <c r="Q22" s="39"/>
      <c r="R22" s="39"/>
      <c r="S22" s="39"/>
      <c r="T22" s="39"/>
      <c r="U22" s="39"/>
      <c r="V22" s="48">
        <f t="shared" si="6"/>
        <v>2859.05</v>
      </c>
      <c r="W22" s="49">
        <v>431.52</v>
      </c>
      <c r="X22" s="49">
        <v>19.42</v>
      </c>
      <c r="Y22" s="49">
        <v>210.34</v>
      </c>
      <c r="Z22" s="49">
        <v>32.36</v>
      </c>
      <c r="AA22" s="49">
        <v>7.28</v>
      </c>
      <c r="AB22" s="49">
        <v>25.89</v>
      </c>
      <c r="AC22" s="49">
        <v>107</v>
      </c>
      <c r="AD22" s="58">
        <v>325.68</v>
      </c>
      <c r="AE22" s="49">
        <v>81.42</v>
      </c>
      <c r="AF22" s="49">
        <v>16.28</v>
      </c>
      <c r="AG22" s="39">
        <v>126</v>
      </c>
      <c r="AH22" s="39">
        <v>165.6</v>
      </c>
      <c r="AI22" s="39">
        <f t="shared" si="5"/>
        <v>714.98</v>
      </c>
      <c r="AJ22" s="66">
        <v>25055.24</v>
      </c>
      <c r="AK22" s="66">
        <v>3560.97</v>
      </c>
      <c r="AL22" s="66">
        <v>35000</v>
      </c>
      <c r="AM22" s="64"/>
      <c r="AN22" s="64"/>
      <c r="AO22" s="64"/>
      <c r="AP22" s="64"/>
      <c r="AQ22" s="64"/>
      <c r="AR22" s="70">
        <f t="shared" si="7"/>
        <v>27914.29</v>
      </c>
      <c r="AS22" s="70">
        <f t="shared" si="4"/>
        <v>4275.95</v>
      </c>
      <c r="AT22" s="71">
        <f t="shared" si="8"/>
        <v>40000</v>
      </c>
      <c r="AU22" s="71"/>
      <c r="AV22" s="70">
        <f t="shared" si="9"/>
        <v>-16361.66</v>
      </c>
      <c r="AW22" s="74">
        <f>5*MAX(0,AV22*{0.6;2;4;5;6;7;9}%-{0;504;3384;6384;10584;17184;36384})</f>
        <v>0</v>
      </c>
      <c r="AX22" s="80"/>
      <c r="AY22" s="74">
        <f t="shared" si="10"/>
        <v>0</v>
      </c>
      <c r="AZ22" s="38"/>
      <c r="BA22" s="75">
        <f t="shared" si="11"/>
        <v>2144.07</v>
      </c>
      <c r="BB22" s="84"/>
    </row>
    <row r="23" s="4" customFormat="1" ht="25" customHeight="1" spans="1:54">
      <c r="A23" s="18">
        <v>17</v>
      </c>
      <c r="B23" s="19" t="s">
        <v>122</v>
      </c>
      <c r="C23" s="20" t="s">
        <v>80</v>
      </c>
      <c r="D23" s="20" t="s">
        <v>84</v>
      </c>
      <c r="E23" s="20" t="s">
        <v>85</v>
      </c>
      <c r="F23" s="20" t="s">
        <v>86</v>
      </c>
      <c r="G23" s="21" t="s">
        <v>123</v>
      </c>
      <c r="H23" s="21" t="s">
        <v>124</v>
      </c>
      <c r="I23" s="20"/>
      <c r="J23" s="39">
        <v>2100</v>
      </c>
      <c r="K23" s="39">
        <f>400/168*104</f>
        <v>247.62</v>
      </c>
      <c r="L23" s="39">
        <f>300/168*103.5</f>
        <v>184.82</v>
      </c>
      <c r="M23" s="39"/>
      <c r="N23" s="39">
        <v>100</v>
      </c>
      <c r="O23" s="39">
        <f>100/168*103.5</f>
        <v>61.61</v>
      </c>
      <c r="P23" s="39">
        <v>40</v>
      </c>
      <c r="Q23" s="39"/>
      <c r="R23" s="39"/>
      <c r="S23" s="39"/>
      <c r="T23" s="39"/>
      <c r="U23" s="39"/>
      <c r="V23" s="48">
        <f t="shared" si="6"/>
        <v>2734.05</v>
      </c>
      <c r="W23" s="49"/>
      <c r="X23" s="49"/>
      <c r="Y23" s="49"/>
      <c r="Z23" s="49"/>
      <c r="AA23" s="49"/>
      <c r="AB23" s="49"/>
      <c r="AC23" s="49"/>
      <c r="AD23" s="58">
        <v>325.68</v>
      </c>
      <c r="AE23" s="49">
        <v>81.42</v>
      </c>
      <c r="AF23" s="49">
        <v>16.28</v>
      </c>
      <c r="AG23" s="39">
        <v>126</v>
      </c>
      <c r="AH23" s="39">
        <v>165.6</v>
      </c>
      <c r="AI23" s="39">
        <f t="shared" si="5"/>
        <v>714.98</v>
      </c>
      <c r="AJ23" s="66">
        <v>22310.5</v>
      </c>
      <c r="AK23" s="66">
        <v>3560.97</v>
      </c>
      <c r="AL23" s="66">
        <v>35000</v>
      </c>
      <c r="AM23" s="64"/>
      <c r="AN23" s="64"/>
      <c r="AO23" s="64"/>
      <c r="AP23" s="64"/>
      <c r="AQ23" s="64"/>
      <c r="AR23" s="70">
        <f t="shared" si="7"/>
        <v>25044.55</v>
      </c>
      <c r="AS23" s="70">
        <f t="shared" si="4"/>
        <v>4275.95</v>
      </c>
      <c r="AT23" s="71">
        <f t="shared" si="8"/>
        <v>40000</v>
      </c>
      <c r="AU23" s="71"/>
      <c r="AV23" s="70">
        <f t="shared" si="9"/>
        <v>-19231.4</v>
      </c>
      <c r="AW23" s="74">
        <f>5*MAX(0,AV23*{0.6;2;4;5;6;7;9}%-{0;504;3384;6384;10584;17184;36384})</f>
        <v>0</v>
      </c>
      <c r="AX23" s="80"/>
      <c r="AY23" s="74">
        <f t="shared" si="10"/>
        <v>0</v>
      </c>
      <c r="AZ23" s="38"/>
      <c r="BA23" s="75">
        <f t="shared" si="11"/>
        <v>2019.07</v>
      </c>
      <c r="BB23" s="76"/>
    </row>
    <row r="24" s="4" customFormat="1" ht="25" customHeight="1" spans="1:54">
      <c r="A24" s="18">
        <v>18</v>
      </c>
      <c r="B24" s="19" t="s">
        <v>125</v>
      </c>
      <c r="C24" s="20" t="s">
        <v>80</v>
      </c>
      <c r="D24" s="20" t="s">
        <v>84</v>
      </c>
      <c r="E24" s="20" t="s">
        <v>85</v>
      </c>
      <c r="F24" s="20" t="s">
        <v>86</v>
      </c>
      <c r="G24" s="21" t="s">
        <v>126</v>
      </c>
      <c r="H24" s="21" t="s">
        <v>127</v>
      </c>
      <c r="I24" s="20"/>
      <c r="J24" s="39">
        <v>2100</v>
      </c>
      <c r="K24" s="39">
        <f>200/168*103.5</f>
        <v>123.21</v>
      </c>
      <c r="L24" s="39">
        <f>300/168*104</f>
        <v>185.71</v>
      </c>
      <c r="M24" s="39"/>
      <c r="N24" s="39">
        <v>100</v>
      </c>
      <c r="O24" s="39">
        <f>100/168*104</f>
        <v>61.9</v>
      </c>
      <c r="P24" s="39">
        <v>40</v>
      </c>
      <c r="Q24" s="39"/>
      <c r="R24" s="39"/>
      <c r="S24" s="39"/>
      <c r="T24" s="39"/>
      <c r="U24" s="39"/>
      <c r="V24" s="48">
        <f t="shared" si="6"/>
        <v>2610.82</v>
      </c>
      <c r="W24" s="49"/>
      <c r="X24" s="49"/>
      <c r="Y24" s="49"/>
      <c r="Z24" s="49"/>
      <c r="AA24" s="49"/>
      <c r="AB24" s="49"/>
      <c r="AC24" s="49"/>
      <c r="AD24" s="58">
        <v>325.68</v>
      </c>
      <c r="AE24" s="49">
        <v>81.42</v>
      </c>
      <c r="AF24" s="49">
        <v>16.28</v>
      </c>
      <c r="AG24" s="39">
        <v>126</v>
      </c>
      <c r="AH24" s="39">
        <v>165.6</v>
      </c>
      <c r="AI24" s="39">
        <f t="shared" si="5"/>
        <v>714.98</v>
      </c>
      <c r="AJ24" s="66">
        <v>21360.49</v>
      </c>
      <c r="AK24" s="66">
        <v>3560.97</v>
      </c>
      <c r="AL24" s="66">
        <v>35000</v>
      </c>
      <c r="AM24" s="64"/>
      <c r="AN24" s="64"/>
      <c r="AO24" s="64"/>
      <c r="AP24" s="64"/>
      <c r="AQ24" s="64"/>
      <c r="AR24" s="70">
        <f t="shared" si="7"/>
        <v>23971.31</v>
      </c>
      <c r="AS24" s="70">
        <f t="shared" si="4"/>
        <v>4275.95</v>
      </c>
      <c r="AT24" s="71">
        <f t="shared" si="8"/>
        <v>40000</v>
      </c>
      <c r="AU24" s="71"/>
      <c r="AV24" s="70">
        <f t="shared" si="9"/>
        <v>-20304.64</v>
      </c>
      <c r="AW24" s="74">
        <f>5*MAX(0,AV24*{0.6;2;4;5;6;7;9}%-{0;504;3384;6384;10584;17184;36384})</f>
        <v>0</v>
      </c>
      <c r="AX24" s="80"/>
      <c r="AY24" s="74">
        <f t="shared" si="10"/>
        <v>0</v>
      </c>
      <c r="AZ24" s="38"/>
      <c r="BA24" s="75">
        <f t="shared" si="11"/>
        <v>1895.84</v>
      </c>
      <c r="BB24" s="86"/>
    </row>
    <row r="25" s="4" customFormat="1" ht="25" customHeight="1" spans="1:54">
      <c r="A25" s="18">
        <v>19</v>
      </c>
      <c r="B25" s="19" t="s">
        <v>128</v>
      </c>
      <c r="C25" s="20" t="s">
        <v>80</v>
      </c>
      <c r="D25" s="20" t="s">
        <v>84</v>
      </c>
      <c r="E25" s="20" t="s">
        <v>85</v>
      </c>
      <c r="F25" s="20" t="s">
        <v>86</v>
      </c>
      <c r="G25" s="21" t="s">
        <v>129</v>
      </c>
      <c r="H25" s="21" t="s">
        <v>130</v>
      </c>
      <c r="I25" s="20"/>
      <c r="J25" s="39">
        <v>2100</v>
      </c>
      <c r="K25" s="39">
        <f>400/168*104</f>
        <v>247.62</v>
      </c>
      <c r="L25" s="39">
        <f>300/168*104</f>
        <v>185.71</v>
      </c>
      <c r="M25" s="39"/>
      <c r="N25" s="39">
        <v>100</v>
      </c>
      <c r="O25" s="39">
        <f>100/168*104</f>
        <v>61.9</v>
      </c>
      <c r="P25" s="39">
        <v>40</v>
      </c>
      <c r="Q25" s="39"/>
      <c r="R25" s="39"/>
      <c r="S25" s="39"/>
      <c r="T25" s="39"/>
      <c r="U25" s="39"/>
      <c r="V25" s="48">
        <f t="shared" si="6"/>
        <v>2735.23</v>
      </c>
      <c r="W25" s="49"/>
      <c r="X25" s="49"/>
      <c r="Y25" s="49"/>
      <c r="Z25" s="49"/>
      <c r="AA25" s="49"/>
      <c r="AB25" s="49"/>
      <c r="AC25" s="49"/>
      <c r="AD25" s="58">
        <v>325.68</v>
      </c>
      <c r="AE25" s="49">
        <v>81.42</v>
      </c>
      <c r="AF25" s="49">
        <v>16.28</v>
      </c>
      <c r="AG25" s="39">
        <v>126</v>
      </c>
      <c r="AH25" s="39">
        <v>165.6</v>
      </c>
      <c r="AI25" s="39">
        <f t="shared" si="5"/>
        <v>714.98</v>
      </c>
      <c r="AJ25" s="66">
        <v>22285.02</v>
      </c>
      <c r="AK25" s="66">
        <v>3560.97</v>
      </c>
      <c r="AL25" s="66">
        <v>35000</v>
      </c>
      <c r="AM25" s="64"/>
      <c r="AN25" s="64"/>
      <c r="AO25" s="64"/>
      <c r="AP25" s="64"/>
      <c r="AQ25" s="64"/>
      <c r="AR25" s="70">
        <f t="shared" si="7"/>
        <v>25020.25</v>
      </c>
      <c r="AS25" s="70">
        <f t="shared" si="4"/>
        <v>4275.95</v>
      </c>
      <c r="AT25" s="71">
        <f t="shared" si="8"/>
        <v>40000</v>
      </c>
      <c r="AU25" s="71"/>
      <c r="AV25" s="70">
        <f t="shared" si="9"/>
        <v>-19255.7</v>
      </c>
      <c r="AW25" s="74">
        <f>5*MAX(0,AV25*{0.6;2;4;5;6;7;9}%-{0;504;3384;6384;10584;17184;36384})</f>
        <v>0</v>
      </c>
      <c r="AX25" s="80"/>
      <c r="AY25" s="74">
        <f t="shared" si="10"/>
        <v>0</v>
      </c>
      <c r="AZ25" s="38"/>
      <c r="BA25" s="75">
        <f t="shared" si="11"/>
        <v>2020.25</v>
      </c>
      <c r="BB25" s="76"/>
    </row>
    <row r="26" s="4" customFormat="1" ht="25" customHeight="1" spans="1:54">
      <c r="A26" s="18">
        <v>20</v>
      </c>
      <c r="B26" s="19" t="s">
        <v>131</v>
      </c>
      <c r="C26" s="20" t="s">
        <v>80</v>
      </c>
      <c r="D26" s="20" t="s">
        <v>84</v>
      </c>
      <c r="E26" s="20" t="s">
        <v>85</v>
      </c>
      <c r="F26" s="20" t="s">
        <v>86</v>
      </c>
      <c r="G26" s="21" t="s">
        <v>132</v>
      </c>
      <c r="H26" s="21" t="s">
        <v>133</v>
      </c>
      <c r="I26" s="20"/>
      <c r="J26" s="39">
        <v>2100</v>
      </c>
      <c r="K26" s="39">
        <f>200/168*103</f>
        <v>122.62</v>
      </c>
      <c r="L26" s="39">
        <f>300/168*103</f>
        <v>183.93</v>
      </c>
      <c r="M26" s="39"/>
      <c r="N26" s="39">
        <f>100</f>
        <v>100</v>
      </c>
      <c r="O26" s="39">
        <f>100/168*103</f>
        <v>61.31</v>
      </c>
      <c r="P26" s="39">
        <v>20</v>
      </c>
      <c r="Q26" s="39"/>
      <c r="R26" s="39"/>
      <c r="S26" s="39"/>
      <c r="T26" s="39"/>
      <c r="U26" s="39"/>
      <c r="V26" s="48">
        <f t="shared" si="6"/>
        <v>2587.86</v>
      </c>
      <c r="W26" s="49"/>
      <c r="X26" s="49"/>
      <c r="Y26" s="49"/>
      <c r="Z26" s="49"/>
      <c r="AA26" s="49"/>
      <c r="AB26" s="49"/>
      <c r="AC26" s="49"/>
      <c r="AD26" s="58">
        <v>325.68</v>
      </c>
      <c r="AE26" s="49">
        <v>81.42</v>
      </c>
      <c r="AF26" s="49">
        <v>16.28</v>
      </c>
      <c r="AG26" s="39">
        <v>126</v>
      </c>
      <c r="AH26" s="39">
        <v>165.6</v>
      </c>
      <c r="AI26" s="39">
        <f t="shared" si="5"/>
        <v>714.98</v>
      </c>
      <c r="AJ26" s="66">
        <v>20934.66</v>
      </c>
      <c r="AK26" s="66">
        <v>3560.97</v>
      </c>
      <c r="AL26" s="66">
        <v>35000</v>
      </c>
      <c r="AM26" s="64"/>
      <c r="AN26" s="64"/>
      <c r="AO26" s="64"/>
      <c r="AP26" s="64"/>
      <c r="AQ26" s="64"/>
      <c r="AR26" s="70">
        <f t="shared" si="7"/>
        <v>23522.52</v>
      </c>
      <c r="AS26" s="70">
        <f t="shared" si="4"/>
        <v>4275.95</v>
      </c>
      <c r="AT26" s="71">
        <f t="shared" si="8"/>
        <v>40000</v>
      </c>
      <c r="AU26" s="71"/>
      <c r="AV26" s="70">
        <f t="shared" si="9"/>
        <v>-20753.43</v>
      </c>
      <c r="AW26" s="74">
        <f>5*MAX(0,AV26*{0.6;2;4;5;6;7;9}%-{0;504;3384;6384;10584;17184;36384})</f>
        <v>0</v>
      </c>
      <c r="AX26" s="80"/>
      <c r="AY26" s="74">
        <f t="shared" si="10"/>
        <v>0</v>
      </c>
      <c r="AZ26" s="38"/>
      <c r="BA26" s="75">
        <f t="shared" si="11"/>
        <v>1872.88</v>
      </c>
      <c r="BB26" s="84"/>
    </row>
    <row r="27" s="4" customFormat="1" ht="25" customHeight="1" spans="1:54">
      <c r="A27" s="18">
        <v>21</v>
      </c>
      <c r="B27" s="19" t="s">
        <v>134</v>
      </c>
      <c r="C27" s="20" t="s">
        <v>80</v>
      </c>
      <c r="D27" s="20" t="s">
        <v>135</v>
      </c>
      <c r="E27" s="20" t="s">
        <v>85</v>
      </c>
      <c r="F27" s="20" t="s">
        <v>86</v>
      </c>
      <c r="G27" s="21" t="s">
        <v>136</v>
      </c>
      <c r="H27" s="21" t="s">
        <v>137</v>
      </c>
      <c r="I27" s="20"/>
      <c r="J27" s="39">
        <f>2100</f>
        <v>2100</v>
      </c>
      <c r="K27" s="39">
        <f>600/21*10</f>
        <v>285.71</v>
      </c>
      <c r="L27" s="39">
        <f>400/21*10</f>
        <v>190.48</v>
      </c>
      <c r="M27" s="39"/>
      <c r="N27" s="39">
        <f>100/21*10</f>
        <v>47.62</v>
      </c>
      <c r="O27" s="39">
        <f>200/21*10</f>
        <v>95.24</v>
      </c>
      <c r="P27" s="39"/>
      <c r="Q27" s="39"/>
      <c r="R27" s="39"/>
      <c r="S27" s="39"/>
      <c r="T27" s="39"/>
      <c r="U27" s="39">
        <v>-512.64</v>
      </c>
      <c r="V27" s="48">
        <f t="shared" si="6"/>
        <v>2206.41</v>
      </c>
      <c r="W27" s="49"/>
      <c r="X27" s="49"/>
      <c r="Y27" s="49"/>
      <c r="Z27" s="49"/>
      <c r="AA27" s="49"/>
      <c r="AB27" s="49"/>
      <c r="AC27" s="49"/>
      <c r="AD27" s="58"/>
      <c r="AE27" s="49"/>
      <c r="AF27" s="49"/>
      <c r="AG27" s="39"/>
      <c r="AH27" s="39">
        <v>27.6</v>
      </c>
      <c r="AI27" s="39">
        <f t="shared" si="5"/>
        <v>27.6</v>
      </c>
      <c r="AJ27" s="66">
        <v>4211.78</v>
      </c>
      <c r="AK27" s="66">
        <v>1098.76</v>
      </c>
      <c r="AL27" s="66">
        <v>10000</v>
      </c>
      <c r="AM27" s="64"/>
      <c r="AN27" s="64"/>
      <c r="AO27" s="64"/>
      <c r="AP27" s="64"/>
      <c r="AQ27" s="64"/>
      <c r="AR27" s="70">
        <f t="shared" si="7"/>
        <v>6418.19</v>
      </c>
      <c r="AS27" s="70">
        <f t="shared" si="4"/>
        <v>1126.36</v>
      </c>
      <c r="AT27" s="71">
        <f t="shared" si="8"/>
        <v>15000</v>
      </c>
      <c r="AU27" s="71"/>
      <c r="AV27" s="70">
        <f t="shared" si="9"/>
        <v>-9708.17</v>
      </c>
      <c r="AW27" s="74">
        <f>5*MAX(0,AV27*{0.6;2;4;5;6;7;9}%-{0;504;3384;6384;10584;17184;36384})</f>
        <v>0</v>
      </c>
      <c r="AX27" s="80"/>
      <c r="AY27" s="74">
        <f t="shared" si="10"/>
        <v>0</v>
      </c>
      <c r="AZ27" s="38"/>
      <c r="BA27" s="75">
        <f t="shared" si="11"/>
        <v>2178.81</v>
      </c>
      <c r="BB27" s="84" t="s">
        <v>138</v>
      </c>
    </row>
    <row r="28" s="4" customFormat="1" ht="30" customHeight="1" spans="1:54">
      <c r="A28" s="18">
        <v>24</v>
      </c>
      <c r="B28" s="19" t="s">
        <v>139</v>
      </c>
      <c r="C28" s="20" t="s">
        <v>80</v>
      </c>
      <c r="D28" s="20" t="s">
        <v>140</v>
      </c>
      <c r="E28" s="20" t="s">
        <v>85</v>
      </c>
      <c r="F28" s="20" t="s">
        <v>63</v>
      </c>
      <c r="G28" s="21" t="s">
        <v>141</v>
      </c>
      <c r="H28" s="89" t="s">
        <v>142</v>
      </c>
      <c r="I28" s="20"/>
      <c r="J28" s="39">
        <v>2100</v>
      </c>
      <c r="K28" s="39">
        <f>1600</f>
        <v>1600</v>
      </c>
      <c r="L28" s="39">
        <f>1100*1.04</f>
        <v>1144</v>
      </c>
      <c r="M28" s="39">
        <v>200</v>
      </c>
      <c r="N28" s="39">
        <f>100</f>
        <v>100</v>
      </c>
      <c r="O28" s="39">
        <f>300</f>
        <v>300</v>
      </c>
      <c r="P28" s="39">
        <v>20</v>
      </c>
      <c r="Q28" s="39"/>
      <c r="R28" s="39">
        <f>2100/21.75/8*1.5*1.5+2100/21.75/8*0*2</f>
        <v>27.16</v>
      </c>
      <c r="S28" s="39"/>
      <c r="T28" s="39"/>
      <c r="U28" s="48"/>
      <c r="V28" s="48">
        <f t="shared" ref="V28:V39" si="12">SUM(J28:S28)-T28+U28</f>
        <v>5491.16</v>
      </c>
      <c r="W28" s="49">
        <v>19.42</v>
      </c>
      <c r="X28" s="49">
        <v>210.34</v>
      </c>
      <c r="Y28" s="49">
        <v>32.36</v>
      </c>
      <c r="Z28" s="49">
        <v>7.28</v>
      </c>
      <c r="AA28" s="49">
        <v>25.89</v>
      </c>
      <c r="AB28" s="49">
        <v>107</v>
      </c>
      <c r="AC28" s="49">
        <v>215.76</v>
      </c>
      <c r="AD28" s="58">
        <v>325.68</v>
      </c>
      <c r="AE28" s="49">
        <v>81.42</v>
      </c>
      <c r="AF28" s="49">
        <v>16.28</v>
      </c>
      <c r="AG28" s="39">
        <v>126</v>
      </c>
      <c r="AH28" s="39">
        <v>165.6</v>
      </c>
      <c r="AI28" s="39">
        <f t="shared" si="5"/>
        <v>714.98</v>
      </c>
      <c r="AJ28" s="66">
        <v>37889.93</v>
      </c>
      <c r="AK28" s="66">
        <v>3560.97</v>
      </c>
      <c r="AL28" s="66">
        <v>35000</v>
      </c>
      <c r="AM28" s="64"/>
      <c r="AN28" s="64"/>
      <c r="AO28" s="64"/>
      <c r="AP28" s="64"/>
      <c r="AQ28" s="70"/>
      <c r="AR28" s="70">
        <f t="shared" ref="AR28:AR39" si="13">V28+AJ28</f>
        <v>43381.09</v>
      </c>
      <c r="AS28" s="70">
        <f t="shared" ref="AS28:AS39" si="14">AI28+AK28</f>
        <v>4275.95</v>
      </c>
      <c r="AT28" s="71">
        <f t="shared" ref="AT28:AT39" si="15">AL28+5000</f>
        <v>40000</v>
      </c>
      <c r="AU28" s="70"/>
      <c r="AV28" s="70">
        <f t="shared" ref="AV28:AV39" si="16">AR28-AS28-AT28-AU28</f>
        <v>-894.86</v>
      </c>
      <c r="AW28" s="74">
        <f>5*MAX(0,AV28*{0.6;2;4;5;6;7;9}%-{0;504;3384;6384;10584;17184;36384})</f>
        <v>0</v>
      </c>
      <c r="AX28" s="74">
        <v>11.39</v>
      </c>
      <c r="AY28" s="74">
        <f t="shared" si="10"/>
        <v>0</v>
      </c>
      <c r="AZ28" s="38"/>
      <c r="BA28" s="75">
        <f t="shared" ref="BA28:BA39" si="17">V28-AI28-AY28</f>
        <v>4776.18</v>
      </c>
      <c r="BB28" s="83"/>
    </row>
    <row r="29" s="4" customFormat="1" ht="25" customHeight="1" spans="1:54">
      <c r="A29" s="18">
        <v>25</v>
      </c>
      <c r="B29" s="19" t="s">
        <v>143</v>
      </c>
      <c r="C29" s="20" t="s">
        <v>80</v>
      </c>
      <c r="D29" s="20" t="s">
        <v>144</v>
      </c>
      <c r="E29" s="20" t="s">
        <v>57</v>
      </c>
      <c r="F29" s="20" t="s">
        <v>58</v>
      </c>
      <c r="G29" s="21" t="s">
        <v>145</v>
      </c>
      <c r="H29" s="21" t="s">
        <v>146</v>
      </c>
      <c r="I29" s="20"/>
      <c r="J29" s="39">
        <v>2100</v>
      </c>
      <c r="K29" s="39">
        <v>2400</v>
      </c>
      <c r="L29" s="39">
        <f>1770*1.06</f>
        <v>1876.2</v>
      </c>
      <c r="M29" s="39">
        <v>200</v>
      </c>
      <c r="N29" s="39">
        <v>100</v>
      </c>
      <c r="O29" s="39"/>
      <c r="P29" s="39">
        <v>80</v>
      </c>
      <c r="Q29" s="39"/>
      <c r="R29" s="39"/>
      <c r="S29" s="39"/>
      <c r="T29" s="39"/>
      <c r="U29" s="39"/>
      <c r="V29" s="48">
        <f t="shared" si="12"/>
        <v>6756.2</v>
      </c>
      <c r="W29" s="49">
        <v>431.52</v>
      </c>
      <c r="X29" s="49">
        <v>19.42</v>
      </c>
      <c r="Y29" s="49">
        <v>210.34</v>
      </c>
      <c r="Z29" s="49">
        <v>32.36</v>
      </c>
      <c r="AA29" s="49">
        <v>7.28</v>
      </c>
      <c r="AB29" s="49">
        <v>25.89</v>
      </c>
      <c r="AC29" s="49">
        <v>119</v>
      </c>
      <c r="AD29" s="58">
        <v>325.68</v>
      </c>
      <c r="AE29" s="49">
        <v>81.42</v>
      </c>
      <c r="AF29" s="49">
        <v>16.28</v>
      </c>
      <c r="AG29" s="39">
        <v>156</v>
      </c>
      <c r="AH29" s="39">
        <v>85.6</v>
      </c>
      <c r="AI29" s="39">
        <f t="shared" si="5"/>
        <v>664.98</v>
      </c>
      <c r="AJ29" s="66">
        <v>44597.28</v>
      </c>
      <c r="AK29" s="66">
        <v>3764.6</v>
      </c>
      <c r="AL29" s="66">
        <v>35000</v>
      </c>
      <c r="AM29" s="64"/>
      <c r="AN29" s="64"/>
      <c r="AO29" s="64">
        <v>7000</v>
      </c>
      <c r="AP29" s="64"/>
      <c r="AQ29" s="64"/>
      <c r="AR29" s="70">
        <f t="shared" si="13"/>
        <v>51353.48</v>
      </c>
      <c r="AS29" s="70">
        <f t="shared" si="14"/>
        <v>4429.58</v>
      </c>
      <c r="AT29" s="71">
        <f t="shared" si="15"/>
        <v>40000</v>
      </c>
      <c r="AU29" s="71">
        <f>AO29+1000</f>
        <v>8000</v>
      </c>
      <c r="AV29" s="70">
        <f t="shared" si="16"/>
        <v>-1076.1</v>
      </c>
      <c r="AW29" s="74">
        <f>5*MAX(0,AV29*{0.6;2;4;5;6;7;9}%-{0;504;3384;6384;10584;17184;36384})</f>
        <v>0</v>
      </c>
      <c r="AX29" s="80">
        <v>0</v>
      </c>
      <c r="AY29" s="74">
        <f t="shared" ref="AY28:AY39" si="18">IF(+AW29-AX29&gt;0,AW29-AX29,0)</f>
        <v>0</v>
      </c>
      <c r="AZ29" s="38"/>
      <c r="BA29" s="75">
        <f t="shared" si="17"/>
        <v>6091.22</v>
      </c>
      <c r="BB29" s="83"/>
    </row>
    <row r="30" s="4" customFormat="1" ht="25" customHeight="1" spans="1:54">
      <c r="A30" s="18">
        <v>26</v>
      </c>
      <c r="B30" s="19" t="s">
        <v>147</v>
      </c>
      <c r="C30" s="20" t="s">
        <v>80</v>
      </c>
      <c r="D30" s="20" t="s">
        <v>148</v>
      </c>
      <c r="E30" s="20" t="s">
        <v>85</v>
      </c>
      <c r="F30" s="20" t="s">
        <v>86</v>
      </c>
      <c r="G30" s="21" t="s">
        <v>149</v>
      </c>
      <c r="H30" s="21" t="s">
        <v>150</v>
      </c>
      <c r="I30" s="20"/>
      <c r="J30" s="39">
        <v>2100</v>
      </c>
      <c r="K30" s="39">
        <f>200</f>
        <v>200</v>
      </c>
      <c r="L30" s="39">
        <f>300</f>
        <v>300</v>
      </c>
      <c r="M30" s="39">
        <v>200</v>
      </c>
      <c r="N30" s="39">
        <v>100</v>
      </c>
      <c r="O30" s="39">
        <f>(100+400)</f>
        <v>500</v>
      </c>
      <c r="P30" s="39">
        <v>60</v>
      </c>
      <c r="Q30" s="39"/>
      <c r="R30" s="39">
        <f>2100/21.75/8*0*1.5+2100/21.75/8*9*2</f>
        <v>217.24</v>
      </c>
      <c r="S30" s="39"/>
      <c r="T30" s="39"/>
      <c r="U30" s="39">
        <f>90+12</f>
        <v>102</v>
      </c>
      <c r="V30" s="48">
        <f t="shared" si="12"/>
        <v>3779.24</v>
      </c>
      <c r="W30" s="49">
        <v>431.52</v>
      </c>
      <c r="X30" s="49">
        <v>19.42</v>
      </c>
      <c r="Y30" s="49">
        <v>210.34</v>
      </c>
      <c r="Z30" s="49">
        <v>32.36</v>
      </c>
      <c r="AA30" s="49">
        <v>7.28</v>
      </c>
      <c r="AB30" s="49">
        <v>25.89</v>
      </c>
      <c r="AC30" s="49">
        <v>107</v>
      </c>
      <c r="AD30" s="58">
        <v>325.68</v>
      </c>
      <c r="AE30" s="49">
        <v>81.42</v>
      </c>
      <c r="AF30" s="49">
        <v>16.28</v>
      </c>
      <c r="AG30" s="39">
        <v>126</v>
      </c>
      <c r="AH30" s="39">
        <v>165.6</v>
      </c>
      <c r="AI30" s="39">
        <f t="shared" si="5"/>
        <v>714.98</v>
      </c>
      <c r="AJ30" s="66">
        <v>26152.89</v>
      </c>
      <c r="AK30" s="66">
        <v>3560.97</v>
      </c>
      <c r="AL30" s="66">
        <v>35000</v>
      </c>
      <c r="AM30" s="64"/>
      <c r="AN30" s="64"/>
      <c r="AO30" s="64"/>
      <c r="AP30" s="64"/>
      <c r="AQ30" s="64"/>
      <c r="AR30" s="70">
        <f t="shared" si="13"/>
        <v>29932.13</v>
      </c>
      <c r="AS30" s="70">
        <f t="shared" si="14"/>
        <v>4275.95</v>
      </c>
      <c r="AT30" s="71">
        <f t="shared" si="15"/>
        <v>40000</v>
      </c>
      <c r="AU30" s="71"/>
      <c r="AV30" s="70">
        <f t="shared" si="16"/>
        <v>-14343.82</v>
      </c>
      <c r="AW30" s="74">
        <f>5*MAX(0,AV30*{0.6;2;4;5;6;7;9}%-{0;504;3384;6384;10584;17184;36384})</f>
        <v>0</v>
      </c>
      <c r="AX30" s="80"/>
      <c r="AY30" s="74">
        <f t="shared" si="18"/>
        <v>0</v>
      </c>
      <c r="AZ30" s="38"/>
      <c r="BA30" s="75">
        <f t="shared" si="17"/>
        <v>3064.26</v>
      </c>
      <c r="BB30" s="83"/>
    </row>
    <row r="31" s="4" customFormat="1" ht="25" customHeight="1" spans="1:54">
      <c r="A31" s="18">
        <v>27</v>
      </c>
      <c r="B31" s="19" t="s">
        <v>151</v>
      </c>
      <c r="C31" s="20" t="s">
        <v>80</v>
      </c>
      <c r="D31" s="20" t="s">
        <v>148</v>
      </c>
      <c r="E31" s="20" t="s">
        <v>85</v>
      </c>
      <c r="F31" s="20" t="s">
        <v>63</v>
      </c>
      <c r="G31" s="21" t="str">
        <f>VLOOKUP(B31,[1]在职汇总!$E$3:$G$98,3,FALSE)</f>
        <v>512501197303147219</v>
      </c>
      <c r="H31" s="21" t="s">
        <v>152</v>
      </c>
      <c r="I31" s="20"/>
      <c r="J31" s="39">
        <v>2100</v>
      </c>
      <c r="K31" s="39">
        <f>600</f>
        <v>600</v>
      </c>
      <c r="L31" s="39">
        <f>400</f>
        <v>400</v>
      </c>
      <c r="M31" s="39">
        <v>200</v>
      </c>
      <c r="N31" s="39">
        <v>100</v>
      </c>
      <c r="O31" s="39"/>
      <c r="P31" s="39">
        <v>40</v>
      </c>
      <c r="Q31" s="39"/>
      <c r="R31" s="39">
        <f>2100/21.75/8*0*1.5+2100/21.75/8*12.5*2</f>
        <v>301.72</v>
      </c>
      <c r="S31" s="39"/>
      <c r="T31" s="39"/>
      <c r="U31" s="39">
        <f>90+12</f>
        <v>102</v>
      </c>
      <c r="V31" s="48">
        <f t="shared" si="12"/>
        <v>3843.72</v>
      </c>
      <c r="W31" s="49">
        <v>431.52</v>
      </c>
      <c r="X31" s="49">
        <v>19.42</v>
      </c>
      <c r="Y31" s="49">
        <v>210.34</v>
      </c>
      <c r="Z31" s="49">
        <v>32.36</v>
      </c>
      <c r="AA31" s="49">
        <v>7.28</v>
      </c>
      <c r="AB31" s="49">
        <v>25.89</v>
      </c>
      <c r="AC31" s="49">
        <v>107</v>
      </c>
      <c r="AD31" s="58">
        <v>325.68</v>
      </c>
      <c r="AE31" s="49">
        <v>81.42</v>
      </c>
      <c r="AF31" s="49">
        <v>16.28</v>
      </c>
      <c r="AG31" s="39">
        <v>126</v>
      </c>
      <c r="AH31" s="39">
        <v>165.6</v>
      </c>
      <c r="AI31" s="39">
        <f t="shared" si="5"/>
        <v>714.98</v>
      </c>
      <c r="AJ31" s="66">
        <v>27826.46</v>
      </c>
      <c r="AK31" s="66">
        <v>3560.97</v>
      </c>
      <c r="AL31" s="66">
        <v>35000</v>
      </c>
      <c r="AM31" s="64"/>
      <c r="AN31" s="64"/>
      <c r="AO31" s="64"/>
      <c r="AP31" s="64"/>
      <c r="AQ31" s="64"/>
      <c r="AR31" s="70">
        <f t="shared" si="13"/>
        <v>31670.18</v>
      </c>
      <c r="AS31" s="70">
        <f t="shared" si="14"/>
        <v>4275.95</v>
      </c>
      <c r="AT31" s="71">
        <f t="shared" si="15"/>
        <v>40000</v>
      </c>
      <c r="AU31" s="71"/>
      <c r="AV31" s="70">
        <f t="shared" si="16"/>
        <v>-12605.77</v>
      </c>
      <c r="AW31" s="74">
        <f>5*MAX(0,AV31*{0.6;2;4;5;6;7;9}%-{0;504;3384;6384;10584;17184;36384})</f>
        <v>0</v>
      </c>
      <c r="AX31" s="80">
        <v>0</v>
      </c>
      <c r="AY31" s="74">
        <f t="shared" si="18"/>
        <v>0</v>
      </c>
      <c r="AZ31" s="38"/>
      <c r="BA31" s="75">
        <f t="shared" si="17"/>
        <v>3128.74</v>
      </c>
      <c r="BB31" s="84"/>
    </row>
    <row r="32" s="4" customFormat="1" ht="25" customHeight="1" spans="1:54">
      <c r="A32" s="18">
        <v>28</v>
      </c>
      <c r="B32" s="19" t="s">
        <v>153</v>
      </c>
      <c r="C32" s="20" t="s">
        <v>80</v>
      </c>
      <c r="D32" s="20" t="s">
        <v>154</v>
      </c>
      <c r="E32" s="20" t="s">
        <v>57</v>
      </c>
      <c r="F32" s="20" t="s">
        <v>58</v>
      </c>
      <c r="G32" s="21" t="s">
        <v>155</v>
      </c>
      <c r="H32" s="21" t="s">
        <v>156</v>
      </c>
      <c r="I32" s="20"/>
      <c r="J32" s="39">
        <v>2100</v>
      </c>
      <c r="K32" s="39">
        <f>1800</f>
        <v>1800</v>
      </c>
      <c r="L32" s="39">
        <f>870*1.0275</f>
        <v>893.93</v>
      </c>
      <c r="M32" s="39">
        <v>200</v>
      </c>
      <c r="N32" s="39">
        <v>100</v>
      </c>
      <c r="O32" s="39"/>
      <c r="P32" s="39">
        <v>40</v>
      </c>
      <c r="Q32" s="39"/>
      <c r="R32" s="39"/>
      <c r="S32" s="39"/>
      <c r="T32" s="39"/>
      <c r="U32" s="39"/>
      <c r="V32" s="48">
        <f t="shared" si="12"/>
        <v>5133.93</v>
      </c>
      <c r="W32" s="49"/>
      <c r="X32" s="49"/>
      <c r="Y32" s="49"/>
      <c r="Z32" s="49"/>
      <c r="AA32" s="49"/>
      <c r="AB32" s="49"/>
      <c r="AC32" s="49"/>
      <c r="AD32" s="58">
        <v>325.68</v>
      </c>
      <c r="AE32" s="49">
        <v>81.42</v>
      </c>
      <c r="AF32" s="49">
        <v>16.28</v>
      </c>
      <c r="AG32" s="39">
        <v>138</v>
      </c>
      <c r="AH32" s="39">
        <v>85.6</v>
      </c>
      <c r="AI32" s="39">
        <f t="shared" si="5"/>
        <v>646.98</v>
      </c>
      <c r="AJ32" s="66">
        <v>21751.14</v>
      </c>
      <c r="AK32" s="66">
        <v>3736.97</v>
      </c>
      <c r="AL32" s="66">
        <v>35000</v>
      </c>
      <c r="AM32" s="64"/>
      <c r="AN32" s="64"/>
      <c r="AO32" s="64"/>
      <c r="AP32" s="64"/>
      <c r="AQ32" s="64"/>
      <c r="AR32" s="70">
        <f t="shared" si="13"/>
        <v>26885.07</v>
      </c>
      <c r="AS32" s="70">
        <f t="shared" si="14"/>
        <v>4383.95</v>
      </c>
      <c r="AT32" s="71">
        <f t="shared" si="15"/>
        <v>40000</v>
      </c>
      <c r="AU32" s="71"/>
      <c r="AV32" s="70">
        <f t="shared" si="16"/>
        <v>-17498.88</v>
      </c>
      <c r="AW32" s="74">
        <f>5*MAX(0,AV32*{0.6;2;4;5;6;7;9}%-{0;504;3384;6384;10584;17184;36384})</f>
        <v>0</v>
      </c>
      <c r="AX32" s="80">
        <v>0</v>
      </c>
      <c r="AY32" s="74">
        <f t="shared" si="18"/>
        <v>0</v>
      </c>
      <c r="AZ32" s="38"/>
      <c r="BA32" s="75">
        <f t="shared" si="17"/>
        <v>4486.95</v>
      </c>
      <c r="BB32" s="84"/>
    </row>
    <row r="33" s="4" customFormat="1" ht="25" customHeight="1" spans="1:54">
      <c r="A33" s="18">
        <v>29</v>
      </c>
      <c r="B33" s="19" t="s">
        <v>157</v>
      </c>
      <c r="C33" s="20" t="s">
        <v>80</v>
      </c>
      <c r="D33" s="20" t="s">
        <v>158</v>
      </c>
      <c r="E33" s="20" t="s">
        <v>57</v>
      </c>
      <c r="F33" s="20" t="s">
        <v>58</v>
      </c>
      <c r="G33" s="21" t="s">
        <v>159</v>
      </c>
      <c r="H33" s="21" t="s">
        <v>160</v>
      </c>
      <c r="I33" s="20"/>
      <c r="J33" s="39">
        <v>2100</v>
      </c>
      <c r="K33" s="39">
        <f>1700</f>
        <v>1700</v>
      </c>
      <c r="L33" s="39">
        <f>970*1.02</f>
        <v>989.4</v>
      </c>
      <c r="M33" s="39">
        <v>200</v>
      </c>
      <c r="N33" s="39">
        <v>100</v>
      </c>
      <c r="O33" s="39"/>
      <c r="P33" s="39">
        <v>20</v>
      </c>
      <c r="Q33" s="39"/>
      <c r="R33" s="39"/>
      <c r="S33" s="39"/>
      <c r="T33" s="39"/>
      <c r="U33" s="39">
        <f>19</f>
        <v>19</v>
      </c>
      <c r="V33" s="48">
        <f t="shared" si="12"/>
        <v>5128.4</v>
      </c>
      <c r="W33" s="49"/>
      <c r="X33" s="49"/>
      <c r="Y33" s="49"/>
      <c r="Z33" s="49"/>
      <c r="AA33" s="49"/>
      <c r="AB33" s="49"/>
      <c r="AC33" s="49"/>
      <c r="AD33" s="58">
        <v>325.68</v>
      </c>
      <c r="AE33" s="49">
        <v>81.42</v>
      </c>
      <c r="AF33" s="49">
        <v>16.28</v>
      </c>
      <c r="AG33" s="39">
        <v>119</v>
      </c>
      <c r="AH33" s="39">
        <v>85.6</v>
      </c>
      <c r="AI33" s="39">
        <f t="shared" si="5"/>
        <v>627.98</v>
      </c>
      <c r="AJ33" s="66">
        <v>33850.74</v>
      </c>
      <c r="AK33" s="66">
        <v>3702.97</v>
      </c>
      <c r="AL33" s="66">
        <v>35000</v>
      </c>
      <c r="AM33" s="64"/>
      <c r="AN33" s="64"/>
      <c r="AO33" s="64"/>
      <c r="AP33" s="64"/>
      <c r="AQ33" s="64"/>
      <c r="AR33" s="70">
        <f t="shared" si="13"/>
        <v>38979.14</v>
      </c>
      <c r="AS33" s="70">
        <f t="shared" si="14"/>
        <v>4330.95</v>
      </c>
      <c r="AT33" s="71">
        <f t="shared" si="15"/>
        <v>40000</v>
      </c>
      <c r="AU33" s="71"/>
      <c r="AV33" s="70">
        <f t="shared" si="16"/>
        <v>-5351.81</v>
      </c>
      <c r="AW33" s="74">
        <f>5*MAX(0,AV33*{0.6;2;4;5;6;7;9}%-{0;504;3384;6384;10584;17184;36384})</f>
        <v>0</v>
      </c>
      <c r="AX33" s="80"/>
      <c r="AY33" s="74">
        <f t="shared" si="18"/>
        <v>0</v>
      </c>
      <c r="AZ33" s="38"/>
      <c r="BA33" s="75">
        <f t="shared" si="17"/>
        <v>4500.42</v>
      </c>
      <c r="BB33" s="84"/>
    </row>
    <row r="34" s="4" customFormat="1" ht="25" customHeight="1" spans="1:54">
      <c r="A34" s="18">
        <v>30</v>
      </c>
      <c r="B34" s="19" t="s">
        <v>161</v>
      </c>
      <c r="C34" s="20" t="s">
        <v>80</v>
      </c>
      <c r="D34" s="20" t="s">
        <v>162</v>
      </c>
      <c r="E34" s="20" t="s">
        <v>85</v>
      </c>
      <c r="F34" s="20" t="s">
        <v>63</v>
      </c>
      <c r="G34" s="21" t="s">
        <v>163</v>
      </c>
      <c r="H34" s="21" t="s">
        <v>164</v>
      </c>
      <c r="I34" s="20"/>
      <c r="J34" s="39">
        <v>2100</v>
      </c>
      <c r="K34" s="39">
        <f>600</f>
        <v>600</v>
      </c>
      <c r="L34" s="39">
        <f>400</f>
        <v>400</v>
      </c>
      <c r="M34" s="39">
        <v>200</v>
      </c>
      <c r="N34" s="39">
        <f>100</f>
        <v>100</v>
      </c>
      <c r="O34" s="39">
        <f>300</f>
        <v>300</v>
      </c>
      <c r="P34" s="39">
        <v>40</v>
      </c>
      <c r="Q34" s="39"/>
      <c r="R34" s="39">
        <f>2100/21.75/8*0*1.5+2100/21.75/8*12.5*2</f>
        <v>301.72</v>
      </c>
      <c r="S34" s="39"/>
      <c r="T34" s="39"/>
      <c r="U34" s="39">
        <f>150+12</f>
        <v>162</v>
      </c>
      <c r="V34" s="48">
        <f t="shared" si="12"/>
        <v>4203.72</v>
      </c>
      <c r="W34" s="49">
        <v>431.52</v>
      </c>
      <c r="X34" s="49">
        <v>19.42</v>
      </c>
      <c r="Y34" s="49">
        <v>210.34</v>
      </c>
      <c r="Z34" s="49">
        <v>32.36</v>
      </c>
      <c r="AA34" s="49">
        <v>7.28</v>
      </c>
      <c r="AB34" s="49">
        <v>25.89</v>
      </c>
      <c r="AC34" s="49">
        <v>107</v>
      </c>
      <c r="AD34" s="58">
        <v>325.68</v>
      </c>
      <c r="AE34" s="49">
        <v>81.42</v>
      </c>
      <c r="AF34" s="49">
        <v>16.28</v>
      </c>
      <c r="AG34" s="39">
        <v>126</v>
      </c>
      <c r="AH34" s="39">
        <v>165.6</v>
      </c>
      <c r="AI34" s="39">
        <f t="shared" si="5"/>
        <v>714.98</v>
      </c>
      <c r="AJ34" s="66">
        <v>32206.55</v>
      </c>
      <c r="AK34" s="66">
        <v>3560.97</v>
      </c>
      <c r="AL34" s="66">
        <v>35000</v>
      </c>
      <c r="AM34" s="64"/>
      <c r="AN34" s="64"/>
      <c r="AO34" s="64"/>
      <c r="AP34" s="64"/>
      <c r="AQ34" s="64"/>
      <c r="AR34" s="70">
        <f t="shared" si="13"/>
        <v>36410.27</v>
      </c>
      <c r="AS34" s="70">
        <f t="shared" si="14"/>
        <v>4275.95</v>
      </c>
      <c r="AT34" s="71">
        <f t="shared" si="15"/>
        <v>40000</v>
      </c>
      <c r="AU34" s="71"/>
      <c r="AV34" s="70">
        <f t="shared" si="16"/>
        <v>-7865.68</v>
      </c>
      <c r="AW34" s="74">
        <f>5*MAX(0,AV34*{0.6;2;4;5;6;7;9}%-{0;504;3384;6384;10584;17184;36384})</f>
        <v>0</v>
      </c>
      <c r="AX34" s="80">
        <v>0</v>
      </c>
      <c r="AY34" s="74">
        <f t="shared" si="18"/>
        <v>0</v>
      </c>
      <c r="AZ34" s="38"/>
      <c r="BA34" s="75">
        <f t="shared" si="17"/>
        <v>3488.74</v>
      </c>
      <c r="BB34" s="84"/>
    </row>
    <row r="35" s="4" customFormat="1" ht="25" customHeight="1" spans="1:54">
      <c r="A35" s="18">
        <v>31</v>
      </c>
      <c r="B35" s="19" t="s">
        <v>165</v>
      </c>
      <c r="C35" s="20" t="s">
        <v>80</v>
      </c>
      <c r="D35" s="20" t="s">
        <v>166</v>
      </c>
      <c r="E35" s="20" t="s">
        <v>57</v>
      </c>
      <c r="F35" s="20" t="s">
        <v>63</v>
      </c>
      <c r="G35" s="21" t="s">
        <v>167</v>
      </c>
      <c r="H35" s="21" t="s">
        <v>168</v>
      </c>
      <c r="I35" s="20"/>
      <c r="J35" s="39">
        <v>2100</v>
      </c>
      <c r="K35" s="39">
        <f>600</f>
        <v>600</v>
      </c>
      <c r="L35" s="39">
        <f>500</f>
        <v>500</v>
      </c>
      <c r="M35" s="39">
        <v>200</v>
      </c>
      <c r="N35" s="39">
        <f>100</f>
        <v>100</v>
      </c>
      <c r="O35" s="39"/>
      <c r="P35" s="39"/>
      <c r="Q35" s="39"/>
      <c r="R35" s="39">
        <f>2100/21.75/8*0*1.5+2100/21.75/8*18*2</f>
        <v>434.48</v>
      </c>
      <c r="S35" s="39"/>
      <c r="T35" s="39"/>
      <c r="U35" s="39">
        <f>90+12</f>
        <v>102</v>
      </c>
      <c r="V35" s="48">
        <f t="shared" si="12"/>
        <v>4036.48</v>
      </c>
      <c r="W35" s="49"/>
      <c r="X35" s="49"/>
      <c r="Y35" s="49"/>
      <c r="Z35" s="49"/>
      <c r="AA35" s="49"/>
      <c r="AB35" s="49"/>
      <c r="AC35" s="49"/>
      <c r="AD35" s="58">
        <v>325.68</v>
      </c>
      <c r="AE35" s="49">
        <v>81.42</v>
      </c>
      <c r="AF35" s="49">
        <v>16.28</v>
      </c>
      <c r="AG35" s="39">
        <v>126</v>
      </c>
      <c r="AH35" s="39">
        <v>165.6</v>
      </c>
      <c r="AI35" s="39">
        <f t="shared" si="5"/>
        <v>714.98</v>
      </c>
      <c r="AJ35" s="66">
        <v>30748.94</v>
      </c>
      <c r="AK35" s="66">
        <v>3560.97</v>
      </c>
      <c r="AL35" s="66">
        <v>35000</v>
      </c>
      <c r="AM35" s="64"/>
      <c r="AN35" s="64"/>
      <c r="AO35" s="64"/>
      <c r="AP35" s="64"/>
      <c r="AQ35" s="64"/>
      <c r="AR35" s="70">
        <f t="shared" si="13"/>
        <v>34785.42</v>
      </c>
      <c r="AS35" s="70">
        <f t="shared" si="14"/>
        <v>4275.95</v>
      </c>
      <c r="AT35" s="71">
        <f t="shared" si="15"/>
        <v>40000</v>
      </c>
      <c r="AU35" s="71"/>
      <c r="AV35" s="70">
        <f t="shared" si="16"/>
        <v>-9490.53</v>
      </c>
      <c r="AW35" s="74">
        <f>5*MAX(0,AV35*{0.6;2;4;5;6;7;9}%-{0;504;3384;6384;10584;17184;36384})</f>
        <v>0</v>
      </c>
      <c r="AX35" s="80"/>
      <c r="AY35" s="74">
        <f t="shared" si="18"/>
        <v>0</v>
      </c>
      <c r="AZ35" s="38"/>
      <c r="BA35" s="75">
        <f t="shared" si="17"/>
        <v>3321.5</v>
      </c>
      <c r="BB35" s="84"/>
    </row>
    <row r="36" s="4" customFormat="1" ht="25" customHeight="1" spans="1:54">
      <c r="A36" s="18">
        <v>32</v>
      </c>
      <c r="B36" s="19" t="s">
        <v>169</v>
      </c>
      <c r="C36" s="20" t="s">
        <v>80</v>
      </c>
      <c r="D36" s="20" t="s">
        <v>148</v>
      </c>
      <c r="E36" s="20" t="s">
        <v>85</v>
      </c>
      <c r="F36" s="20" t="s">
        <v>63</v>
      </c>
      <c r="G36" s="21" t="s">
        <v>170</v>
      </c>
      <c r="H36" s="21" t="s">
        <v>171</v>
      </c>
      <c r="I36" s="20"/>
      <c r="J36" s="39">
        <v>2100</v>
      </c>
      <c r="K36" s="39">
        <f>600/168*112</f>
        <v>400</v>
      </c>
      <c r="L36" s="39">
        <f>400/168*112</f>
        <v>266.67</v>
      </c>
      <c r="M36" s="39"/>
      <c r="N36" s="39">
        <f>100</f>
        <v>100</v>
      </c>
      <c r="O36" s="39"/>
      <c r="P36" s="39"/>
      <c r="Q36" s="39"/>
      <c r="R36" s="39"/>
      <c r="S36" s="39"/>
      <c r="T36" s="39"/>
      <c r="U36" s="39">
        <v>19</v>
      </c>
      <c r="V36" s="48">
        <f t="shared" si="12"/>
        <v>2885.67</v>
      </c>
      <c r="W36" s="49"/>
      <c r="X36" s="49"/>
      <c r="Y36" s="49"/>
      <c r="Z36" s="49"/>
      <c r="AA36" s="49"/>
      <c r="AB36" s="49"/>
      <c r="AC36" s="49"/>
      <c r="AD36" s="58">
        <v>325.68</v>
      </c>
      <c r="AE36" s="49">
        <v>81.42</v>
      </c>
      <c r="AF36" s="49">
        <v>16.28</v>
      </c>
      <c r="AG36" s="39">
        <v>107</v>
      </c>
      <c r="AH36" s="39">
        <v>138</v>
      </c>
      <c r="AI36" s="39">
        <f t="shared" si="5"/>
        <v>668.38</v>
      </c>
      <c r="AJ36" s="65">
        <v>14875.1</v>
      </c>
      <c r="AK36" s="65">
        <v>3002.88</v>
      </c>
      <c r="AL36" s="65">
        <v>25000</v>
      </c>
      <c r="AM36" s="64"/>
      <c r="AN36" s="64"/>
      <c r="AO36" s="64"/>
      <c r="AP36" s="64"/>
      <c r="AQ36" s="64"/>
      <c r="AR36" s="70">
        <f t="shared" si="13"/>
        <v>17760.77</v>
      </c>
      <c r="AS36" s="70">
        <f t="shared" si="14"/>
        <v>3671.26</v>
      </c>
      <c r="AT36" s="71">
        <f t="shared" si="15"/>
        <v>30000</v>
      </c>
      <c r="AU36" s="71"/>
      <c r="AV36" s="70">
        <f t="shared" si="16"/>
        <v>-15910.49</v>
      </c>
      <c r="AW36" s="74">
        <f>5*MAX(0,AV36*{0.6;2;4;5;6;7;9}%-{0;504;3384;6384;10584;17184;36384})</f>
        <v>0</v>
      </c>
      <c r="AX36" s="80"/>
      <c r="AY36" s="74">
        <f t="shared" si="18"/>
        <v>0</v>
      </c>
      <c r="AZ36" s="38"/>
      <c r="BA36" s="75">
        <f t="shared" si="17"/>
        <v>2217.29</v>
      </c>
      <c r="BB36" s="84" t="s">
        <v>172</v>
      </c>
    </row>
    <row r="37" s="4" customFormat="1" ht="22" customHeight="1" spans="1:54">
      <c r="A37" s="22"/>
      <c r="B37" s="23" t="s">
        <v>173</v>
      </c>
      <c r="C37" s="20"/>
      <c r="D37" s="25"/>
      <c r="E37" s="25"/>
      <c r="F37" s="25"/>
      <c r="G37" s="21"/>
      <c r="H37" s="21"/>
      <c r="I37" s="25"/>
      <c r="J37" s="40">
        <f>SUM(J11:J36)</f>
        <v>54400</v>
      </c>
      <c r="K37" s="40">
        <f t="shared" ref="K37:AZ37" si="19">SUM(K11:K36)</f>
        <v>17378.27</v>
      </c>
      <c r="L37" s="40">
        <f t="shared" si="19"/>
        <v>13512.69</v>
      </c>
      <c r="M37" s="40">
        <f t="shared" si="19"/>
        <v>2000</v>
      </c>
      <c r="N37" s="40">
        <f t="shared" si="19"/>
        <v>2547.62</v>
      </c>
      <c r="O37" s="40">
        <f t="shared" si="19"/>
        <v>3405.38</v>
      </c>
      <c r="P37" s="40">
        <f t="shared" si="19"/>
        <v>1060</v>
      </c>
      <c r="Q37" s="40">
        <f t="shared" si="19"/>
        <v>0</v>
      </c>
      <c r="R37" s="40">
        <f t="shared" si="19"/>
        <v>1282.32</v>
      </c>
      <c r="S37" s="40">
        <f t="shared" si="19"/>
        <v>1200</v>
      </c>
      <c r="T37" s="40">
        <f t="shared" si="19"/>
        <v>0</v>
      </c>
      <c r="U37" s="40">
        <f t="shared" si="19"/>
        <v>12.36</v>
      </c>
      <c r="V37" s="40">
        <f>SUM(V11:V36)</f>
        <v>96798.64</v>
      </c>
      <c r="W37" s="40">
        <f t="shared" si="19"/>
        <v>6923.74</v>
      </c>
      <c r="X37" s="40">
        <f t="shared" si="19"/>
        <v>521.06</v>
      </c>
      <c r="Y37" s="40">
        <f t="shared" si="19"/>
        <v>3397.8</v>
      </c>
      <c r="Z37" s="40">
        <f t="shared" si="19"/>
        <v>525.04</v>
      </c>
      <c r="AA37" s="40">
        <f t="shared" si="19"/>
        <v>142.37</v>
      </c>
      <c r="AB37" s="40">
        <f t="shared" si="19"/>
        <v>521.24</v>
      </c>
      <c r="AC37" s="40">
        <f t="shared" si="19"/>
        <v>1951.76</v>
      </c>
      <c r="AD37" s="40">
        <f>SUM(AD11:AD36)</f>
        <v>8154.4</v>
      </c>
      <c r="AE37" s="40">
        <f t="shared" si="19"/>
        <v>2038.6</v>
      </c>
      <c r="AF37" s="40">
        <f t="shared" si="19"/>
        <v>407.62</v>
      </c>
      <c r="AG37" s="40">
        <f t="shared" si="19"/>
        <v>3189</v>
      </c>
      <c r="AH37" s="40">
        <f t="shared" si="19"/>
        <v>3746.8</v>
      </c>
      <c r="AI37" s="40">
        <f t="shared" ref="AI37:BA37" si="20">SUM(AI11:AI36)</f>
        <v>17536.42</v>
      </c>
      <c r="AJ37" s="40">
        <f t="shared" si="20"/>
        <v>696896.93</v>
      </c>
      <c r="AK37" s="40">
        <f t="shared" si="20"/>
        <v>90542.26</v>
      </c>
      <c r="AL37" s="40">
        <f t="shared" si="20"/>
        <v>875000</v>
      </c>
      <c r="AM37" s="40">
        <f t="shared" si="20"/>
        <v>7000</v>
      </c>
      <c r="AN37" s="40">
        <f t="shared" si="20"/>
        <v>7000</v>
      </c>
      <c r="AO37" s="40">
        <f t="shared" si="20"/>
        <v>7000</v>
      </c>
      <c r="AP37" s="40">
        <f t="shared" si="20"/>
        <v>0</v>
      </c>
      <c r="AQ37" s="40">
        <f t="shared" si="20"/>
        <v>0</v>
      </c>
      <c r="AR37" s="40">
        <f t="shared" si="20"/>
        <v>793695.57</v>
      </c>
      <c r="AS37" s="40">
        <f t="shared" si="20"/>
        <v>108078.68</v>
      </c>
      <c r="AT37" s="40">
        <f t="shared" si="20"/>
        <v>1005000</v>
      </c>
      <c r="AU37" s="40">
        <f t="shared" si="20"/>
        <v>24000</v>
      </c>
      <c r="AV37" s="40">
        <f t="shared" si="20"/>
        <v>-343383.11</v>
      </c>
      <c r="AW37" s="40">
        <f t="shared" si="20"/>
        <v>234.74</v>
      </c>
      <c r="AX37" s="40">
        <f t="shared" si="20"/>
        <v>204.8</v>
      </c>
      <c r="AY37" s="40">
        <f t="shared" si="20"/>
        <v>41.33</v>
      </c>
      <c r="AZ37" s="40">
        <f t="shared" si="20"/>
        <v>0</v>
      </c>
      <c r="BA37" s="40">
        <f>SUM(BA11:BA36)</f>
        <v>79220.89</v>
      </c>
      <c r="BB37" s="87"/>
    </row>
    <row r="38" s="4" customFormat="1" ht="25" customHeight="1" spans="1:54">
      <c r="A38" s="18">
        <v>33</v>
      </c>
      <c r="B38" s="19" t="s">
        <v>174</v>
      </c>
      <c r="C38" s="20" t="s">
        <v>175</v>
      </c>
      <c r="D38" s="20" t="s">
        <v>56</v>
      </c>
      <c r="E38" s="20" t="s">
        <v>57</v>
      </c>
      <c r="F38" s="20" t="s">
        <v>58</v>
      </c>
      <c r="G38" s="21" t="s">
        <v>176</v>
      </c>
      <c r="H38" s="21" t="s">
        <v>177</v>
      </c>
      <c r="I38" s="20"/>
      <c r="J38" s="39">
        <v>2100</v>
      </c>
      <c r="K38" s="39">
        <v>3500</v>
      </c>
      <c r="L38" s="39">
        <f>3170*1.1</f>
        <v>3487</v>
      </c>
      <c r="M38" s="39">
        <v>200</v>
      </c>
      <c r="N38" s="39">
        <v>100</v>
      </c>
      <c r="O38" s="39"/>
      <c r="P38" s="39">
        <v>60</v>
      </c>
      <c r="Q38" s="39"/>
      <c r="R38" s="39"/>
      <c r="S38" s="39"/>
      <c r="T38" s="39"/>
      <c r="U38" s="39"/>
      <c r="V38" s="48">
        <f>SUM(J38:S38)-T38+U38</f>
        <v>9447</v>
      </c>
      <c r="W38" s="49">
        <v>462.08</v>
      </c>
      <c r="X38" s="49">
        <v>19.42</v>
      </c>
      <c r="Y38" s="49">
        <v>210.34</v>
      </c>
      <c r="Z38" s="49">
        <v>32.36</v>
      </c>
      <c r="AA38" s="49">
        <v>7.28</v>
      </c>
      <c r="AB38" s="49">
        <v>25.89</v>
      </c>
      <c r="AC38" s="49">
        <v>137</v>
      </c>
      <c r="AD38" s="20">
        <v>338.08</v>
      </c>
      <c r="AE38" s="20">
        <v>84.52</v>
      </c>
      <c r="AF38" s="20">
        <v>16.9</v>
      </c>
      <c r="AG38" s="39">
        <v>156</v>
      </c>
      <c r="AH38" s="39">
        <v>12.4</v>
      </c>
      <c r="AI38" s="39">
        <f>SUM(AD38:AH38)</f>
        <v>607.9</v>
      </c>
      <c r="AJ38" s="66">
        <v>63277.86</v>
      </c>
      <c r="AK38" s="66">
        <v>4048.68</v>
      </c>
      <c r="AL38" s="66">
        <v>35000</v>
      </c>
      <c r="AM38" s="66">
        <v>7000</v>
      </c>
      <c r="AN38" s="66">
        <v>14000</v>
      </c>
      <c r="AO38" s="66">
        <v>0</v>
      </c>
      <c r="AP38" s="66">
        <v>0</v>
      </c>
      <c r="AQ38" s="66">
        <v>0</v>
      </c>
      <c r="AR38" s="70">
        <f t="shared" ref="AR38:AR48" si="21">V38+AJ38</f>
        <v>72724.86</v>
      </c>
      <c r="AS38" s="70">
        <f t="shared" ref="AS38:AS50" si="22">AI38+AK38</f>
        <v>4656.58</v>
      </c>
      <c r="AT38" s="71">
        <f t="shared" ref="AT38:AT48" si="23">AL38+5000</f>
        <v>40000</v>
      </c>
      <c r="AU38" s="71">
        <f>AM38+AN38+3000</f>
        <v>24000</v>
      </c>
      <c r="AV38" s="70">
        <f t="shared" ref="AV38:AV48" si="24">AR38-AS38-AT38-AU38</f>
        <v>4068.28</v>
      </c>
      <c r="AW38" s="74">
        <f>5*MAX(0,AV38*{0.6;2;4;5;6;7;9}%-{0;504;3384;6384;10584;17184;36384})</f>
        <v>122.05</v>
      </c>
      <c r="AX38" s="80">
        <v>96.88</v>
      </c>
      <c r="AY38" s="74">
        <f t="shared" ref="AY38:AY48" si="25">IF(+AW38-AX38&gt;0,AW38-AX38,0)</f>
        <v>25.17</v>
      </c>
      <c r="AZ38" s="38"/>
      <c r="BA38" s="75">
        <f t="shared" ref="BA38:BA47" si="26">V38-AI38-AY38</f>
        <v>8813.93</v>
      </c>
      <c r="BB38" s="83"/>
    </row>
    <row r="39" s="4" customFormat="1" ht="25" customHeight="1" spans="1:54">
      <c r="A39" s="18">
        <v>34</v>
      </c>
      <c r="B39" s="19" t="s">
        <v>178</v>
      </c>
      <c r="C39" s="19" t="s">
        <v>175</v>
      </c>
      <c r="D39" s="20" t="s">
        <v>179</v>
      </c>
      <c r="E39" s="20" t="s">
        <v>57</v>
      </c>
      <c r="F39" s="20" t="s">
        <v>58</v>
      </c>
      <c r="G39" s="21" t="s">
        <v>180</v>
      </c>
      <c r="H39" s="21" t="s">
        <v>181</v>
      </c>
      <c r="I39" s="20"/>
      <c r="J39" s="39">
        <v>2100</v>
      </c>
      <c r="K39" s="39">
        <v>2000</v>
      </c>
      <c r="L39" s="39">
        <f>970*1.07</f>
        <v>1037.9</v>
      </c>
      <c r="M39" s="39">
        <v>200</v>
      </c>
      <c r="N39" s="39">
        <v>100</v>
      </c>
      <c r="O39" s="39"/>
      <c r="P39" s="39">
        <v>60</v>
      </c>
      <c r="Q39" s="39"/>
      <c r="R39" s="39"/>
      <c r="S39" s="39"/>
      <c r="T39" s="39"/>
      <c r="U39" s="39">
        <v>19</v>
      </c>
      <c r="V39" s="48">
        <f>SUM(J39:S39)-T39+U39</f>
        <v>5516.9</v>
      </c>
      <c r="W39" s="49">
        <v>431.52</v>
      </c>
      <c r="X39" s="49">
        <v>19.42</v>
      </c>
      <c r="Y39" s="49">
        <v>210.34</v>
      </c>
      <c r="Z39" s="49">
        <v>32.36</v>
      </c>
      <c r="AA39" s="49">
        <v>7.28</v>
      </c>
      <c r="AB39" s="49">
        <v>25.89</v>
      </c>
      <c r="AC39" s="49">
        <v>107</v>
      </c>
      <c r="AD39" s="58">
        <v>325.68</v>
      </c>
      <c r="AE39" s="49">
        <v>81.42</v>
      </c>
      <c r="AF39" s="49">
        <v>16.28</v>
      </c>
      <c r="AG39" s="39">
        <v>119</v>
      </c>
      <c r="AH39" s="39">
        <v>85.6</v>
      </c>
      <c r="AI39" s="39">
        <f t="shared" ref="AI39:AI47" si="27">SUM(AD39:AH39)</f>
        <v>627.98</v>
      </c>
      <c r="AJ39" s="66">
        <v>36054.4</v>
      </c>
      <c r="AK39" s="66">
        <v>3686.97</v>
      </c>
      <c r="AL39" s="66">
        <v>35000</v>
      </c>
      <c r="AM39" s="64"/>
      <c r="AN39" s="64"/>
      <c r="AO39" s="64"/>
      <c r="AP39" s="64"/>
      <c r="AQ39" s="64"/>
      <c r="AR39" s="70">
        <f t="shared" si="21"/>
        <v>41571.3</v>
      </c>
      <c r="AS39" s="70">
        <f t="shared" si="22"/>
        <v>4314.95</v>
      </c>
      <c r="AT39" s="71">
        <f t="shared" si="23"/>
        <v>40000</v>
      </c>
      <c r="AU39" s="71"/>
      <c r="AV39" s="70">
        <f t="shared" si="24"/>
        <v>-2743.65</v>
      </c>
      <c r="AW39" s="74">
        <f>5*MAX(0,AV39*{0.6;2;4;5;6;7;9}%-{0;504;3384;6384;10584;17184;36384})</f>
        <v>0</v>
      </c>
      <c r="AX39" s="80">
        <v>0</v>
      </c>
      <c r="AY39" s="74">
        <f t="shared" si="25"/>
        <v>0</v>
      </c>
      <c r="AZ39" s="38"/>
      <c r="BA39" s="75">
        <f t="shared" si="26"/>
        <v>4888.92</v>
      </c>
      <c r="BB39" s="83"/>
    </row>
    <row r="40" s="4" customFormat="1" ht="25" customHeight="1" spans="1:54">
      <c r="A40" s="18">
        <v>35</v>
      </c>
      <c r="B40" s="19" t="s">
        <v>182</v>
      </c>
      <c r="C40" s="19" t="s">
        <v>175</v>
      </c>
      <c r="D40" s="20" t="s">
        <v>183</v>
      </c>
      <c r="E40" s="20" t="s">
        <v>57</v>
      </c>
      <c r="F40" s="20" t="s">
        <v>58</v>
      </c>
      <c r="G40" s="21" t="s">
        <v>184</v>
      </c>
      <c r="H40" s="21" t="s">
        <v>185</v>
      </c>
      <c r="I40" s="20"/>
      <c r="J40" s="39">
        <v>2100</v>
      </c>
      <c r="K40" s="39">
        <f>2400</f>
        <v>2400</v>
      </c>
      <c r="L40" s="39">
        <f>1970*1.08</f>
        <v>2127.6</v>
      </c>
      <c r="M40" s="39">
        <v>200</v>
      </c>
      <c r="N40" s="39">
        <v>100</v>
      </c>
      <c r="O40" s="39"/>
      <c r="P40" s="39">
        <v>20</v>
      </c>
      <c r="Q40" s="39"/>
      <c r="R40" s="39"/>
      <c r="S40" s="39"/>
      <c r="T40" s="39"/>
      <c r="U40" s="39"/>
      <c r="V40" s="48">
        <f>SUM(J40:S40)-T40+U40</f>
        <v>6947.6</v>
      </c>
      <c r="W40" s="49"/>
      <c r="X40" s="49"/>
      <c r="Y40" s="49"/>
      <c r="Z40" s="49"/>
      <c r="AA40" s="49"/>
      <c r="AB40" s="49"/>
      <c r="AC40" s="49"/>
      <c r="AD40" s="58">
        <v>325.68</v>
      </c>
      <c r="AE40" s="49">
        <v>81.42</v>
      </c>
      <c r="AF40" s="49">
        <v>16.28</v>
      </c>
      <c r="AG40" s="39">
        <v>138</v>
      </c>
      <c r="AH40" s="39">
        <v>85.6</v>
      </c>
      <c r="AI40" s="39">
        <f t="shared" si="27"/>
        <v>646.98</v>
      </c>
      <c r="AJ40" s="66">
        <v>46077.1</v>
      </c>
      <c r="AK40" s="66">
        <v>3736.97</v>
      </c>
      <c r="AL40" s="66">
        <v>35000</v>
      </c>
      <c r="AM40" s="64"/>
      <c r="AN40" s="64"/>
      <c r="AO40" s="64">
        <v>7000</v>
      </c>
      <c r="AP40" s="64"/>
      <c r="AQ40" s="64"/>
      <c r="AR40" s="70">
        <f t="shared" si="21"/>
        <v>53024.7</v>
      </c>
      <c r="AS40" s="70">
        <f t="shared" si="22"/>
        <v>4383.95</v>
      </c>
      <c r="AT40" s="71">
        <f t="shared" si="23"/>
        <v>40000</v>
      </c>
      <c r="AU40" s="71">
        <f>AO40+1000</f>
        <v>8000</v>
      </c>
      <c r="AV40" s="70">
        <f t="shared" si="24"/>
        <v>640.75</v>
      </c>
      <c r="AW40" s="74">
        <f>5*MAX(0,AV40*{0.6;2;4;5;6;7;9}%-{0;504;3384;6384;10584;17184;36384})</f>
        <v>19.22</v>
      </c>
      <c r="AX40" s="80">
        <v>10.2</v>
      </c>
      <c r="AY40" s="74">
        <f t="shared" si="25"/>
        <v>9.02</v>
      </c>
      <c r="AZ40" s="38"/>
      <c r="BA40" s="75">
        <f t="shared" si="26"/>
        <v>6291.6</v>
      </c>
      <c r="BB40" s="83"/>
    </row>
    <row r="41" s="4" customFormat="1" ht="25" customHeight="1" spans="1:54">
      <c r="A41" s="18">
        <v>36</v>
      </c>
      <c r="B41" s="19" t="s">
        <v>186</v>
      </c>
      <c r="C41" s="19" t="s">
        <v>175</v>
      </c>
      <c r="D41" s="20" t="s">
        <v>187</v>
      </c>
      <c r="E41" s="20" t="s">
        <v>85</v>
      </c>
      <c r="F41" s="20" t="s">
        <v>86</v>
      </c>
      <c r="G41" s="21" t="s">
        <v>188</v>
      </c>
      <c r="H41" s="21" t="s">
        <v>189</v>
      </c>
      <c r="I41" s="20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48">
        <v>2000</v>
      </c>
      <c r="W41" s="49"/>
      <c r="X41" s="49"/>
      <c r="Y41" s="49"/>
      <c r="Z41" s="49"/>
      <c r="AA41" s="49"/>
      <c r="AB41" s="49"/>
      <c r="AC41" s="49"/>
      <c r="AD41" s="58"/>
      <c r="AE41" s="49"/>
      <c r="AF41" s="49"/>
      <c r="AG41" s="39" t="s">
        <v>66</v>
      </c>
      <c r="AH41" s="39"/>
      <c r="AI41" s="39">
        <f t="shared" si="27"/>
        <v>0</v>
      </c>
      <c r="AJ41" s="66">
        <v>14000</v>
      </c>
      <c r="AK41" s="66">
        <v>0</v>
      </c>
      <c r="AL41" s="66">
        <v>35000</v>
      </c>
      <c r="AM41" s="64"/>
      <c r="AN41" s="64"/>
      <c r="AO41" s="64"/>
      <c r="AP41" s="64"/>
      <c r="AQ41" s="64"/>
      <c r="AR41" s="70">
        <f t="shared" si="21"/>
        <v>16000</v>
      </c>
      <c r="AS41" s="70">
        <f t="shared" si="22"/>
        <v>0</v>
      </c>
      <c r="AT41" s="71">
        <f t="shared" si="23"/>
        <v>40000</v>
      </c>
      <c r="AU41" s="71"/>
      <c r="AV41" s="70">
        <f t="shared" si="24"/>
        <v>-24000</v>
      </c>
      <c r="AW41" s="74">
        <f>5*MAX(0,AV41*{0.6;2;4;5;6;7;9}%-{0;504;3384;6384;10584;17184;36384})</f>
        <v>0</v>
      </c>
      <c r="AX41" s="80">
        <v>0</v>
      </c>
      <c r="AY41" s="74">
        <f t="shared" si="25"/>
        <v>0</v>
      </c>
      <c r="AZ41" s="38"/>
      <c r="BA41" s="75">
        <f t="shared" si="26"/>
        <v>2000</v>
      </c>
      <c r="BB41" s="83"/>
    </row>
    <row r="42" s="4" customFormat="1" ht="25" customHeight="1" spans="1:54">
      <c r="A42" s="18">
        <v>37</v>
      </c>
      <c r="B42" s="19" t="s">
        <v>190</v>
      </c>
      <c r="C42" s="19" t="s">
        <v>175</v>
      </c>
      <c r="D42" s="20" t="s">
        <v>191</v>
      </c>
      <c r="E42" s="20" t="s">
        <v>85</v>
      </c>
      <c r="F42" s="20" t="s">
        <v>63</v>
      </c>
      <c r="G42" s="21" t="s">
        <v>192</v>
      </c>
      <c r="H42" s="21" t="s">
        <v>193</v>
      </c>
      <c r="I42" s="20"/>
      <c r="J42" s="39">
        <v>2100</v>
      </c>
      <c r="K42" s="39">
        <f>400/168*96</f>
        <v>228.57</v>
      </c>
      <c r="L42" s="39">
        <f>300/168*96</f>
        <v>171.43</v>
      </c>
      <c r="M42" s="39"/>
      <c r="N42" s="39">
        <v>100</v>
      </c>
      <c r="O42" s="39"/>
      <c r="P42" s="39">
        <v>60</v>
      </c>
      <c r="Q42" s="39" t="s">
        <v>194</v>
      </c>
      <c r="R42" s="39"/>
      <c r="S42" s="39"/>
      <c r="T42" s="39"/>
      <c r="U42" s="39"/>
      <c r="V42" s="48">
        <f>SUM(J42:S42)-T42+U42</f>
        <v>2660</v>
      </c>
      <c r="W42" s="49">
        <v>431.52</v>
      </c>
      <c r="X42" s="49">
        <v>19.42</v>
      </c>
      <c r="Y42" s="49">
        <v>210.34</v>
      </c>
      <c r="Z42" s="49">
        <v>32.36</v>
      </c>
      <c r="AA42" s="49">
        <v>7.28</v>
      </c>
      <c r="AB42" s="49">
        <v>25.89</v>
      </c>
      <c r="AC42" s="49">
        <v>107</v>
      </c>
      <c r="AD42" s="58">
        <v>325.68</v>
      </c>
      <c r="AE42" s="49">
        <v>81.42</v>
      </c>
      <c r="AF42" s="49">
        <v>16.28</v>
      </c>
      <c r="AG42" s="39">
        <v>126</v>
      </c>
      <c r="AH42" s="39">
        <v>165.6</v>
      </c>
      <c r="AI42" s="39">
        <f t="shared" si="27"/>
        <v>714.98</v>
      </c>
      <c r="AJ42" s="66">
        <v>22011.77</v>
      </c>
      <c r="AK42" s="66">
        <v>3560.97</v>
      </c>
      <c r="AL42" s="66">
        <v>35000</v>
      </c>
      <c r="AM42" s="64"/>
      <c r="AN42" s="64"/>
      <c r="AO42" s="64"/>
      <c r="AP42" s="64"/>
      <c r="AQ42" s="64"/>
      <c r="AR42" s="70">
        <f t="shared" si="21"/>
        <v>24671.77</v>
      </c>
      <c r="AS42" s="70">
        <f t="shared" si="22"/>
        <v>4275.95</v>
      </c>
      <c r="AT42" s="71">
        <f t="shared" si="23"/>
        <v>40000</v>
      </c>
      <c r="AU42" s="71"/>
      <c r="AV42" s="70">
        <f t="shared" si="24"/>
        <v>-19604.18</v>
      </c>
      <c r="AW42" s="74">
        <f>5*MAX(0,AV42*{0.6;2;4;5;6;7;9}%-{0;504;3384;6384;10584;17184;36384})</f>
        <v>0</v>
      </c>
      <c r="AX42" s="80">
        <v>0</v>
      </c>
      <c r="AY42" s="74">
        <f t="shared" si="25"/>
        <v>0</v>
      </c>
      <c r="AZ42" s="38"/>
      <c r="BA42" s="75">
        <f t="shared" si="26"/>
        <v>1945.02</v>
      </c>
      <c r="BB42" s="83"/>
    </row>
    <row r="43" s="4" customFormat="1" ht="25" customHeight="1" spans="1:54">
      <c r="A43" s="18">
        <v>38</v>
      </c>
      <c r="B43" s="19" t="s">
        <v>195</v>
      </c>
      <c r="C43" s="19" t="s">
        <v>175</v>
      </c>
      <c r="D43" s="20" t="s">
        <v>187</v>
      </c>
      <c r="E43" s="20" t="s">
        <v>85</v>
      </c>
      <c r="F43" s="20" t="s">
        <v>86</v>
      </c>
      <c r="G43" s="21" t="s">
        <v>196</v>
      </c>
      <c r="H43" s="21" t="s">
        <v>197</v>
      </c>
      <c r="I43" s="20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48">
        <v>2000</v>
      </c>
      <c r="W43" s="49"/>
      <c r="X43" s="49"/>
      <c r="Y43" s="49"/>
      <c r="Z43" s="49"/>
      <c r="AA43" s="49"/>
      <c r="AB43" s="49"/>
      <c r="AC43" s="49"/>
      <c r="AD43" s="49" t="s">
        <v>66</v>
      </c>
      <c r="AE43" s="49"/>
      <c r="AF43" s="49" t="s">
        <v>66</v>
      </c>
      <c r="AG43" s="39" t="s">
        <v>66</v>
      </c>
      <c r="AH43" s="39"/>
      <c r="AI43" s="39">
        <f t="shared" si="27"/>
        <v>0</v>
      </c>
      <c r="AJ43" s="66">
        <v>14000</v>
      </c>
      <c r="AK43" s="66">
        <v>0</v>
      </c>
      <c r="AL43" s="66">
        <v>35000</v>
      </c>
      <c r="AM43" s="64"/>
      <c r="AN43" s="64"/>
      <c r="AO43" s="64"/>
      <c r="AP43" s="64"/>
      <c r="AQ43" s="64"/>
      <c r="AR43" s="70">
        <f t="shared" si="21"/>
        <v>16000</v>
      </c>
      <c r="AS43" s="70">
        <f t="shared" si="22"/>
        <v>0</v>
      </c>
      <c r="AT43" s="71">
        <f t="shared" si="23"/>
        <v>40000</v>
      </c>
      <c r="AU43" s="71"/>
      <c r="AV43" s="70">
        <f t="shared" si="24"/>
        <v>-24000</v>
      </c>
      <c r="AW43" s="74">
        <f>5*MAX(0,AV43*{0.6;2;4;5;6;7;9}%-{0;504;3384;6384;10584;17184;36384})</f>
        <v>0</v>
      </c>
      <c r="AX43" s="80">
        <v>0</v>
      </c>
      <c r="AY43" s="74">
        <f t="shared" si="25"/>
        <v>0</v>
      </c>
      <c r="AZ43" s="38"/>
      <c r="BA43" s="75">
        <f t="shared" si="26"/>
        <v>2000</v>
      </c>
      <c r="BB43" s="83"/>
    </row>
    <row r="44" s="4" customFormat="1" ht="25" customHeight="1" spans="1:54">
      <c r="A44" s="18">
        <v>40</v>
      </c>
      <c r="B44" s="19" t="s">
        <v>198</v>
      </c>
      <c r="C44" s="19" t="s">
        <v>175</v>
      </c>
      <c r="D44" s="20" t="s">
        <v>187</v>
      </c>
      <c r="E44" s="20" t="s">
        <v>85</v>
      </c>
      <c r="F44" s="20" t="s">
        <v>86</v>
      </c>
      <c r="G44" s="21" t="s">
        <v>199</v>
      </c>
      <c r="H44" s="21" t="s">
        <v>200</v>
      </c>
      <c r="I44" s="20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48">
        <v>2000</v>
      </c>
      <c r="W44" s="49"/>
      <c r="X44" s="49"/>
      <c r="Y44" s="49"/>
      <c r="Z44" s="49"/>
      <c r="AA44" s="49"/>
      <c r="AB44" s="49"/>
      <c r="AC44" s="49"/>
      <c r="AD44" s="49"/>
      <c r="AE44" s="49"/>
      <c r="AF44" s="49"/>
      <c r="AG44" s="39" t="s">
        <v>66</v>
      </c>
      <c r="AH44" s="39"/>
      <c r="AI44" s="39">
        <f t="shared" si="27"/>
        <v>0</v>
      </c>
      <c r="AJ44" s="66">
        <v>12000</v>
      </c>
      <c r="AK44" s="66">
        <v>0</v>
      </c>
      <c r="AL44" s="66">
        <v>30000</v>
      </c>
      <c r="AM44" s="64"/>
      <c r="AN44" s="64"/>
      <c r="AO44" s="64"/>
      <c r="AP44" s="64"/>
      <c r="AQ44" s="64"/>
      <c r="AR44" s="70">
        <f t="shared" si="21"/>
        <v>14000</v>
      </c>
      <c r="AS44" s="70">
        <f t="shared" si="22"/>
        <v>0</v>
      </c>
      <c r="AT44" s="71">
        <f t="shared" si="23"/>
        <v>35000</v>
      </c>
      <c r="AU44" s="71"/>
      <c r="AV44" s="70">
        <f t="shared" si="24"/>
        <v>-21000</v>
      </c>
      <c r="AW44" s="74">
        <f>5*MAX(0,AV44*{0.6;2;4;5;6;7;9}%-{0;504;3384;6384;10584;17184;36384})</f>
        <v>0</v>
      </c>
      <c r="AX44" s="80">
        <v>0</v>
      </c>
      <c r="AY44" s="74">
        <f t="shared" si="25"/>
        <v>0</v>
      </c>
      <c r="AZ44" s="38"/>
      <c r="BA44" s="75">
        <f t="shared" si="26"/>
        <v>2000</v>
      </c>
      <c r="BB44" s="83"/>
    </row>
    <row r="45" s="4" customFormat="1" ht="25" customHeight="1" spans="1:54">
      <c r="A45" s="18">
        <v>42</v>
      </c>
      <c r="B45" s="19" t="s">
        <v>201</v>
      </c>
      <c r="C45" s="19" t="s">
        <v>175</v>
      </c>
      <c r="D45" s="28" t="s">
        <v>202</v>
      </c>
      <c r="E45" s="20" t="s">
        <v>85</v>
      </c>
      <c r="F45" s="20" t="s">
        <v>86</v>
      </c>
      <c r="G45" s="21" t="s">
        <v>203</v>
      </c>
      <c r="H45" s="21" t="s">
        <v>204</v>
      </c>
      <c r="I45" s="20"/>
      <c r="J45" s="39">
        <v>2100</v>
      </c>
      <c r="K45" s="39">
        <f>400/168*120</f>
        <v>285.71</v>
      </c>
      <c r="L45" s="39">
        <f>300/168*120</f>
        <v>214.29</v>
      </c>
      <c r="M45" s="39"/>
      <c r="N45" s="39">
        <f>100</f>
        <v>100</v>
      </c>
      <c r="O45" s="39">
        <f>300/168*120</f>
        <v>214.29</v>
      </c>
      <c r="P45" s="39"/>
      <c r="Q45" s="39"/>
      <c r="R45" s="39"/>
      <c r="S45" s="39"/>
      <c r="T45" s="39"/>
      <c r="U45" s="39"/>
      <c r="V45" s="48">
        <f>SUM(J45:S45)-T45+U45</f>
        <v>2914.29</v>
      </c>
      <c r="W45" s="49"/>
      <c r="X45" s="49"/>
      <c r="Y45" s="49"/>
      <c r="Z45" s="49"/>
      <c r="AA45" s="49"/>
      <c r="AB45" s="49"/>
      <c r="AC45" s="49"/>
      <c r="AD45" s="58">
        <v>325.68</v>
      </c>
      <c r="AE45" s="49">
        <v>81.42</v>
      </c>
      <c r="AF45" s="49">
        <v>16.28</v>
      </c>
      <c r="AG45" s="39">
        <v>126</v>
      </c>
      <c r="AH45" s="39">
        <v>165.6</v>
      </c>
      <c r="AI45" s="39">
        <f t="shared" si="27"/>
        <v>714.98</v>
      </c>
      <c r="AJ45" s="66">
        <v>23403.16</v>
      </c>
      <c r="AK45" s="66">
        <v>3535.38</v>
      </c>
      <c r="AL45" s="66">
        <v>35000</v>
      </c>
      <c r="AM45" s="64"/>
      <c r="AN45" s="64"/>
      <c r="AO45" s="64"/>
      <c r="AP45" s="64"/>
      <c r="AQ45" s="64"/>
      <c r="AR45" s="70">
        <f t="shared" si="21"/>
        <v>26317.45</v>
      </c>
      <c r="AS45" s="70">
        <f t="shared" si="22"/>
        <v>4250.36</v>
      </c>
      <c r="AT45" s="71">
        <f t="shared" si="23"/>
        <v>40000</v>
      </c>
      <c r="AU45" s="71"/>
      <c r="AV45" s="70">
        <f t="shared" si="24"/>
        <v>-17932.91</v>
      </c>
      <c r="AW45" s="74">
        <f>5*MAX(0,AV45*{0.6;2;4;5;6;7;9}%-{0;504;3384;6384;10584;17184;36384})</f>
        <v>0</v>
      </c>
      <c r="AX45" s="80">
        <v>0</v>
      </c>
      <c r="AY45" s="74">
        <f t="shared" si="25"/>
        <v>0</v>
      </c>
      <c r="AZ45" s="38"/>
      <c r="BA45" s="75">
        <f t="shared" si="26"/>
        <v>2199.31</v>
      </c>
      <c r="BB45" s="84"/>
    </row>
    <row r="46" s="4" customFormat="1" ht="25" customHeight="1" spans="1:54">
      <c r="A46" s="18">
        <v>43</v>
      </c>
      <c r="B46" s="19" t="s">
        <v>205</v>
      </c>
      <c r="C46" s="19" t="s">
        <v>175</v>
      </c>
      <c r="D46" s="20" t="s">
        <v>206</v>
      </c>
      <c r="E46" s="20" t="s">
        <v>85</v>
      </c>
      <c r="F46" s="20" t="s">
        <v>86</v>
      </c>
      <c r="G46" s="89" t="s">
        <v>207</v>
      </c>
      <c r="H46" s="89" t="s">
        <v>208</v>
      </c>
      <c r="I46" s="20"/>
      <c r="J46" s="39">
        <v>2100</v>
      </c>
      <c r="K46" s="39">
        <f>400/168*112.5</f>
        <v>267.86</v>
      </c>
      <c r="L46" s="39">
        <f>300/168*112.5</f>
        <v>200.89</v>
      </c>
      <c r="M46" s="39"/>
      <c r="N46" s="39">
        <f>100</f>
        <v>100</v>
      </c>
      <c r="O46" s="39"/>
      <c r="P46" s="39"/>
      <c r="Q46" s="39"/>
      <c r="R46" s="39"/>
      <c r="S46" s="39"/>
      <c r="T46" s="39"/>
      <c r="U46" s="39">
        <f>19+19</f>
        <v>38</v>
      </c>
      <c r="V46" s="48">
        <f>SUM(J46:S46)-T46+U46</f>
        <v>2706.75</v>
      </c>
      <c r="W46" s="49"/>
      <c r="X46" s="49"/>
      <c r="Y46" s="49"/>
      <c r="Z46" s="49"/>
      <c r="AA46" s="49"/>
      <c r="AB46" s="49"/>
      <c r="AC46" s="49"/>
      <c r="AD46" s="58">
        <v>325.68</v>
      </c>
      <c r="AE46" s="49">
        <v>81.42</v>
      </c>
      <c r="AF46" s="49">
        <v>16.28</v>
      </c>
      <c r="AG46" s="39">
        <v>107</v>
      </c>
      <c r="AH46" s="39">
        <v>138</v>
      </c>
      <c r="AI46" s="39">
        <f t="shared" si="27"/>
        <v>668.38</v>
      </c>
      <c r="AJ46" s="66">
        <v>14422.77</v>
      </c>
      <c r="AK46" s="65">
        <v>3021.88</v>
      </c>
      <c r="AL46" s="65">
        <v>35000</v>
      </c>
      <c r="AM46" s="64"/>
      <c r="AN46" s="64"/>
      <c r="AO46" s="64"/>
      <c r="AP46" s="64"/>
      <c r="AQ46" s="64"/>
      <c r="AR46" s="70">
        <f t="shared" si="21"/>
        <v>17129.52</v>
      </c>
      <c r="AS46" s="70">
        <f t="shared" si="22"/>
        <v>3690.26</v>
      </c>
      <c r="AT46" s="71">
        <f t="shared" si="23"/>
        <v>40000</v>
      </c>
      <c r="AU46" s="71"/>
      <c r="AV46" s="70">
        <f t="shared" si="24"/>
        <v>-26560.74</v>
      </c>
      <c r="AW46" s="74">
        <f>5*MAX(0,AV46*{0.6;2;4;5;6;7;9}%-{0;504;3384;6384;10584;17184;36384})</f>
        <v>0</v>
      </c>
      <c r="AX46" s="80">
        <v>0</v>
      </c>
      <c r="AY46" s="74">
        <f t="shared" si="25"/>
        <v>0</v>
      </c>
      <c r="AZ46" s="38"/>
      <c r="BA46" s="75">
        <f t="shared" si="26"/>
        <v>2038.37</v>
      </c>
      <c r="BB46" s="84"/>
    </row>
    <row r="47" s="5" customFormat="1" ht="23" customHeight="1" spans="1:54">
      <c r="A47" s="22"/>
      <c r="B47" s="23" t="s">
        <v>209</v>
      </c>
      <c r="C47" s="24"/>
      <c r="D47" s="25"/>
      <c r="E47" s="25"/>
      <c r="F47" s="25"/>
      <c r="G47" s="21"/>
      <c r="H47" s="26"/>
      <c r="I47" s="25"/>
      <c r="J47" s="40">
        <f>SUM(J38:J46)</f>
        <v>12600</v>
      </c>
      <c r="K47" s="40">
        <f t="shared" ref="J47:AL47" si="28">SUM(K38:K46)</f>
        <v>8682.14</v>
      </c>
      <c r="L47" s="40">
        <f t="shared" si="28"/>
        <v>7239.11</v>
      </c>
      <c r="M47" s="40">
        <f t="shared" si="28"/>
        <v>600</v>
      </c>
      <c r="N47" s="40">
        <f t="shared" si="28"/>
        <v>600</v>
      </c>
      <c r="O47" s="40">
        <f t="shared" si="28"/>
        <v>214.29</v>
      </c>
      <c r="P47" s="40">
        <f t="shared" si="28"/>
        <v>200</v>
      </c>
      <c r="Q47" s="40">
        <f t="shared" si="28"/>
        <v>0</v>
      </c>
      <c r="R47" s="40">
        <f t="shared" si="28"/>
        <v>0</v>
      </c>
      <c r="S47" s="40">
        <f t="shared" si="28"/>
        <v>0</v>
      </c>
      <c r="T47" s="40">
        <f t="shared" si="28"/>
        <v>0</v>
      </c>
      <c r="U47" s="40">
        <f t="shared" si="28"/>
        <v>57</v>
      </c>
      <c r="V47" s="40">
        <f>SUM(V38:V46)</f>
        <v>36192.54</v>
      </c>
      <c r="W47" s="40">
        <f t="shared" si="28"/>
        <v>1325.12</v>
      </c>
      <c r="X47" s="40">
        <f t="shared" si="28"/>
        <v>58.26</v>
      </c>
      <c r="Y47" s="40">
        <f t="shared" si="28"/>
        <v>631.02</v>
      </c>
      <c r="Z47" s="40">
        <f t="shared" si="28"/>
        <v>97.08</v>
      </c>
      <c r="AA47" s="40">
        <f t="shared" si="28"/>
        <v>21.84</v>
      </c>
      <c r="AB47" s="40">
        <f t="shared" si="28"/>
        <v>77.67</v>
      </c>
      <c r="AC47" s="40">
        <f t="shared" si="28"/>
        <v>351</v>
      </c>
      <c r="AD47" s="40">
        <f>SUM(AD38:AD46)</f>
        <v>1966.48</v>
      </c>
      <c r="AE47" s="40">
        <f t="shared" si="28"/>
        <v>491.62</v>
      </c>
      <c r="AF47" s="40">
        <f t="shared" si="28"/>
        <v>98.3</v>
      </c>
      <c r="AG47" s="40">
        <f t="shared" si="28"/>
        <v>772</v>
      </c>
      <c r="AH47" s="40">
        <f t="shared" si="28"/>
        <v>652.8</v>
      </c>
      <c r="AI47" s="40">
        <f t="shared" si="28"/>
        <v>3981.2</v>
      </c>
      <c r="AJ47" s="40">
        <f t="shared" si="28"/>
        <v>245247.06</v>
      </c>
      <c r="AK47" s="40">
        <f t="shared" si="28"/>
        <v>21590.85</v>
      </c>
      <c r="AL47" s="40">
        <f t="shared" si="28"/>
        <v>310000</v>
      </c>
      <c r="AM47" s="40">
        <f t="shared" ref="AM47:BA47" si="29">SUM(AM38:AM46)</f>
        <v>7000</v>
      </c>
      <c r="AN47" s="40">
        <f t="shared" si="29"/>
        <v>14000</v>
      </c>
      <c r="AO47" s="40">
        <f t="shared" si="29"/>
        <v>7000</v>
      </c>
      <c r="AP47" s="40">
        <f t="shared" si="29"/>
        <v>0</v>
      </c>
      <c r="AQ47" s="40">
        <f t="shared" si="29"/>
        <v>0</v>
      </c>
      <c r="AR47" s="40">
        <f t="shared" si="29"/>
        <v>281439.6</v>
      </c>
      <c r="AS47" s="70">
        <f t="shared" si="22"/>
        <v>25572.05</v>
      </c>
      <c r="AT47" s="40">
        <f t="shared" si="29"/>
        <v>355000</v>
      </c>
      <c r="AU47" s="40">
        <f t="shared" si="29"/>
        <v>32000</v>
      </c>
      <c r="AV47" s="40">
        <f t="shared" si="29"/>
        <v>-131132.45</v>
      </c>
      <c r="AW47" s="40">
        <f t="shared" si="29"/>
        <v>141.27</v>
      </c>
      <c r="AX47" s="40">
        <f t="shared" si="29"/>
        <v>107.08</v>
      </c>
      <c r="AY47" s="40">
        <f t="shared" si="29"/>
        <v>34.19</v>
      </c>
      <c r="AZ47" s="40">
        <f t="shared" si="29"/>
        <v>0</v>
      </c>
      <c r="BA47" s="40">
        <f>SUM(BA38:BA46)</f>
        <v>32177.15</v>
      </c>
      <c r="BB47" s="87"/>
    </row>
    <row r="48" s="5" customFormat="1" ht="30" customHeight="1" spans="1:54">
      <c r="A48" s="29" t="s">
        <v>210</v>
      </c>
      <c r="B48" s="30"/>
      <c r="C48" s="31"/>
      <c r="D48" s="31"/>
      <c r="E48" s="31"/>
      <c r="F48" s="31"/>
      <c r="G48" s="32"/>
      <c r="H48" s="33"/>
      <c r="I48" s="33" t="e">
        <f>I47+I37+#REF!+#REF!+I10+I6+#REF!</f>
        <v>#REF!</v>
      </c>
      <c r="J48" s="33">
        <f>J47+J37+J10+J8+J6</f>
        <v>73175</v>
      </c>
      <c r="K48" s="33">
        <f>K47+K37+K10+K8+K6</f>
        <v>34641.36</v>
      </c>
      <c r="L48" s="33">
        <f>L47+L37+L10+L8+L6</f>
        <v>27438.68</v>
      </c>
      <c r="M48" s="33">
        <f>M47+M37+M10+M8+M6</f>
        <v>3000</v>
      </c>
      <c r="N48" s="33">
        <f>N47+N37+N10+N8+N6</f>
        <v>3447.62</v>
      </c>
      <c r="O48" s="33">
        <f>O47+O37+O10+O8+O6</f>
        <v>3619.67</v>
      </c>
      <c r="P48" s="33">
        <f>P47+P37+P10+P8+P6</f>
        <v>1380</v>
      </c>
      <c r="Q48" s="33">
        <f>Q47+Q37+Q10+Q8+Q6</f>
        <v>0</v>
      </c>
      <c r="R48" s="33">
        <f>R47+R37+R10+R8+R6</f>
        <v>1282.32</v>
      </c>
      <c r="S48" s="33">
        <f>S47+S37+S10+S8+S6</f>
        <v>1200</v>
      </c>
      <c r="T48" s="33">
        <f>T47+T37+T10+T8+T6</f>
        <v>0</v>
      </c>
      <c r="U48" s="33">
        <f>U47+U37+U10+U8+U6</f>
        <v>107.36</v>
      </c>
      <c r="V48" s="33">
        <f>V47+V37+V10+V8+V6</f>
        <v>156392.01</v>
      </c>
      <c r="W48" s="33">
        <f t="shared" ref="W48:BA48" si="30">W47+W37+W10+W8+W6</f>
        <v>8710.94</v>
      </c>
      <c r="X48" s="33">
        <f t="shared" si="30"/>
        <v>598.74</v>
      </c>
      <c r="Y48" s="33">
        <f t="shared" si="30"/>
        <v>4239.16</v>
      </c>
      <c r="Z48" s="33">
        <f t="shared" si="30"/>
        <v>654.48</v>
      </c>
      <c r="AA48" s="33">
        <f t="shared" si="30"/>
        <v>171.49</v>
      </c>
      <c r="AB48" s="33">
        <f t="shared" si="30"/>
        <v>624.8</v>
      </c>
      <c r="AC48" s="33">
        <f t="shared" si="30"/>
        <v>2409.76</v>
      </c>
      <c r="AD48" s="33">
        <f t="shared" si="30"/>
        <v>11122.72</v>
      </c>
      <c r="AE48" s="33">
        <f t="shared" si="30"/>
        <v>2780.68</v>
      </c>
      <c r="AF48" s="33">
        <f t="shared" si="30"/>
        <v>556</v>
      </c>
      <c r="AG48" s="33">
        <f t="shared" si="30"/>
        <v>4373</v>
      </c>
      <c r="AH48" s="33">
        <f t="shared" si="30"/>
        <v>4510</v>
      </c>
      <c r="AI48" s="33">
        <f t="shared" si="30"/>
        <v>23342.4</v>
      </c>
      <c r="AJ48" s="33">
        <f t="shared" si="30"/>
        <v>1101371.78</v>
      </c>
      <c r="AK48" s="33">
        <f t="shared" si="30"/>
        <v>123861.44</v>
      </c>
      <c r="AL48" s="33">
        <f t="shared" si="30"/>
        <v>1325000</v>
      </c>
      <c r="AM48" s="33">
        <f t="shared" si="30"/>
        <v>28000</v>
      </c>
      <c r="AN48" s="33">
        <f t="shared" si="30"/>
        <v>28000</v>
      </c>
      <c r="AO48" s="33">
        <f t="shared" si="30"/>
        <v>21000</v>
      </c>
      <c r="AP48" s="33">
        <f t="shared" si="30"/>
        <v>0</v>
      </c>
      <c r="AQ48" s="33">
        <f t="shared" si="30"/>
        <v>0</v>
      </c>
      <c r="AR48" s="33">
        <f t="shared" si="30"/>
        <v>1257763.79</v>
      </c>
      <c r="AS48" s="33">
        <f t="shared" si="30"/>
        <v>147203.84</v>
      </c>
      <c r="AT48" s="33">
        <f t="shared" si="30"/>
        <v>1520000</v>
      </c>
      <c r="AU48" s="33">
        <f t="shared" si="30"/>
        <v>88000</v>
      </c>
      <c r="AV48" s="33">
        <f t="shared" si="30"/>
        <v>-497440.05</v>
      </c>
      <c r="AW48" s="33">
        <f t="shared" si="30"/>
        <v>755.76</v>
      </c>
      <c r="AX48" s="33">
        <f t="shared" si="30"/>
        <v>633.26</v>
      </c>
      <c r="AY48" s="33">
        <f t="shared" si="30"/>
        <v>133.89</v>
      </c>
      <c r="AZ48" s="33">
        <f t="shared" si="30"/>
        <v>0</v>
      </c>
      <c r="BA48" s="33">
        <f t="shared" si="30"/>
        <v>132915.72</v>
      </c>
      <c r="BB48" s="88"/>
    </row>
    <row r="49" s="6" customFormat="1" ht="29.1" customHeight="1" spans="1:54">
      <c r="A49" s="34" t="s">
        <v>211</v>
      </c>
      <c r="B49" s="34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  <c r="AP49" s="34"/>
      <c r="AQ49" s="34"/>
      <c r="AR49" s="34"/>
      <c r="AS49" s="34"/>
      <c r="AT49" s="34"/>
      <c r="AU49" s="34"/>
      <c r="AV49" s="34"/>
      <c r="AW49" s="34"/>
      <c r="AX49" s="34"/>
      <c r="AY49" s="34"/>
      <c r="AZ49" s="34"/>
      <c r="BA49" s="34"/>
      <c r="BB49" s="34"/>
    </row>
    <row r="50" s="6" customFormat="1" spans="7:53">
      <c r="G50" s="35"/>
      <c r="H50" s="35"/>
      <c r="V50" s="52"/>
      <c r="W50" s="52"/>
      <c r="X50" s="52"/>
      <c r="Y50" s="52"/>
      <c r="Z50" s="52"/>
      <c r="AA50" s="52"/>
      <c r="AB50" s="52"/>
      <c r="AC50" s="52"/>
      <c r="AJ50" s="52"/>
      <c r="AK50" s="52"/>
      <c r="AL50" s="52"/>
      <c r="AM50" s="52"/>
      <c r="AN50" s="52"/>
      <c r="AO50" s="52"/>
      <c r="AP50" s="52"/>
      <c r="AQ50" s="52"/>
      <c r="AR50" s="52"/>
      <c r="AS50" s="52"/>
      <c r="AT50" s="52"/>
      <c r="AU50" s="52"/>
      <c r="AV50" s="52"/>
      <c r="AW50" s="52"/>
      <c r="AX50" s="52"/>
      <c r="BA50" s="52"/>
    </row>
    <row r="54" spans="10:20">
      <c r="J54" s="41"/>
      <c r="K54" s="41"/>
      <c r="L54" s="41"/>
      <c r="R54" s="41"/>
      <c r="T54" s="41"/>
    </row>
    <row r="55" spans="8:22">
      <c r="H55" s="36"/>
      <c r="J55" s="41"/>
      <c r="K55" s="41"/>
      <c r="L55" s="41"/>
      <c r="P55" s="42"/>
      <c r="Q55" s="42"/>
      <c r="R55" s="53"/>
      <c r="S55" s="54"/>
      <c r="T55" s="53"/>
      <c r="U55" s="54"/>
      <c r="V55" s="55"/>
    </row>
    <row r="56" spans="16:22">
      <c r="P56" s="42"/>
      <c r="Q56" s="42"/>
      <c r="R56" s="54"/>
      <c r="S56" s="54"/>
      <c r="T56" s="42"/>
      <c r="U56" s="54"/>
      <c r="V56" s="55"/>
    </row>
    <row r="57" spans="16:22">
      <c r="P57" s="42"/>
      <c r="Q57" s="42"/>
      <c r="R57" s="54"/>
      <c r="S57" s="54"/>
      <c r="T57" s="42"/>
      <c r="U57" s="54"/>
      <c r="V57" s="56"/>
    </row>
    <row r="58" spans="16:22">
      <c r="P58" s="43"/>
      <c r="Q58" s="43"/>
      <c r="R58" s="43"/>
      <c r="S58" s="43"/>
      <c r="T58" s="43"/>
      <c r="U58" s="43"/>
      <c r="V58" s="55"/>
    </row>
    <row r="59" spans="5:19">
      <c r="E59" t="s">
        <v>194</v>
      </c>
      <c r="P59" s="44"/>
      <c r="R59" s="34"/>
      <c r="S59" s="34"/>
    </row>
    <row r="60" spans="16:19">
      <c r="P60" s="44"/>
      <c r="R60" s="34"/>
      <c r="S60" s="34"/>
    </row>
    <row r="61" spans="16:19">
      <c r="P61" s="44"/>
      <c r="R61" s="34"/>
      <c r="S61" s="34"/>
    </row>
    <row r="72" spans="18:20">
      <c r="R72" s="34"/>
      <c r="S72" s="34"/>
      <c r="T72" s="34"/>
    </row>
    <row r="73" spans="18:20">
      <c r="R73" s="34"/>
      <c r="S73" s="34"/>
      <c r="T73" s="44"/>
    </row>
    <row r="74" spans="18:20">
      <c r="R74" s="34"/>
      <c r="S74" s="34"/>
      <c r="T74" s="44"/>
    </row>
  </sheetData>
  <autoFilter ref="A1:BB51">
    <extLst/>
  </autoFilter>
  <mergeCells count="46">
    <mergeCell ref="A1:BB1"/>
    <mergeCell ref="W2:AC2"/>
    <mergeCell ref="AD2:AI2"/>
    <mergeCell ref="AM2:AQ2"/>
    <mergeCell ref="B6:C6"/>
    <mergeCell ref="B8:C8"/>
    <mergeCell ref="B10:C10"/>
    <mergeCell ref="B47:C47"/>
    <mergeCell ref="A48:C48"/>
    <mergeCell ref="A49:BB49"/>
    <mergeCell ref="P58:R58"/>
    <mergeCell ref="S58:U58"/>
    <mergeCell ref="R72:T72"/>
    <mergeCell ref="A2:A3"/>
    <mergeCell ref="B2:B3"/>
    <mergeCell ref="C2:C3"/>
    <mergeCell ref="D2:D3"/>
    <mergeCell ref="G2:G3"/>
    <mergeCell ref="H2:H3"/>
    <mergeCell ref="I2:I3"/>
    <mergeCell ref="J2:J3"/>
    <mergeCell ref="K2:K3"/>
    <mergeCell ref="L2:L3"/>
    <mergeCell ref="M2:M3"/>
    <mergeCell ref="N2:N3"/>
    <mergeCell ref="O2:O3"/>
    <mergeCell ref="P2:P3"/>
    <mergeCell ref="Q2:Q3"/>
    <mergeCell ref="R2:R3"/>
    <mergeCell ref="S2:S3"/>
    <mergeCell ref="T2:T3"/>
    <mergeCell ref="U2:U3"/>
    <mergeCell ref="V2:V3"/>
    <mergeCell ref="AJ2:AJ3"/>
    <mergeCell ref="AK2:AK3"/>
    <mergeCell ref="AL2:AL3"/>
    <mergeCell ref="AR2:AR3"/>
    <mergeCell ref="AS2:AS3"/>
    <mergeCell ref="AT2:AT3"/>
    <mergeCell ref="AV2:AV3"/>
    <mergeCell ref="AW2:AW3"/>
    <mergeCell ref="AX2:AX3"/>
    <mergeCell ref="AY2:AY3"/>
    <mergeCell ref="AZ2:AZ3"/>
    <mergeCell ref="BA2:BA3"/>
    <mergeCell ref="BB2:BB3"/>
  </mergeCells>
  <printOptions horizontalCentered="1"/>
  <pageMargins left="0.196527777777778" right="0.196527777777778" top="0.0784722222222222" bottom="0.118055555555556" header="0.156944444444444" footer="0.200694444444444"/>
  <pageSetup paperSize="9" scale="63" orientation="landscape" horizontalDpi="600"/>
  <headerFooter>
    <oddFooter>&amp;C第 &amp;P 页，共 &amp;N 页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3"/>
  <sheetViews>
    <sheetView workbookViewId="0">
      <selection activeCell="A1" sqref="A1"/>
    </sheetView>
  </sheetViews>
  <sheetFormatPr defaultColWidth="9" defaultRowHeight="13.5" outlineLevelCol="7"/>
  <sheetData>
    <row r="1" spans="5:8">
      <c r="E1" t="s">
        <v>1</v>
      </c>
      <c r="F1" t="s">
        <v>212</v>
      </c>
      <c r="G1">
        <v>2</v>
      </c>
      <c r="H1">
        <v>0</v>
      </c>
    </row>
    <row r="2" spans="5:8">
      <c r="E2" t="s">
        <v>2</v>
      </c>
      <c r="F2" t="s">
        <v>213</v>
      </c>
      <c r="G2">
        <v>2</v>
      </c>
      <c r="H2">
        <v>0</v>
      </c>
    </row>
    <row r="3" spans="5:8">
      <c r="E3" t="s">
        <v>3</v>
      </c>
      <c r="F3" t="s">
        <v>214</v>
      </c>
      <c r="G3">
        <v>2</v>
      </c>
      <c r="H3">
        <v>0</v>
      </c>
    </row>
    <row r="4" spans="5:8">
      <c r="E4" t="s">
        <v>4</v>
      </c>
      <c r="F4" t="s">
        <v>215</v>
      </c>
      <c r="G4">
        <v>2</v>
      </c>
      <c r="H4">
        <v>0</v>
      </c>
    </row>
    <row r="5" spans="5:8">
      <c r="E5" t="s">
        <v>5</v>
      </c>
      <c r="F5" t="s">
        <v>216</v>
      </c>
      <c r="G5">
        <v>2</v>
      </c>
      <c r="H5">
        <v>0</v>
      </c>
    </row>
    <row r="6" spans="5:8">
      <c r="E6" t="s">
        <v>6</v>
      </c>
      <c r="F6" t="s">
        <v>217</v>
      </c>
      <c r="G6">
        <v>2</v>
      </c>
      <c r="H6">
        <v>0</v>
      </c>
    </row>
    <row r="7" spans="1:8">
      <c r="A7" t="s">
        <v>218</v>
      </c>
      <c r="B7" t="s">
        <v>219</v>
      </c>
      <c r="E7" t="s">
        <v>7</v>
      </c>
      <c r="F7" t="s">
        <v>220</v>
      </c>
      <c r="G7">
        <v>2</v>
      </c>
      <c r="H7">
        <v>0</v>
      </c>
    </row>
    <row r="8" ht="27" spans="1:8">
      <c r="A8" t="s">
        <v>221</v>
      </c>
      <c r="B8">
        <v>5</v>
      </c>
      <c r="E8" s="1" t="s">
        <v>8</v>
      </c>
      <c r="F8" t="s">
        <v>222</v>
      </c>
      <c r="G8">
        <v>2</v>
      </c>
      <c r="H8">
        <v>0</v>
      </c>
    </row>
    <row r="9" ht="27" spans="5:8">
      <c r="E9" s="1" t="s">
        <v>9</v>
      </c>
      <c r="F9" t="s">
        <v>223</v>
      </c>
      <c r="G9">
        <v>2</v>
      </c>
      <c r="H9">
        <v>0</v>
      </c>
    </row>
    <row r="10" ht="27" spans="5:8">
      <c r="E10" s="1" t="s">
        <v>10</v>
      </c>
      <c r="F10" t="s">
        <v>224</v>
      </c>
      <c r="G10">
        <v>2</v>
      </c>
      <c r="H10">
        <v>0</v>
      </c>
    </row>
    <row r="11" spans="5:8">
      <c r="E11" t="s">
        <v>225</v>
      </c>
      <c r="F11" t="s">
        <v>226</v>
      </c>
      <c r="G11">
        <v>2</v>
      </c>
      <c r="H11">
        <v>0</v>
      </c>
    </row>
    <row r="12" spans="5:8">
      <c r="E12" t="s">
        <v>227</v>
      </c>
      <c r="F12" t="s">
        <v>228</v>
      </c>
      <c r="G12">
        <v>2</v>
      </c>
      <c r="H12">
        <v>0</v>
      </c>
    </row>
    <row r="13" spans="1:8">
      <c r="A13" t="s">
        <v>229</v>
      </c>
      <c r="B13" t="s">
        <v>1</v>
      </c>
      <c r="E13" t="s">
        <v>14</v>
      </c>
      <c r="F13" t="s">
        <v>230</v>
      </c>
      <c r="G13">
        <v>2</v>
      </c>
      <c r="H13">
        <v>0</v>
      </c>
    </row>
    <row r="14" spans="1:8">
      <c r="A14" t="s">
        <v>231</v>
      </c>
      <c r="B14" t="s">
        <v>36</v>
      </c>
      <c r="E14" t="s">
        <v>15</v>
      </c>
      <c r="F14" t="s">
        <v>232</v>
      </c>
      <c r="G14">
        <v>2</v>
      </c>
      <c r="H14">
        <v>0</v>
      </c>
    </row>
    <row r="15" spans="5:8">
      <c r="E15" t="s">
        <v>233</v>
      </c>
      <c r="F15" t="s">
        <v>234</v>
      </c>
      <c r="G15">
        <v>2</v>
      </c>
      <c r="H15">
        <v>0</v>
      </c>
    </row>
    <row r="16" spans="5:8">
      <c r="E16" t="s">
        <v>18</v>
      </c>
      <c r="F16" t="s">
        <v>235</v>
      </c>
      <c r="G16">
        <v>2</v>
      </c>
      <c r="H16">
        <v>0</v>
      </c>
    </row>
    <row r="17" spans="1:8">
      <c r="A17" t="s">
        <v>236</v>
      </c>
      <c r="B17" t="s">
        <v>237</v>
      </c>
      <c r="E17" t="s">
        <v>19</v>
      </c>
      <c r="F17" t="s">
        <v>238</v>
      </c>
      <c r="G17">
        <v>2</v>
      </c>
      <c r="H17">
        <v>0</v>
      </c>
    </row>
    <row r="18" ht="27" spans="5:8">
      <c r="E18" s="1" t="s">
        <v>239</v>
      </c>
      <c r="F18" t="s">
        <v>240</v>
      </c>
      <c r="G18">
        <v>2</v>
      </c>
      <c r="H18">
        <v>0</v>
      </c>
    </row>
    <row r="19" spans="5:8">
      <c r="E19" t="s">
        <v>22</v>
      </c>
      <c r="F19" t="s">
        <v>241</v>
      </c>
      <c r="G19">
        <v>2</v>
      </c>
      <c r="H19">
        <v>5</v>
      </c>
    </row>
    <row r="20" spans="5:8">
      <c r="E20" t="s">
        <v>39</v>
      </c>
      <c r="F20" t="s">
        <v>242</v>
      </c>
      <c r="G20">
        <v>2</v>
      </c>
      <c r="H20">
        <v>0</v>
      </c>
    </row>
    <row r="21" spans="5:8">
      <c r="E21" t="s">
        <v>41</v>
      </c>
      <c r="F21" t="s">
        <v>243</v>
      </c>
      <c r="G21">
        <v>2</v>
      </c>
      <c r="H21">
        <v>0</v>
      </c>
    </row>
    <row r="22" spans="5:8">
      <c r="E22" t="s">
        <v>40</v>
      </c>
      <c r="F22" t="s">
        <v>244</v>
      </c>
      <c r="G22">
        <v>2</v>
      </c>
      <c r="H22">
        <v>0</v>
      </c>
    </row>
    <row r="23" spans="5:8">
      <c r="E23" t="s">
        <v>45</v>
      </c>
      <c r="F23" t="s">
        <v>245</v>
      </c>
      <c r="G23">
        <v>2</v>
      </c>
      <c r="H23">
        <v>0</v>
      </c>
    </row>
    <row r="24" ht="27" spans="5:8">
      <c r="E24" s="1" t="s">
        <v>246</v>
      </c>
      <c r="F24" t="s">
        <v>247</v>
      </c>
      <c r="G24">
        <v>2</v>
      </c>
      <c r="H24">
        <v>0</v>
      </c>
    </row>
    <row r="25" spans="5:8">
      <c r="E25" t="s">
        <v>248</v>
      </c>
      <c r="F25" t="s">
        <v>249</v>
      </c>
      <c r="G25">
        <v>2</v>
      </c>
      <c r="H25">
        <v>0</v>
      </c>
    </row>
    <row r="26" spans="5:8">
      <c r="E26" t="s">
        <v>250</v>
      </c>
      <c r="F26" t="s">
        <v>251</v>
      </c>
      <c r="G26">
        <v>2</v>
      </c>
      <c r="H26">
        <v>0</v>
      </c>
    </row>
    <row r="27" spans="5:8">
      <c r="E27" t="s">
        <v>252</v>
      </c>
      <c r="F27" t="s">
        <v>253</v>
      </c>
      <c r="G27">
        <v>2</v>
      </c>
      <c r="H27">
        <v>0</v>
      </c>
    </row>
    <row r="28" spans="5:8">
      <c r="E28" t="s">
        <v>254</v>
      </c>
      <c r="F28" t="s">
        <v>255</v>
      </c>
      <c r="G28">
        <v>2</v>
      </c>
      <c r="H28">
        <v>0</v>
      </c>
    </row>
    <row r="29" spans="5:8">
      <c r="E29" t="s">
        <v>256</v>
      </c>
      <c r="F29" t="s">
        <v>257</v>
      </c>
      <c r="G29">
        <v>2</v>
      </c>
      <c r="H29">
        <v>0</v>
      </c>
    </row>
    <row r="30" spans="5:8">
      <c r="E30" t="s">
        <v>258</v>
      </c>
      <c r="F30" t="s">
        <v>259</v>
      </c>
      <c r="G30">
        <v>2</v>
      </c>
      <c r="H30">
        <v>0</v>
      </c>
    </row>
    <row r="31" spans="5:8">
      <c r="E31" t="s">
        <v>260</v>
      </c>
      <c r="F31" t="s">
        <v>261</v>
      </c>
      <c r="G31">
        <v>2</v>
      </c>
      <c r="H31">
        <v>0</v>
      </c>
    </row>
    <row r="32" spans="5:8">
      <c r="E32" t="s">
        <v>262</v>
      </c>
      <c r="F32" t="s">
        <v>263</v>
      </c>
      <c r="G32">
        <v>2</v>
      </c>
      <c r="H32">
        <v>0</v>
      </c>
    </row>
    <row r="33" spans="5:8">
      <c r="E33" t="s">
        <v>264</v>
      </c>
      <c r="F33" t="s">
        <v>265</v>
      </c>
      <c r="G33">
        <v>2</v>
      </c>
      <c r="H33">
        <v>0</v>
      </c>
    </row>
    <row r="34" spans="5:8">
      <c r="E34" t="s">
        <v>266</v>
      </c>
      <c r="F34" t="s">
        <v>267</v>
      </c>
      <c r="G34">
        <v>2</v>
      </c>
      <c r="H34">
        <v>0</v>
      </c>
    </row>
    <row r="35" spans="5:8">
      <c r="E35" t="s">
        <v>268</v>
      </c>
      <c r="F35" t="s">
        <v>269</v>
      </c>
      <c r="G35">
        <v>2</v>
      </c>
      <c r="H35">
        <v>0</v>
      </c>
    </row>
    <row r="36" spans="5:8">
      <c r="E36" t="s">
        <v>270</v>
      </c>
      <c r="F36" t="s">
        <v>271</v>
      </c>
      <c r="G36">
        <v>2</v>
      </c>
      <c r="H36">
        <v>0</v>
      </c>
    </row>
    <row r="37" spans="5:8">
      <c r="E37" t="s">
        <v>272</v>
      </c>
      <c r="F37" t="s">
        <v>273</v>
      </c>
      <c r="G37">
        <v>2</v>
      </c>
      <c r="H37">
        <v>0</v>
      </c>
    </row>
    <row r="38" spans="5:8">
      <c r="E38" t="s">
        <v>274</v>
      </c>
      <c r="F38" t="s">
        <v>275</v>
      </c>
      <c r="G38">
        <v>2</v>
      </c>
      <c r="H38">
        <v>0</v>
      </c>
    </row>
    <row r="39" spans="5:8">
      <c r="E39" t="s">
        <v>276</v>
      </c>
      <c r="F39" t="s">
        <v>277</v>
      </c>
      <c r="G39">
        <v>2</v>
      </c>
      <c r="H39">
        <v>0</v>
      </c>
    </row>
    <row r="40" spans="5:8">
      <c r="E40" t="s">
        <v>278</v>
      </c>
      <c r="F40" t="s">
        <v>279</v>
      </c>
      <c r="G40">
        <v>2</v>
      </c>
      <c r="H40">
        <v>0</v>
      </c>
    </row>
    <row r="41" spans="5:8">
      <c r="E41" t="s">
        <v>280</v>
      </c>
      <c r="F41" t="s">
        <v>281</v>
      </c>
      <c r="G41">
        <v>2</v>
      </c>
      <c r="H41">
        <v>0</v>
      </c>
    </row>
    <row r="42" spans="5:8">
      <c r="E42" t="s">
        <v>282</v>
      </c>
      <c r="F42" t="s">
        <v>283</v>
      </c>
      <c r="G42">
        <v>2</v>
      </c>
      <c r="H42">
        <v>0</v>
      </c>
    </row>
    <row r="43" spans="5:8">
      <c r="E43" t="s">
        <v>284</v>
      </c>
      <c r="F43" t="s">
        <v>285</v>
      </c>
      <c r="G43">
        <v>2</v>
      </c>
      <c r="H43">
        <v>0</v>
      </c>
    </row>
    <row r="44" spans="5:8">
      <c r="E44" t="s">
        <v>286</v>
      </c>
      <c r="F44" t="s">
        <v>287</v>
      </c>
      <c r="G44">
        <v>2</v>
      </c>
      <c r="H44">
        <v>0</v>
      </c>
    </row>
    <row r="45" spans="5:8">
      <c r="E45" t="s">
        <v>288</v>
      </c>
      <c r="F45" t="s">
        <v>289</v>
      </c>
      <c r="G45">
        <v>2</v>
      </c>
      <c r="H45">
        <v>0</v>
      </c>
    </row>
    <row r="46" spans="5:8">
      <c r="E46" t="s">
        <v>290</v>
      </c>
      <c r="F46" t="s">
        <v>291</v>
      </c>
      <c r="G46">
        <v>2</v>
      </c>
      <c r="H46">
        <v>0</v>
      </c>
    </row>
    <row r="47" spans="5:8">
      <c r="E47" t="s">
        <v>292</v>
      </c>
      <c r="F47" t="s">
        <v>293</v>
      </c>
      <c r="G47">
        <v>2</v>
      </c>
      <c r="H47">
        <v>0</v>
      </c>
    </row>
    <row r="48" spans="5:8">
      <c r="E48" t="s">
        <v>294</v>
      </c>
      <c r="F48" t="s">
        <v>295</v>
      </c>
      <c r="G48">
        <v>2</v>
      </c>
      <c r="H48">
        <v>0</v>
      </c>
    </row>
    <row r="49" spans="5:8">
      <c r="E49" t="s">
        <v>296</v>
      </c>
      <c r="F49" t="s">
        <v>297</v>
      </c>
      <c r="G49">
        <v>2</v>
      </c>
      <c r="H49">
        <v>0</v>
      </c>
    </row>
    <row r="50" spans="5:8">
      <c r="E50" t="s">
        <v>298</v>
      </c>
      <c r="F50" t="s">
        <v>299</v>
      </c>
      <c r="G50">
        <v>2</v>
      </c>
      <c r="H50">
        <v>0</v>
      </c>
    </row>
    <row r="51" spans="5:8">
      <c r="E51" t="s">
        <v>300</v>
      </c>
      <c r="F51" t="s">
        <v>301</v>
      </c>
      <c r="G51">
        <v>2</v>
      </c>
      <c r="H51">
        <v>0</v>
      </c>
    </row>
    <row r="52" spans="5:8">
      <c r="E52" t="s">
        <v>302</v>
      </c>
      <c r="F52" t="s">
        <v>303</v>
      </c>
      <c r="G52">
        <v>2</v>
      </c>
      <c r="H52">
        <v>0</v>
      </c>
    </row>
    <row r="53" spans="5:8">
      <c r="E53" t="s">
        <v>304</v>
      </c>
      <c r="F53" t="s">
        <v>305</v>
      </c>
      <c r="G53">
        <v>2</v>
      </c>
      <c r="H53">
        <v>0</v>
      </c>
    </row>
    <row r="54" spans="5:8">
      <c r="E54" t="s">
        <v>306</v>
      </c>
      <c r="F54" t="s">
        <v>307</v>
      </c>
      <c r="G54">
        <v>2</v>
      </c>
      <c r="H54">
        <v>0</v>
      </c>
    </row>
    <row r="55" spans="5:8">
      <c r="E55" t="s">
        <v>308</v>
      </c>
      <c r="F55" t="s">
        <v>309</v>
      </c>
      <c r="G55">
        <v>2</v>
      </c>
      <c r="H55">
        <v>0</v>
      </c>
    </row>
    <row r="56" spans="5:8">
      <c r="E56" t="s">
        <v>310</v>
      </c>
      <c r="F56" t="s">
        <v>311</v>
      </c>
      <c r="G56">
        <v>2</v>
      </c>
      <c r="H56">
        <v>0</v>
      </c>
    </row>
    <row r="57" spans="5:8">
      <c r="E57" t="s">
        <v>312</v>
      </c>
      <c r="F57" t="s">
        <v>313</v>
      </c>
      <c r="G57">
        <v>2</v>
      </c>
      <c r="H57">
        <v>0</v>
      </c>
    </row>
    <row r="58" spans="5:8">
      <c r="E58" t="s">
        <v>314</v>
      </c>
      <c r="F58" t="s">
        <v>315</v>
      </c>
      <c r="G58">
        <v>2</v>
      </c>
      <c r="H58">
        <v>0</v>
      </c>
    </row>
    <row r="59" spans="5:8">
      <c r="E59" t="s">
        <v>316</v>
      </c>
      <c r="F59" t="s">
        <v>317</v>
      </c>
      <c r="G59">
        <v>2</v>
      </c>
      <c r="H59">
        <v>0</v>
      </c>
    </row>
    <row r="60" spans="5:8">
      <c r="E60" t="s">
        <v>318</v>
      </c>
      <c r="F60" t="s">
        <v>319</v>
      </c>
      <c r="G60">
        <v>2</v>
      </c>
      <c r="H60">
        <v>0</v>
      </c>
    </row>
    <row r="61" spans="5:8">
      <c r="E61" t="s">
        <v>320</v>
      </c>
      <c r="F61" t="s">
        <v>321</v>
      </c>
      <c r="G61">
        <v>2</v>
      </c>
      <c r="H61">
        <v>0</v>
      </c>
    </row>
    <row r="62" spans="5:8">
      <c r="E62" t="s">
        <v>322</v>
      </c>
      <c r="F62" t="s">
        <v>323</v>
      </c>
      <c r="G62">
        <v>2</v>
      </c>
      <c r="H62">
        <v>0</v>
      </c>
    </row>
    <row r="63" spans="5:8">
      <c r="E63" t="s">
        <v>324</v>
      </c>
      <c r="F63" t="s">
        <v>325</v>
      </c>
      <c r="G63">
        <v>2</v>
      </c>
      <c r="H63">
        <v>0</v>
      </c>
    </row>
    <row r="64" spans="5:8">
      <c r="E64" t="s">
        <v>29</v>
      </c>
      <c r="F64" t="s">
        <v>326</v>
      </c>
      <c r="G64">
        <v>2</v>
      </c>
      <c r="H64">
        <v>0</v>
      </c>
    </row>
    <row r="65" spans="5:8">
      <c r="E65" t="s">
        <v>274</v>
      </c>
      <c r="F65" t="s">
        <v>327</v>
      </c>
      <c r="G65">
        <v>2</v>
      </c>
      <c r="H65">
        <v>0</v>
      </c>
    </row>
    <row r="66" spans="5:8">
      <c r="E66" t="s">
        <v>328</v>
      </c>
      <c r="F66" t="s">
        <v>329</v>
      </c>
      <c r="G66">
        <v>2</v>
      </c>
      <c r="H66">
        <v>0</v>
      </c>
    </row>
    <row r="67" spans="5:8">
      <c r="E67" t="s">
        <v>330</v>
      </c>
      <c r="F67" t="s">
        <v>331</v>
      </c>
      <c r="G67">
        <v>2</v>
      </c>
      <c r="H67">
        <v>0</v>
      </c>
    </row>
    <row r="68" spans="5:8">
      <c r="E68" t="s">
        <v>332</v>
      </c>
      <c r="F68" t="s">
        <v>333</v>
      </c>
      <c r="G68">
        <v>2</v>
      </c>
      <c r="H68">
        <v>0</v>
      </c>
    </row>
    <row r="69" spans="5:8">
      <c r="E69" t="s">
        <v>334</v>
      </c>
      <c r="F69" t="s">
        <v>335</v>
      </c>
      <c r="G69">
        <v>2</v>
      </c>
      <c r="H69">
        <v>0</v>
      </c>
    </row>
    <row r="70" spans="5:8">
      <c r="E70" t="s">
        <v>336</v>
      </c>
      <c r="F70" t="s">
        <v>337</v>
      </c>
      <c r="G70">
        <v>2</v>
      </c>
      <c r="H70">
        <v>0</v>
      </c>
    </row>
    <row r="71" spans="5:8">
      <c r="E71" t="s">
        <v>338</v>
      </c>
      <c r="F71" t="s">
        <v>339</v>
      </c>
      <c r="G71">
        <v>2</v>
      </c>
      <c r="H71">
        <v>0</v>
      </c>
    </row>
    <row r="72" spans="5:8">
      <c r="E72" t="s">
        <v>340</v>
      </c>
      <c r="F72" t="s">
        <v>341</v>
      </c>
      <c r="G72">
        <v>2</v>
      </c>
      <c r="H72">
        <v>0</v>
      </c>
    </row>
    <row r="73" spans="5:8">
      <c r="E73" t="s">
        <v>342</v>
      </c>
      <c r="F73" t="s">
        <v>343</v>
      </c>
      <c r="G73">
        <v>2</v>
      </c>
      <c r="H73">
        <v>0</v>
      </c>
    </row>
    <row r="74" spans="5:8">
      <c r="E74" t="s">
        <v>344</v>
      </c>
      <c r="F74" t="s">
        <v>345</v>
      </c>
      <c r="G74">
        <v>2</v>
      </c>
      <c r="H74">
        <v>0</v>
      </c>
    </row>
    <row r="75" spans="5:8">
      <c r="E75" t="s">
        <v>346</v>
      </c>
      <c r="F75" t="s">
        <v>347</v>
      </c>
      <c r="G75">
        <v>2</v>
      </c>
      <c r="H75">
        <v>0</v>
      </c>
    </row>
    <row r="76" spans="5:8">
      <c r="E76" t="s">
        <v>348</v>
      </c>
      <c r="F76" t="s">
        <v>349</v>
      </c>
      <c r="G76">
        <v>2</v>
      </c>
      <c r="H76">
        <v>0</v>
      </c>
    </row>
    <row r="77" spans="5:8">
      <c r="E77" t="s">
        <v>350</v>
      </c>
      <c r="F77" t="s">
        <v>351</v>
      </c>
      <c r="G77">
        <v>2</v>
      </c>
      <c r="H77">
        <v>0</v>
      </c>
    </row>
    <row r="78" spans="5:8">
      <c r="E78" t="s">
        <v>352</v>
      </c>
      <c r="F78" t="s">
        <v>353</v>
      </c>
      <c r="G78">
        <v>2</v>
      </c>
      <c r="H78">
        <v>0</v>
      </c>
    </row>
    <row r="79" spans="5:8">
      <c r="E79" t="s">
        <v>354</v>
      </c>
      <c r="F79" t="s">
        <v>355</v>
      </c>
      <c r="G79">
        <v>2</v>
      </c>
      <c r="H79">
        <v>0</v>
      </c>
    </row>
    <row r="80" spans="5:8">
      <c r="E80" t="s">
        <v>356</v>
      </c>
      <c r="F80" t="s">
        <v>357</v>
      </c>
      <c r="G80">
        <v>2</v>
      </c>
      <c r="H80">
        <v>0</v>
      </c>
    </row>
    <row r="81" ht="27" spans="5:8">
      <c r="E81" s="1" t="s">
        <v>34</v>
      </c>
      <c r="F81" t="s">
        <v>358</v>
      </c>
      <c r="G81">
        <v>2</v>
      </c>
      <c r="H81">
        <v>0</v>
      </c>
    </row>
    <row r="82" ht="27" spans="5:8">
      <c r="E82" s="1" t="s">
        <v>359</v>
      </c>
      <c r="F82" t="s">
        <v>360</v>
      </c>
      <c r="G82">
        <v>2</v>
      </c>
      <c r="H82">
        <v>0</v>
      </c>
    </row>
    <row r="83" spans="5:8">
      <c r="E83" t="s">
        <v>36</v>
      </c>
      <c r="F83" t="s">
        <v>361</v>
      </c>
      <c r="G83">
        <v>2</v>
      </c>
      <c r="H83">
        <v>0</v>
      </c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发放</vt:lpstr>
      <vt:lpstr>KSO_Salary_Config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周周</cp:lastModifiedBy>
  <dcterms:created xsi:type="dcterms:W3CDTF">2006-09-16T00:00:00Z</dcterms:created>
  <cp:lastPrinted>2018-07-18T07:48:00Z</cp:lastPrinted>
  <dcterms:modified xsi:type="dcterms:W3CDTF">2022-08-24T07:19:36Z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2052-11.1.0.12302</vt:lpwstr>
  </property>
  <property fmtid="{D5CDD505-2E9C-101B-9397-08002B2CF9AE}" pid="3" name="KSORubyTemplateID" linkTarget="0">
    <vt:lpwstr>1</vt:lpwstr>
  </property>
  <property fmtid="{D5CDD505-2E9C-101B-9397-08002B2CF9AE}" pid="4" name="ICV">
    <vt:lpwstr>5456B66FFD7F4DFF813816B3B77F88B0</vt:lpwstr>
  </property>
</Properties>
</file>