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吴英格\Downloads\"/>
    </mc:Choice>
  </mc:AlternateContent>
  <xr:revisionPtr revIDLastSave="0" documentId="13_ncr:1_{BB8A956A-0E68-4B49-B3A0-2D908EB1378D}" xr6:coauthVersionLast="47" xr6:coauthVersionMax="47" xr10:uidLastSave="{00000000-0000-0000-0000-000000000000}"/>
  <bookViews>
    <workbookView xWindow="-108" yWindow="-108" windowWidth="23256" windowHeight="12720" activeTab="1" xr2:uid="{00000000-000D-0000-FFFF-FFFF00000000}"/>
  </bookViews>
  <sheets>
    <sheet name="价值工程部" sheetId="2" r:id="rId1"/>
    <sheet name="二次核算价2022.5.13" sheetId="3" r:id="rId2"/>
  </sheets>
  <externalReferences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24" i="3" l="1"/>
  <c r="P25" i="3"/>
  <c r="P26" i="3"/>
  <c r="P27" i="3"/>
  <c r="P28" i="3"/>
  <c r="P29" i="3"/>
  <c r="P23" i="3"/>
  <c r="N30" i="3"/>
  <c r="AC4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3" i="3"/>
  <c r="AC24" i="3"/>
  <c r="AC25" i="3"/>
  <c r="AC26" i="3"/>
  <c r="AC27" i="3"/>
  <c r="AC28" i="3"/>
  <c r="AC29" i="3"/>
  <c r="AC3" i="3"/>
  <c r="AB4" i="3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" i="3"/>
  <c r="AA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" i="3"/>
  <c r="Z4" i="3"/>
  <c r="Z5" i="3"/>
  <c r="Z6" i="3"/>
  <c r="AG6" i="3" s="1"/>
  <c r="Z7" i="3"/>
  <c r="AG7" i="3" s="1"/>
  <c r="Z8" i="3"/>
  <c r="AG8" i="3" s="1"/>
  <c r="Z9" i="3"/>
  <c r="Z10" i="3"/>
  <c r="Z11" i="3"/>
  <c r="Z12" i="3"/>
  <c r="Z13" i="3"/>
  <c r="Z14" i="3"/>
  <c r="AG14" i="3" s="1"/>
  <c r="Z15" i="3"/>
  <c r="AG15" i="3" s="1"/>
  <c r="Z16" i="3"/>
  <c r="AG16" i="3" s="1"/>
  <c r="Z17" i="3"/>
  <c r="Z18" i="3"/>
  <c r="Z19" i="3"/>
  <c r="Z20" i="3"/>
  <c r="Z21" i="3"/>
  <c r="Z22" i="3"/>
  <c r="AG22" i="3" s="1"/>
  <c r="Z23" i="3"/>
  <c r="Z24" i="3"/>
  <c r="Z25" i="3"/>
  <c r="Z26" i="3"/>
  <c r="Z27" i="3"/>
  <c r="Z28" i="3"/>
  <c r="Z29" i="3"/>
  <c r="Z3" i="3"/>
  <c r="AG3" i="3" s="1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" i="3"/>
  <c r="X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" i="3"/>
  <c r="M29" i="3"/>
  <c r="L29" i="3"/>
  <c r="K29" i="3"/>
  <c r="AD29" i="3" s="1"/>
  <c r="J29" i="3"/>
  <c r="H29" i="3"/>
  <c r="I29" i="3" s="1"/>
  <c r="M28" i="3"/>
  <c r="L28" i="3"/>
  <c r="K28" i="3"/>
  <c r="AD28" i="3" s="1"/>
  <c r="J28" i="3"/>
  <c r="H28" i="3"/>
  <c r="I28" i="3" s="1"/>
  <c r="M27" i="3"/>
  <c r="L27" i="3"/>
  <c r="K27" i="3"/>
  <c r="AD27" i="3" s="1"/>
  <c r="J27" i="3"/>
  <c r="H27" i="3"/>
  <c r="I27" i="3" s="1"/>
  <c r="M26" i="3"/>
  <c r="L26" i="3"/>
  <c r="K26" i="3"/>
  <c r="AD26" i="3" s="1"/>
  <c r="J26" i="3"/>
  <c r="H26" i="3"/>
  <c r="I26" i="3" s="1"/>
  <c r="M25" i="3"/>
  <c r="L25" i="3"/>
  <c r="K25" i="3"/>
  <c r="AD25" i="3" s="1"/>
  <c r="J25" i="3"/>
  <c r="H25" i="3"/>
  <c r="I25" i="3" s="1"/>
  <c r="M24" i="3"/>
  <c r="L24" i="3"/>
  <c r="K24" i="3"/>
  <c r="AD24" i="3" s="1"/>
  <c r="J24" i="3"/>
  <c r="H24" i="3"/>
  <c r="I24" i="3" s="1"/>
  <c r="M23" i="3"/>
  <c r="L23" i="3"/>
  <c r="K23" i="3"/>
  <c r="AD23" i="3" s="1"/>
  <c r="J23" i="3"/>
  <c r="I23" i="3"/>
  <c r="AD22" i="3"/>
  <c r="Q22" i="3"/>
  <c r="M22" i="3"/>
  <c r="AF22" i="3" s="1"/>
  <c r="L22" i="3"/>
  <c r="AE22" i="3" s="1"/>
  <c r="O22" i="3"/>
  <c r="J22" i="3"/>
  <c r="AD21" i="3"/>
  <c r="T21" i="3"/>
  <c r="Q21" i="3" s="1"/>
  <c r="M21" i="3"/>
  <c r="AF21" i="3" s="1"/>
  <c r="L21" i="3"/>
  <c r="AE21" i="3" s="1"/>
  <c r="J21" i="3"/>
  <c r="AD20" i="3"/>
  <c r="T20" i="3"/>
  <c r="Q20" i="3" s="1"/>
  <c r="M20" i="3"/>
  <c r="AF20" i="3" s="1"/>
  <c r="L20" i="3"/>
  <c r="AE20" i="3" s="1"/>
  <c r="J20" i="3"/>
  <c r="AD19" i="3"/>
  <c r="T19" i="3"/>
  <c r="O19" i="3" s="1"/>
  <c r="P19" i="3"/>
  <c r="M19" i="3"/>
  <c r="L19" i="3"/>
  <c r="J19" i="3"/>
  <c r="AD18" i="3"/>
  <c r="T18" i="3"/>
  <c r="O18" i="3" s="1"/>
  <c r="Q18" i="3" s="1"/>
  <c r="M18" i="3"/>
  <c r="AF18" i="3" s="1"/>
  <c r="L18" i="3"/>
  <c r="AE18" i="3" s="1"/>
  <c r="J18" i="3"/>
  <c r="AD17" i="3"/>
  <c r="T17" i="3"/>
  <c r="O17" i="3" s="1"/>
  <c r="M17" i="3"/>
  <c r="AF17" i="3" s="1"/>
  <c r="L17" i="3"/>
  <c r="AE17" i="3" s="1"/>
  <c r="J17" i="3"/>
  <c r="AD16" i="3"/>
  <c r="T16" i="3"/>
  <c r="O16" i="3" s="1"/>
  <c r="Q16" i="3" s="1"/>
  <c r="M16" i="3"/>
  <c r="AF16" i="3" s="1"/>
  <c r="L16" i="3"/>
  <c r="AE16" i="3" s="1"/>
  <c r="J16" i="3"/>
  <c r="AD15" i="3"/>
  <c r="T15" i="3"/>
  <c r="O15" i="3" s="1"/>
  <c r="P15" i="3"/>
  <c r="M15" i="3"/>
  <c r="L15" i="3"/>
  <c r="J15" i="3"/>
  <c r="AD14" i="3"/>
  <c r="T14" i="3"/>
  <c r="Q14" i="3" s="1"/>
  <c r="M14" i="3"/>
  <c r="AF14" i="3" s="1"/>
  <c r="L14" i="3"/>
  <c r="AE14" i="3" s="1"/>
  <c r="J14" i="3"/>
  <c r="AD13" i="3"/>
  <c r="T13" i="3"/>
  <c r="O13" i="3" s="1"/>
  <c r="P13" i="3"/>
  <c r="M13" i="3"/>
  <c r="L13" i="3"/>
  <c r="J13" i="3"/>
  <c r="AD12" i="3"/>
  <c r="T12" i="3"/>
  <c r="O12" i="3" s="1"/>
  <c r="P12" i="3"/>
  <c r="M12" i="3"/>
  <c r="L12" i="3"/>
  <c r="J12" i="3"/>
  <c r="AD11" i="3"/>
  <c r="T11" i="3"/>
  <c r="P11" i="3"/>
  <c r="M11" i="3"/>
  <c r="L11" i="3"/>
  <c r="J11" i="3"/>
  <c r="AD10" i="3"/>
  <c r="T10" i="3"/>
  <c r="O10" i="3" s="1"/>
  <c r="P10" i="3"/>
  <c r="M10" i="3"/>
  <c r="L10" i="3"/>
  <c r="J10" i="3"/>
  <c r="AD9" i="3"/>
  <c r="T9" i="3"/>
  <c r="Q9" i="3" s="1"/>
  <c r="M9" i="3"/>
  <c r="AF9" i="3" s="1"/>
  <c r="L9" i="3"/>
  <c r="AE9" i="3" s="1"/>
  <c r="J9" i="3"/>
  <c r="AD8" i="3"/>
  <c r="T8" i="3"/>
  <c r="Q8" i="3" s="1"/>
  <c r="M8" i="3"/>
  <c r="AF8" i="3" s="1"/>
  <c r="L8" i="3"/>
  <c r="AE8" i="3" s="1"/>
  <c r="J8" i="3"/>
  <c r="AD7" i="3"/>
  <c r="T7" i="3"/>
  <c r="O7" i="3" s="1"/>
  <c r="M7" i="3"/>
  <c r="AF7" i="3" s="1"/>
  <c r="L7" i="3"/>
  <c r="AE7" i="3" s="1"/>
  <c r="J7" i="3"/>
  <c r="AD6" i="3"/>
  <c r="T6" i="3"/>
  <c r="O6" i="3" s="1"/>
  <c r="M6" i="3"/>
  <c r="AF6" i="3" s="1"/>
  <c r="L6" i="3"/>
  <c r="AE6" i="3" s="1"/>
  <c r="J6" i="3"/>
  <c r="AD5" i="3"/>
  <c r="T5" i="3"/>
  <c r="O5" i="3" s="1"/>
  <c r="M5" i="3"/>
  <c r="AF5" i="3" s="1"/>
  <c r="L5" i="3"/>
  <c r="AE5" i="3" s="1"/>
  <c r="J5" i="3"/>
  <c r="AD4" i="3"/>
  <c r="T4" i="3"/>
  <c r="O4" i="3" s="1"/>
  <c r="M4" i="3"/>
  <c r="AF4" i="3" s="1"/>
  <c r="L4" i="3"/>
  <c r="AE4" i="3" s="1"/>
  <c r="J4" i="3"/>
  <c r="AD3" i="3"/>
  <c r="T3" i="3"/>
  <c r="Q3" i="3" s="1"/>
  <c r="M3" i="3"/>
  <c r="AF3" i="3" s="1"/>
  <c r="L3" i="3"/>
  <c r="AE3" i="3" s="1"/>
  <c r="J3" i="3"/>
  <c r="AG7" i="2"/>
  <c r="AG29" i="2"/>
  <c r="AQ30" i="2"/>
  <c r="AQ29" i="2"/>
  <c r="O29" i="2"/>
  <c r="AC31" i="3" l="1" a="1"/>
  <c r="AC31" i="3" s="1"/>
  <c r="Z31" i="3" a="1"/>
  <c r="Z31" i="3" s="1"/>
  <c r="K31" i="3" a="1"/>
  <c r="K31" i="3" s="1"/>
  <c r="AI11" i="3"/>
  <c r="L31" i="3" a="1"/>
  <c r="L31" i="3" s="1"/>
  <c r="M31" i="3" a="1"/>
  <c r="M31" i="3" s="1"/>
  <c r="N31" i="3" a="1"/>
  <c r="N31" i="3" s="1"/>
  <c r="AC30" i="3"/>
  <c r="Z30" i="3"/>
  <c r="K30" i="3"/>
  <c r="L30" i="3"/>
  <c r="M30" i="3"/>
  <c r="AI21" i="3"/>
  <c r="AI29" i="3"/>
  <c r="AI13" i="3"/>
  <c r="AI5" i="3"/>
  <c r="AI28" i="3"/>
  <c r="AI20" i="3"/>
  <c r="AI12" i="3"/>
  <c r="AI4" i="3"/>
  <c r="AH27" i="3"/>
  <c r="AH19" i="3"/>
  <c r="AH11" i="3"/>
  <c r="AH26" i="3"/>
  <c r="AH18" i="3"/>
  <c r="AH10" i="3"/>
  <c r="AG21" i="3"/>
  <c r="AH25" i="3"/>
  <c r="AH17" i="3"/>
  <c r="AH9" i="3"/>
  <c r="AG13" i="3"/>
  <c r="AI24" i="3"/>
  <c r="AG5" i="3"/>
  <c r="AI23" i="3"/>
  <c r="AI19" i="3"/>
  <c r="AH24" i="3"/>
  <c r="AH8" i="3"/>
  <c r="AG20" i="3"/>
  <c r="AG12" i="3"/>
  <c r="AG4" i="3"/>
  <c r="AH23" i="3"/>
  <c r="AH15" i="3"/>
  <c r="AH7" i="3"/>
  <c r="AI26" i="3"/>
  <c r="AI18" i="3"/>
  <c r="AI10" i="3"/>
  <c r="AH16" i="3"/>
  <c r="AG19" i="3"/>
  <c r="AG11" i="3"/>
  <c r="AH3" i="3"/>
  <c r="AH22" i="3"/>
  <c r="AH14" i="3"/>
  <c r="AH6" i="3"/>
  <c r="AI25" i="3"/>
  <c r="AI17" i="3"/>
  <c r="AI9" i="3"/>
  <c r="AI27" i="3"/>
  <c r="AG18" i="3"/>
  <c r="AG10" i="3"/>
  <c r="AH29" i="3"/>
  <c r="AH21" i="3"/>
  <c r="AH13" i="3"/>
  <c r="AH5" i="3"/>
  <c r="AI16" i="3"/>
  <c r="AI8" i="3"/>
  <c r="AG17" i="3"/>
  <c r="AG9" i="3"/>
  <c r="AH28" i="3"/>
  <c r="AH20" i="3"/>
  <c r="AH12" i="3"/>
  <c r="AH4" i="3"/>
  <c r="AI15" i="3"/>
  <c r="AI7" i="3"/>
  <c r="AI3" i="3"/>
  <c r="AI22" i="3"/>
  <c r="AI14" i="3"/>
  <c r="AI6" i="3"/>
  <c r="Q4" i="3"/>
  <c r="AE15" i="3"/>
  <c r="AE10" i="3"/>
  <c r="O9" i="3"/>
  <c r="AF11" i="3"/>
  <c r="AF13" i="3"/>
  <c r="AF12" i="3"/>
  <c r="AF15" i="3"/>
  <c r="O8" i="3"/>
  <c r="O21" i="3"/>
  <c r="Q10" i="3"/>
  <c r="Q11" i="3"/>
  <c r="Q17" i="3"/>
  <c r="O20" i="3"/>
  <c r="Q15" i="3"/>
  <c r="AF19" i="3"/>
  <c r="O14" i="3"/>
  <c r="AE11" i="3"/>
  <c r="Q5" i="3"/>
  <c r="AF10" i="3"/>
  <c r="Q12" i="3"/>
  <c r="O11" i="3"/>
  <c r="Q13" i="3"/>
  <c r="Q19" i="3"/>
  <c r="O3" i="3"/>
  <c r="AE12" i="3"/>
  <c r="AE13" i="3"/>
  <c r="AE19" i="3"/>
  <c r="AE26" i="2"/>
  <c r="AE19" i="2"/>
  <c r="X26" i="2"/>
  <c r="V19" i="2"/>
  <c r="X19" i="2" s="1"/>
  <c r="M19" i="2"/>
  <c r="X17" i="2"/>
  <c r="AG30" i="2"/>
  <c r="AE9" i="2"/>
  <c r="X9" i="2"/>
  <c r="M9" i="2"/>
  <c r="AE8" i="2"/>
  <c r="AE7" i="2"/>
  <c r="AE5" i="2"/>
  <c r="X8" i="2"/>
  <c r="M8" i="2"/>
  <c r="M7" i="2"/>
  <c r="AA5" i="2"/>
  <c r="X7" i="2"/>
  <c r="O31" i="3" l="1" a="1"/>
  <c r="O31" i="3" s="1"/>
  <c r="O30" i="3"/>
  <c r="V5" i="2"/>
  <c r="X5" i="2" s="1"/>
  <c r="M5" i="2"/>
  <c r="O5" i="2" s="1"/>
  <c r="AG5" i="2" s="1"/>
  <c r="U4" i="2"/>
  <c r="R4" i="2"/>
  <c r="O4" i="2"/>
  <c r="O6" i="2"/>
  <c r="O7" i="2"/>
  <c r="O8" i="2"/>
  <c r="AG8" i="2" s="1"/>
  <c r="O9" i="2"/>
  <c r="AG9" i="2" s="1"/>
  <c r="O10" i="2"/>
  <c r="AG10" i="2" s="1"/>
  <c r="O11" i="2"/>
  <c r="AG11" i="2" s="1"/>
  <c r="O12" i="2"/>
  <c r="AG12" i="2" s="1"/>
  <c r="O13" i="2"/>
  <c r="AG13" i="2" s="1"/>
  <c r="O14" i="2"/>
  <c r="AG14" i="2" s="1"/>
  <c r="O15" i="2"/>
  <c r="AG15" i="2" s="1"/>
  <c r="O16" i="2"/>
  <c r="AG16" i="2" s="1"/>
  <c r="O17" i="2"/>
  <c r="AG17" i="2" s="1"/>
  <c r="O18" i="2"/>
  <c r="AG18" i="2" s="1"/>
  <c r="O19" i="2"/>
  <c r="AG19" i="2" s="1"/>
  <c r="O20" i="2"/>
  <c r="AG20" i="2" s="1"/>
  <c r="O21" i="2"/>
  <c r="AG21" i="2" s="1"/>
  <c r="O22" i="2"/>
  <c r="AG22" i="2" s="1"/>
  <c r="O23" i="2"/>
  <c r="AG23" i="2" s="1"/>
  <c r="O24" i="2"/>
  <c r="AG24" i="2" s="1"/>
  <c r="O25" i="2"/>
  <c r="AG25" i="2" s="1"/>
  <c r="O26" i="2"/>
  <c r="AG26" i="2" s="1"/>
  <c r="O27" i="2"/>
  <c r="AG27" i="2" s="1"/>
  <c r="O28" i="2"/>
  <c r="AG28" i="2" s="1"/>
  <c r="O3" i="2"/>
  <c r="U3" i="2"/>
  <c r="R3" i="2"/>
  <c r="AG3" i="2" l="1"/>
  <c r="AG4" i="2"/>
  <c r="AG6" i="2"/>
  <c r="I29" i="2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I13" i="2"/>
  <c r="H13" i="2"/>
  <c r="I12" i="2"/>
  <c r="H12" i="2"/>
  <c r="I11" i="2"/>
  <c r="H11" i="2"/>
  <c r="I10" i="2"/>
  <c r="H10" i="2"/>
  <c r="I9" i="2"/>
  <c r="H9" i="2"/>
  <c r="I8" i="2"/>
  <c r="H8" i="2"/>
  <c r="I7" i="2"/>
  <c r="H7" i="2"/>
  <c r="I6" i="2"/>
  <c r="H6" i="2"/>
  <c r="I5" i="2"/>
  <c r="H5" i="2"/>
  <c r="I4" i="2"/>
  <c r="H4" i="2"/>
  <c r="I3" i="2"/>
  <c r="H3" i="2"/>
  <c r="J3" i="2" l="1"/>
  <c r="K3" i="2" s="1"/>
  <c r="J17" i="2"/>
  <c r="K17" i="2" s="1"/>
  <c r="J4" i="2"/>
  <c r="K4" i="2" s="1"/>
  <c r="J16" i="2"/>
  <c r="K16" i="2" s="1"/>
  <c r="J28" i="2"/>
  <c r="K28" i="2" s="1"/>
  <c r="J14" i="2"/>
  <c r="K14" i="2" s="1"/>
  <c r="J18" i="2"/>
  <c r="K18" i="2" s="1"/>
  <c r="J29" i="2"/>
  <c r="J23" i="2"/>
  <c r="J26" i="2"/>
  <c r="J12" i="2"/>
  <c r="K12" i="2" s="1"/>
  <c r="J15" i="2"/>
  <c r="K15" i="2" s="1"/>
  <c r="J19" i="2"/>
  <c r="K19" i="2" s="1"/>
  <c r="J25" i="2"/>
  <c r="J24" i="2"/>
  <c r="J22" i="2"/>
  <c r="J21" i="2"/>
  <c r="J20" i="2"/>
  <c r="J8" i="2"/>
  <c r="J7" i="2"/>
  <c r="K7" i="2" s="1"/>
  <c r="J27" i="2"/>
  <c r="J13" i="2"/>
  <c r="J11" i="2"/>
  <c r="K11" i="2" s="1"/>
  <c r="J9" i="2"/>
  <c r="K9" i="2" s="1"/>
  <c r="J6" i="2"/>
  <c r="K6" i="2" s="1"/>
  <c r="H30" i="2"/>
  <c r="J5" i="2"/>
  <c r="K5" i="2" s="1"/>
  <c r="J10" i="2"/>
  <c r="I30" i="2"/>
  <c r="K29" i="2" l="1"/>
  <c r="K13" i="2"/>
  <c r="K22" i="2"/>
  <c r="K24" i="2"/>
  <c r="K25" i="2"/>
  <c r="K27" i="2"/>
  <c r="K10" i="2"/>
  <c r="K8" i="2"/>
  <c r="K20" i="2"/>
  <c r="K26" i="2"/>
  <c r="K21" i="2"/>
  <c r="K23" i="2"/>
  <c r="J30" i="2"/>
  <c r="K3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zzf</author>
  </authors>
  <commentList>
    <comment ref="B7" authorId="0" shapeId="0" xr:uid="{00000000-0006-0000-0000-000001000000}">
      <text>
        <r>
          <rPr>
            <b/>
            <sz val="9"/>
            <color indexed="81"/>
            <rFont val="宋体"/>
            <family val="3"/>
            <charset val="134"/>
          </rPr>
          <t>zzf:</t>
        </r>
        <r>
          <rPr>
            <sz val="9"/>
            <color indexed="81"/>
            <rFont val="宋体"/>
            <family val="3"/>
            <charset val="134"/>
          </rPr>
          <t xml:space="preserve">
含电泳</t>
        </r>
      </text>
    </comment>
    <comment ref="B8" authorId="0" shapeId="0" xr:uid="{00000000-0006-0000-0000-000002000000}">
      <text>
        <r>
          <rPr>
            <b/>
            <sz val="9"/>
            <color indexed="81"/>
            <rFont val="宋体"/>
            <family val="3"/>
            <charset val="134"/>
          </rPr>
          <t>zzf:</t>
        </r>
        <r>
          <rPr>
            <sz val="9"/>
            <color indexed="81"/>
            <rFont val="宋体"/>
            <family val="3"/>
            <charset val="134"/>
          </rPr>
          <t xml:space="preserve">
含电泳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吴英格</author>
  </authors>
  <commentList>
    <comment ref="P6" authorId="0" shapeId="0" xr:uid="{6B88523E-689D-4809-806E-BBE0AA02AB8E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不含电泳</t>
        </r>
      </text>
    </comment>
    <comment ref="P7" authorId="0" shapeId="0" xr:uid="{A4B3B624-F0B6-428D-A83F-C004C4676280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不含电泳
</t>
        </r>
      </text>
    </comment>
  </commentList>
</comments>
</file>

<file path=xl/sharedStrings.xml><?xml version="1.0" encoding="utf-8"?>
<sst xmlns="http://schemas.openxmlformats.org/spreadsheetml/2006/main" count="385" uniqueCount="208">
  <si>
    <t>欧马可座椅外协线材报价与目标价对比明细表</t>
  </si>
  <si>
    <t>序号</t>
  </si>
  <si>
    <t>QAD</t>
  </si>
  <si>
    <t>零件号</t>
  </si>
  <si>
    <t>中文名称</t>
  </si>
  <si>
    <t>单台
使用量</t>
  </si>
  <si>
    <t>目标价</t>
  </si>
  <si>
    <t>未税报价</t>
  </si>
  <si>
    <t>成本差</t>
  </si>
  <si>
    <t>超出比</t>
  </si>
  <si>
    <t>SLT0010929</t>
  </si>
  <si>
    <t>驾驶员大护板固定钢丝A</t>
  </si>
  <si>
    <t>SLT0010930</t>
  </si>
  <si>
    <t>驾驶员大护板固定钢丝B</t>
  </si>
  <si>
    <t>SLT0010949</t>
  </si>
  <si>
    <t>座垫骨架电泳总成</t>
  </si>
  <si>
    <t>SLT0011219</t>
  </si>
  <si>
    <t>座垫支撑电泳总成</t>
  </si>
  <si>
    <t>SLT0011225</t>
  </si>
  <si>
    <t>SLT0010880</t>
  </si>
  <si>
    <t>靠背下横管焊接总成</t>
  </si>
  <si>
    <t>SLT0010920</t>
  </si>
  <si>
    <t>肩部前支撑钢丝</t>
  </si>
  <si>
    <t>SLT0010882</t>
  </si>
  <si>
    <t>主驾靠背侧翼支撑钢丝</t>
  </si>
  <si>
    <t>SLT0010885</t>
  </si>
  <si>
    <t>主驾背板支撑钢丝A</t>
  </si>
  <si>
    <t>SLT0010921</t>
  </si>
  <si>
    <t>肩部后支撑钢丝</t>
  </si>
  <si>
    <t>SLT0010997</t>
  </si>
  <si>
    <t>风机固定钢丝A</t>
  </si>
  <si>
    <t>SLT0010998</t>
  </si>
  <si>
    <t>风机固定钢丝B</t>
  </si>
  <si>
    <t>SLT0010887</t>
  </si>
  <si>
    <t>面套卡接钢丝</t>
  </si>
  <si>
    <t>SLT0011258</t>
  </si>
  <si>
    <t>侧翼支撑钢丝焊接总成</t>
  </si>
  <si>
    <t>SLT0011259</t>
  </si>
  <si>
    <t>腰托支撑钢丝</t>
  </si>
  <si>
    <t>SLT0011289</t>
  </si>
  <si>
    <t>SLT0011049</t>
  </si>
  <si>
    <t>背板支撑钢丝A</t>
  </si>
  <si>
    <t>SLT0011050</t>
  </si>
  <si>
    <t>背板支撑钢丝B</t>
  </si>
  <si>
    <t>SLT0011039</t>
  </si>
  <si>
    <t>侧翼支撑钢丝</t>
  </si>
  <si>
    <t>SLT0011078</t>
  </si>
  <si>
    <t>小背背板后支撑钢丝A</t>
  </si>
  <si>
    <t>SLT0011093</t>
  </si>
  <si>
    <t>小背下支撑钢丝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</si>
  <si>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</si>
  <si>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</si>
  <si>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</si>
  <si>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</si>
  <si>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</si>
  <si>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</si>
  <si>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SLT0011083</t>
  </si>
  <si>
    <t>SLT0011114</t>
  </si>
  <si>
    <t>扭簧</t>
  </si>
  <si>
    <t>一辆份合计：</t>
  </si>
  <si>
    <t>价值工程部意见</t>
    <phoneticPr fontId="3" type="noConversion"/>
  </si>
  <si>
    <r>
      <t>B</t>
    </r>
    <r>
      <rPr>
        <sz val="11"/>
        <color theme="1"/>
        <rFont val="宋体"/>
        <family val="3"/>
        <charset val="134"/>
        <scheme val="minor"/>
      </rPr>
      <t>OM未见此号</t>
    </r>
    <phoneticPr fontId="3" type="noConversion"/>
  </si>
  <si>
    <t>必须按目标价</t>
    <phoneticPr fontId="3" type="noConversion"/>
  </si>
  <si>
    <t>测算成本时按外购钢丝自制预计原材料成本11.59元，不含电泳</t>
    <phoneticPr fontId="3" type="noConversion"/>
  </si>
  <si>
    <t>测算成本时按外购钢丝自制预计原材料成本3.53元</t>
    <phoneticPr fontId="3" type="noConversion"/>
  </si>
  <si>
    <t>孙沛霖重新核算</t>
    <phoneticPr fontId="3" type="noConversion"/>
  </si>
  <si>
    <t>必须按目标价，目标价含电泳</t>
    <phoneticPr fontId="3" type="noConversion"/>
  </si>
  <si>
    <t>必须按目标价，前期小批可临时价格超出目标价</t>
    <phoneticPr fontId="3" type="noConversion"/>
  </si>
  <si>
    <t>目标单台成本金额</t>
    <phoneticPr fontId="3" type="noConversion"/>
  </si>
  <si>
    <t>采购单台成本金额</t>
    <phoneticPr fontId="3" type="noConversion"/>
  </si>
  <si>
    <t>测算成本时按外购钢丝自制预计原材料成本10.89元，不含电泳</t>
    <phoneticPr fontId="3" type="noConversion"/>
  </si>
  <si>
    <t>目标价按外购钢丝自制，不含焊接</t>
    <phoneticPr fontId="3" type="noConversion"/>
  </si>
  <si>
    <t>SLT0010929</t>
    <phoneticPr fontId="3" type="noConversion"/>
  </si>
  <si>
    <t>SLT0010882</t>
    <phoneticPr fontId="3" type="noConversion"/>
  </si>
  <si>
    <t>SLT0010997</t>
    <phoneticPr fontId="3" type="noConversion"/>
  </si>
  <si>
    <t>SLT0011258</t>
    <phoneticPr fontId="3" type="noConversion"/>
  </si>
  <si>
    <t>SLT0011289</t>
    <phoneticPr fontId="3" type="noConversion"/>
  </si>
  <si>
    <t>SLT0011083</t>
    <phoneticPr fontId="3" type="noConversion"/>
  </si>
  <si>
    <t>采购核算</t>
    <phoneticPr fontId="3" type="noConversion"/>
  </si>
  <si>
    <t>材料费</t>
    <phoneticPr fontId="3" type="noConversion"/>
  </si>
  <si>
    <t>拍扁数量</t>
    <phoneticPr fontId="3" type="noConversion"/>
  </si>
  <si>
    <t>拍扁单价</t>
    <phoneticPr fontId="3" type="noConversion"/>
  </si>
  <si>
    <t>打孔数量</t>
    <phoneticPr fontId="3" type="noConversion"/>
  </si>
  <si>
    <t>打孔单价</t>
    <phoneticPr fontId="3" type="noConversion"/>
  </si>
  <si>
    <t>折弯包工包料未税单价</t>
    <phoneticPr fontId="3" type="noConversion"/>
  </si>
  <si>
    <t>合计</t>
    <phoneticPr fontId="3" type="noConversion"/>
  </si>
  <si>
    <t>拍扁合计</t>
    <phoneticPr fontId="3" type="noConversion"/>
  </si>
  <si>
    <t>打孔合计</t>
    <phoneticPr fontId="3" type="noConversion"/>
  </si>
  <si>
    <t>焊接长度</t>
    <phoneticPr fontId="3" type="noConversion"/>
  </si>
  <si>
    <t>焊接单价</t>
    <phoneticPr fontId="3" type="noConversion"/>
  </si>
  <si>
    <t>焊接合计</t>
    <phoneticPr fontId="3" type="noConversion"/>
  </si>
  <si>
    <t>外购件单价</t>
    <phoneticPr fontId="3" type="noConversion"/>
  </si>
  <si>
    <t>外购件数量</t>
    <phoneticPr fontId="3" type="noConversion"/>
  </si>
  <si>
    <t>外购件价格</t>
    <phoneticPr fontId="3" type="noConversion"/>
  </si>
  <si>
    <t>单件净重kg</t>
  </si>
  <si>
    <t>SLT0010930</t>
    <phoneticPr fontId="3" type="noConversion"/>
  </si>
  <si>
    <t>SLT0010949</t>
    <phoneticPr fontId="3" type="noConversion"/>
  </si>
  <si>
    <t>电泳面积</t>
    <phoneticPr fontId="3" type="noConversion"/>
  </si>
  <si>
    <t>电泳费用</t>
    <phoneticPr fontId="3" type="noConversion"/>
  </si>
  <si>
    <t>电泳费合计</t>
    <phoneticPr fontId="3" type="noConversion"/>
  </si>
  <si>
    <t>SLT0011219</t>
    <phoneticPr fontId="3" type="noConversion"/>
  </si>
  <si>
    <t>SLT0010949+风扇坐垫安装板构成</t>
    <phoneticPr fontId="3" type="noConversion"/>
  </si>
  <si>
    <t>SLT0011223</t>
    <phoneticPr fontId="3" type="noConversion"/>
  </si>
  <si>
    <t>SLT0011225</t>
    <phoneticPr fontId="3" type="noConversion"/>
  </si>
  <si>
    <t>检验</t>
    <phoneticPr fontId="3" type="noConversion"/>
  </si>
  <si>
    <t>包装运输(暂按厂家)</t>
    <phoneticPr fontId="3" type="noConversion"/>
  </si>
  <si>
    <t>备注</t>
    <phoneticPr fontId="3" type="noConversion"/>
  </si>
  <si>
    <r>
      <t xml:space="preserve">description of operation </t>
    </r>
    <r>
      <rPr>
        <b/>
        <sz val="9"/>
        <rFont val="宋体"/>
        <family val="3"/>
        <charset val="134"/>
      </rPr>
      <t>操作工序</t>
    </r>
  </si>
  <si>
    <r>
      <t xml:space="preserve">number of shifts </t>
    </r>
    <r>
      <rPr>
        <b/>
        <sz val="9"/>
        <rFont val="宋体"/>
        <family val="3"/>
        <charset val="134"/>
      </rPr>
      <t>班次</t>
    </r>
  </si>
  <si>
    <r>
      <t xml:space="preserve">equipment
</t>
    </r>
    <r>
      <rPr>
        <b/>
        <sz val="9"/>
        <rFont val="宋体"/>
        <family val="3"/>
        <charset val="134"/>
      </rPr>
      <t>设备</t>
    </r>
  </si>
  <si>
    <r>
      <t xml:space="preserve">laber time (h)
</t>
    </r>
    <r>
      <rPr>
        <b/>
        <sz val="9"/>
        <rFont val="宋体"/>
        <family val="3"/>
        <charset val="134"/>
      </rPr>
      <t>工时（小时）</t>
    </r>
  </si>
  <si>
    <r>
      <t>laber cost</t>
    </r>
    <r>
      <rPr>
        <b/>
        <sz val="9"/>
        <rFont val="宋体"/>
        <family val="3"/>
        <charset val="134"/>
      </rPr>
      <t>人工成本（元</t>
    </r>
    <r>
      <rPr>
        <b/>
        <sz val="9"/>
        <rFont val="DIN-Medium"/>
        <family val="2"/>
      </rPr>
      <t>/</t>
    </r>
    <r>
      <rPr>
        <b/>
        <sz val="9"/>
        <rFont val="宋体"/>
        <family val="3"/>
        <charset val="134"/>
      </rPr>
      <t>小时）</t>
    </r>
  </si>
  <si>
    <r>
      <t xml:space="preserve">other processing cost </t>
    </r>
    <r>
      <rPr>
        <b/>
        <sz val="9"/>
        <rFont val="宋体"/>
        <family val="3"/>
        <charset val="134"/>
      </rPr>
      <t>制造成本（元</t>
    </r>
    <r>
      <rPr>
        <b/>
        <sz val="9"/>
        <rFont val="DIN-Medium"/>
        <family val="2"/>
      </rPr>
      <t>/</t>
    </r>
    <r>
      <rPr>
        <b/>
        <sz val="9"/>
        <rFont val="宋体"/>
        <family val="3"/>
        <charset val="134"/>
      </rPr>
      <t>小时）</t>
    </r>
  </si>
  <si>
    <r>
      <t xml:space="preserve">process costs
</t>
    </r>
    <r>
      <rPr>
        <b/>
        <sz val="9"/>
        <rFont val="宋体"/>
        <family val="3"/>
        <charset val="134"/>
      </rPr>
      <t>加工成本</t>
    </r>
  </si>
  <si>
    <t>卷制成形</t>
  </si>
  <si>
    <t>自动卷簧机</t>
  </si>
  <si>
    <t>回火</t>
  </si>
  <si>
    <t>回火炉</t>
  </si>
  <si>
    <t>卷制成型0.12元，回火0.02元，电泳0.06元，检验打包：0.02元</t>
    <phoneticPr fontId="3" type="noConversion"/>
  </si>
  <si>
    <t>没有座垫风扇安装板</t>
    <phoneticPr fontId="3" type="noConversion"/>
  </si>
  <si>
    <t>序号</t>
    <phoneticPr fontId="3" type="noConversion"/>
  </si>
  <si>
    <t>名称</t>
  </si>
  <si>
    <t>单位</t>
  </si>
  <si>
    <t>图示</t>
  </si>
  <si>
    <t>零件类别</t>
  </si>
  <si>
    <t>材料</t>
  </si>
  <si>
    <t>单台使用量</t>
  </si>
  <si>
    <t>年使用量</t>
  </si>
  <si>
    <t>荣昌第一版目标价</t>
    <phoneticPr fontId="3" type="noConversion"/>
  </si>
  <si>
    <t>第一版报价未税（模具费按10万件摊销）</t>
  </si>
  <si>
    <t>荣昌第二版目标价</t>
    <phoneticPr fontId="3" type="noConversion"/>
  </si>
  <si>
    <t>采购未税目标价</t>
    <phoneticPr fontId="3" type="noConversion"/>
  </si>
  <si>
    <t>工装模具</t>
  </si>
  <si>
    <t>分摊价格（10万件）</t>
  </si>
  <si>
    <t>驾驶员大护板固定钢丝</t>
  </si>
  <si>
    <t>EA</t>
  </si>
  <si>
    <t>钢丝</t>
  </si>
  <si>
    <t>Q235 φ6</t>
  </si>
  <si>
    <t>钢丝费：0.58元，两端冲孔压扁0.15元</t>
  </si>
  <si>
    <t>检具：2000元；冲压模具3500元；合计5500元</t>
  </si>
  <si>
    <t>钢丝费：0.57元，两端冲孔压扁0.15元</t>
  </si>
  <si>
    <t>分总成</t>
  </si>
  <si>
    <t>ASSY</t>
  </si>
  <si>
    <t>同意第一版目标价</t>
    <phoneticPr fontId="3" type="noConversion"/>
  </si>
  <si>
    <t>钢丝检具19000元，总成检具6000元，焊胎8000元，冲压件模具7000元共计：40000元</t>
  </si>
  <si>
    <t>22.951（不含电泳）</t>
  </si>
  <si>
    <t>钢丝重量0.998Kg，材料费5.998，折弯费（14根）3.483，四种冲压件6.6元，焊接费（51个焊点）5.1元，检验整形0.3元，运费1元</t>
  </si>
  <si>
    <t>钢丝检具16000元，总成检具7000元，焊胎8000元，冲压件模具16000元，共计：47000元</t>
  </si>
  <si>
    <t>21.181（不含电泳）</t>
  </si>
  <si>
    <t>钢丝重量0.908Kg，材料费5.448，折弯费3.178，四种冲压件6.6元，焊接费（42个焊点）4.2元，检验整形0.3元，运费1元</t>
  </si>
  <si>
    <t>钢丝检具14000元，总成检具6500元，焊胎8000元，冲压件模具16000元共计：45500元</t>
  </si>
  <si>
    <t>钢丝费：0.618元，弯管重量0.453Kg，弯管材料费2.94元，弯管和冲压1.4元，2个冲压件1.2元，焊接费（10个焊点）1元，检验整形0.2元，包装运输0.35元</t>
  </si>
  <si>
    <t>钢丝检具1000元，弯管检具2000元，总成检具3500元，焊胎4000元，冲压机模具6500元，共计：16000元</t>
  </si>
  <si>
    <t>Q235 φ7</t>
  </si>
  <si>
    <t>钢丝重量0.1Kg，材料费0.6元，折弯和检验0.35元</t>
  </si>
  <si>
    <t>检具：1500元</t>
  </si>
  <si>
    <t>Q235 φ5</t>
  </si>
  <si>
    <t>钢丝重量0.062Kg，材料费0.372元，折弯和检验0.217元</t>
  </si>
  <si>
    <t>钢丝重量0.035Kg，材料费0.21元，折弯和检验0.123元</t>
  </si>
  <si>
    <t>检具：1000元</t>
  </si>
  <si>
    <t>钢丝重量0.052Kg，材料费0.312元，折弯和检验0.182元</t>
  </si>
  <si>
    <t>钢丝检具18000元，总成检具5000元，焊胎8000元，冲压件模具14000元，共计：45000元</t>
  </si>
  <si>
    <t>钢丝重量0.056Kg，材料费0.336元，折弯和检验0.196元</t>
  </si>
  <si>
    <t>第一版目标价高于报价</t>
    <phoneticPr fontId="3" type="noConversion"/>
  </si>
  <si>
    <t>钢丝重量0.323Kg，材料费：1.938元，折弯费（6根钢丝）1.13元，焊接费（6个焊点）0.6元，检验整形0.2元，包装运输0.25元</t>
  </si>
  <si>
    <t>钢丝检具1500元；总成检具2000元；焊胎：2000元，共计5500元</t>
  </si>
  <si>
    <t>钢丝重量0.06Kg，材料费0.36元，折弯和检验0.21元</t>
  </si>
  <si>
    <t>钢丝重量0.118Kg，材料费0.708元，折弯费（2根钢丝）：0.413元，焊接费（2个焊点）：0.2元，检验整形0.1元，包装运输：0.08元</t>
  </si>
  <si>
    <t>钢丝检具1500元；总成检具1500元；焊胎：1500元，共计4500元</t>
  </si>
  <si>
    <t>钢丝重量0.087Kg，材料费0.522元，折弯和检验0.3元</t>
  </si>
  <si>
    <t>65Mn φ1.2</t>
  </si>
  <si>
    <t>材料费0.02元，卷制成型0.12元，回火0.04元，电泳0.06元，检验打包：0.02元</t>
    <phoneticPr fontId="3" type="noConversion"/>
  </si>
  <si>
    <t>SLT0010920</t>
    <phoneticPr fontId="3" type="noConversion"/>
  </si>
  <si>
    <t>肩部前支撑钢丝</t>
    <phoneticPr fontId="3" type="noConversion"/>
  </si>
  <si>
    <t>Q235  φ6</t>
  </si>
  <si>
    <t>SLT0010921</t>
    <phoneticPr fontId="3" type="noConversion"/>
  </si>
  <si>
    <t>SLT0011049</t>
    <phoneticPr fontId="3" type="noConversion"/>
  </si>
  <si>
    <t>Q235  φ5</t>
  </si>
  <si>
    <t>SLT0011050</t>
    <phoneticPr fontId="3" type="noConversion"/>
  </si>
  <si>
    <t>SLT0011039</t>
    <phoneticPr fontId="3" type="noConversion"/>
  </si>
  <si>
    <t>Q235  φ7</t>
  </si>
  <si>
    <t>SLT0011079</t>
    <phoneticPr fontId="3" type="noConversion"/>
  </si>
  <si>
    <t>备注：试制1000套，需按照第一版报价；形成量产后，可按照二次核算的最低价格</t>
  </si>
  <si>
    <t>第一次报价</t>
    <phoneticPr fontId="3" type="noConversion"/>
  </si>
  <si>
    <t>差异对比</t>
    <phoneticPr fontId="3" type="noConversion"/>
  </si>
  <si>
    <t>二次报价最低价（不含模具费）</t>
    <phoneticPr fontId="3" type="noConversion"/>
  </si>
  <si>
    <t>二次报价（未税，含模具分摊）</t>
    <phoneticPr fontId="3" type="noConversion"/>
  </si>
  <si>
    <t>二次报价明细</t>
    <phoneticPr fontId="3" type="noConversion"/>
  </si>
  <si>
    <t>工装模具</t>
    <phoneticPr fontId="3" type="noConversion"/>
  </si>
  <si>
    <t>钢丝材料费用</t>
  </si>
  <si>
    <t>钢丝成型费用</t>
  </si>
  <si>
    <t>冲压件费用</t>
  </si>
  <si>
    <t>二次加工费用</t>
  </si>
  <si>
    <t>量产后最低价（未税）</t>
  </si>
  <si>
    <t>模具分摊（按10万件）</t>
  </si>
  <si>
    <t>量产后最低价（含模具分摊）</t>
  </si>
  <si>
    <t>三次报价</t>
    <phoneticPr fontId="3" type="noConversion"/>
  </si>
  <si>
    <t>说明</t>
    <phoneticPr fontId="3" type="noConversion"/>
  </si>
  <si>
    <t>第三次报价与工程部第一版目标价差异</t>
    <phoneticPr fontId="3" type="noConversion"/>
  </si>
  <si>
    <t>第一此报价与工程部第一版目标价差异</t>
    <phoneticPr fontId="3" type="noConversion"/>
  </si>
  <si>
    <t>第二此报价与工程部第二版目标价差异</t>
    <phoneticPr fontId="3" type="noConversion"/>
  </si>
  <si>
    <t>第二此报价与采购目标价差异</t>
    <phoneticPr fontId="3" type="noConversion"/>
  </si>
  <si>
    <t>第三次报价与工程部第二版目标价差异</t>
    <phoneticPr fontId="3" type="noConversion"/>
  </si>
  <si>
    <t>第三次报价与采购目标价差异</t>
    <phoneticPr fontId="3" type="noConversion"/>
  </si>
  <si>
    <t>第一版报价（未税，不含模具费）</t>
    <phoneticPr fontId="3" type="noConversion"/>
  </si>
  <si>
    <t>二次报价</t>
    <phoneticPr fontId="3" type="noConversion"/>
  </si>
  <si>
    <t>目标价</t>
    <phoneticPr fontId="3" type="noConversion"/>
  </si>
  <si>
    <t>一台份总价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</si>
</sst>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76" formatCode="0.00_ "/>
    <numFmt numFmtId="177" formatCode="0.0%"/>
    <numFmt numFmtId="178" formatCode="0.00_);[Red]\(0.00\)"/>
    <numFmt numFmtId="179" formatCode="0.000_);[Red]\(0.000\)"/>
    <numFmt numFmtId="180" formatCode="0.000"/>
    <numFmt numFmtId="181" formatCode="0_);[Red]\(0\)"/>
  </numFmts>
  <fonts count="22">
    <font>
      <sz val="11"/>
      <color theme="1"/>
      <name val="宋体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9"/>
      <name val="DIN-Medium"/>
      <family val="2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Arial"/>
      <family val="2"/>
    </font>
    <font>
      <sz val="9"/>
      <name val="DIN-Medium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20"/>
      <color theme="1"/>
      <name val="宋体"/>
      <family val="3"/>
      <charset val="134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0" fillId="0" borderId="0" xfId="0" applyAlignment="1">
      <alignment vertical="center"/>
    </xf>
    <xf numFmtId="176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>
      <alignment vertical="center"/>
    </xf>
    <xf numFmtId="10" fontId="0" fillId="0" borderId="0" xfId="0" applyNumberFormat="1" applyFill="1">
      <alignment vertical="center"/>
    </xf>
    <xf numFmtId="0" fontId="0" fillId="0" borderId="0" xfId="0" applyFill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178" fontId="16" fillId="0" borderId="1" xfId="2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2" borderId="0" xfId="0" applyFill="1">
      <alignment vertical="center"/>
    </xf>
    <xf numFmtId="0" fontId="4" fillId="0" borderId="1" xfId="3" applyBorder="1" applyAlignment="1">
      <alignment horizontal="center" vertical="center"/>
    </xf>
    <xf numFmtId="0" fontId="4" fillId="0" borderId="1" xfId="3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4" fillId="2" borderId="1" xfId="3" applyFill="1" applyBorder="1" applyAlignment="1">
      <alignment horizontal="center" vertical="center" wrapText="1"/>
    </xf>
    <xf numFmtId="0" fontId="4" fillId="5" borderId="1" xfId="3" applyFill="1" applyBorder="1" applyAlignment="1">
      <alignment horizontal="center" vertical="center" wrapText="1"/>
    </xf>
    <xf numFmtId="0" fontId="4" fillId="6" borderId="1" xfId="3" applyFill="1" applyBorder="1" applyAlignment="1">
      <alignment horizontal="center" vertical="center"/>
    </xf>
    <xf numFmtId="0" fontId="4" fillId="6" borderId="1" xfId="3" applyFill="1" applyBorder="1" applyAlignment="1">
      <alignment horizontal="center" vertical="center" wrapText="1"/>
    </xf>
    <xf numFmtId="0" fontId="4" fillId="0" borderId="0" xfId="3" applyAlignment="1">
      <alignment horizontal="center" vertical="center"/>
    </xf>
    <xf numFmtId="179" fontId="17" fillId="0" borderId="1" xfId="3" applyNumberFormat="1" applyFont="1" applyBorder="1" applyAlignment="1">
      <alignment horizontal="center" vertical="center" wrapText="1"/>
    </xf>
    <xf numFmtId="179" fontId="18" fillId="0" borderId="1" xfId="3" applyNumberFormat="1" applyFont="1" applyBorder="1" applyAlignment="1">
      <alignment horizontal="center" vertical="center" wrapText="1"/>
    </xf>
    <xf numFmtId="0" fontId="4" fillId="7" borderId="1" xfId="3" applyFill="1" applyBorder="1" applyAlignment="1">
      <alignment horizontal="center" vertical="center" wrapText="1"/>
    </xf>
    <xf numFmtId="0" fontId="4" fillId="2" borderId="1" xfId="3" applyFill="1" applyBorder="1" applyAlignment="1">
      <alignment horizontal="center" vertical="center"/>
    </xf>
    <xf numFmtId="0" fontId="4" fillId="5" borderId="1" xfId="3" applyFill="1" applyBorder="1" applyAlignment="1">
      <alignment horizontal="center" vertical="center"/>
    </xf>
    <xf numFmtId="180" fontId="4" fillId="2" borderId="1" xfId="3" applyNumberFormat="1" applyFill="1" applyBorder="1" applyAlignment="1">
      <alignment horizontal="center" vertical="center"/>
    </xf>
    <xf numFmtId="9" fontId="0" fillId="3" borderId="1" xfId="4" applyFont="1" applyFill="1" applyBorder="1" applyAlignment="1">
      <alignment horizontal="center" vertical="center"/>
    </xf>
    <xf numFmtId="9" fontId="0" fillId="0" borderId="1" xfId="4" applyFont="1" applyBorder="1" applyAlignment="1">
      <alignment horizontal="center" vertical="center"/>
    </xf>
    <xf numFmtId="179" fontId="18" fillId="0" borderId="4" xfId="3" applyNumberFormat="1" applyFont="1" applyBorder="1" applyAlignment="1">
      <alignment horizontal="center" vertical="center" wrapText="1"/>
    </xf>
    <xf numFmtId="0" fontId="4" fillId="0" borderId="4" xfId="3" applyBorder="1" applyAlignment="1">
      <alignment horizontal="center" vertical="center"/>
    </xf>
    <xf numFmtId="0" fontId="4" fillId="2" borderId="4" xfId="3" applyFill="1" applyBorder="1" applyAlignment="1">
      <alignment horizontal="center" vertical="center"/>
    </xf>
    <xf numFmtId="0" fontId="4" fillId="5" borderId="4" xfId="3" applyFill="1" applyBorder="1" applyAlignment="1">
      <alignment horizontal="center" vertical="center"/>
    </xf>
    <xf numFmtId="0" fontId="4" fillId="8" borderId="1" xfId="3" applyFill="1" applyBorder="1" applyAlignment="1">
      <alignment horizontal="center" vertical="center"/>
    </xf>
    <xf numFmtId="49" fontId="2" fillId="8" borderId="1" xfId="3" applyNumberFormat="1" applyFont="1" applyFill="1" applyBorder="1" applyAlignment="1">
      <alignment horizontal="center" vertical="center" wrapText="1"/>
    </xf>
    <xf numFmtId="181" fontId="2" fillId="8" borderId="1" xfId="3" applyNumberFormat="1" applyFont="1" applyFill="1" applyBorder="1" applyAlignment="1">
      <alignment horizontal="center" vertical="center" wrapText="1"/>
    </xf>
    <xf numFmtId="0" fontId="4" fillId="3" borderId="1" xfId="3" applyFill="1" applyBorder="1" applyAlignment="1">
      <alignment horizontal="center" vertical="center"/>
    </xf>
    <xf numFmtId="180" fontId="4" fillId="8" borderId="1" xfId="3" applyNumberFormat="1" applyFill="1" applyBorder="1" applyAlignment="1">
      <alignment horizontal="center" vertical="center"/>
    </xf>
    <xf numFmtId="0" fontId="4" fillId="9" borderId="1" xfId="3" applyFill="1" applyBorder="1" applyAlignment="1">
      <alignment horizontal="center" vertical="center"/>
    </xf>
    <xf numFmtId="0" fontId="19" fillId="9" borderId="1" xfId="3" applyFont="1" applyFill="1" applyBorder="1" applyAlignment="1">
      <alignment horizontal="center" vertical="center" wrapText="1"/>
    </xf>
    <xf numFmtId="0" fontId="19" fillId="9" borderId="1" xfId="3" applyFont="1" applyFill="1" applyBorder="1" applyAlignment="1">
      <alignment horizontal="center" vertical="center"/>
    </xf>
    <xf numFmtId="9" fontId="0" fillId="8" borderId="1" xfId="4" applyFont="1" applyFill="1" applyBorder="1" applyAlignment="1">
      <alignment horizontal="center" vertical="center"/>
    </xf>
    <xf numFmtId="0" fontId="4" fillId="8" borderId="0" xfId="3" applyFill="1" applyAlignment="1">
      <alignment horizontal="center" vertical="center"/>
    </xf>
    <xf numFmtId="0" fontId="20" fillId="8" borderId="1" xfId="3" applyFont="1" applyFill="1" applyBorder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9" fontId="0" fillId="0" borderId="1" xfId="4" applyFont="1" applyFill="1" applyBorder="1" applyAlignment="1">
      <alignment horizontal="center" vertical="center"/>
    </xf>
    <xf numFmtId="0" fontId="4" fillId="10" borderId="1" xfId="3" applyFill="1" applyBorder="1" applyAlignment="1">
      <alignment horizontal="center" vertical="center" wrapText="1"/>
    </xf>
    <xf numFmtId="0" fontId="4" fillId="10" borderId="1" xfId="3" applyFill="1" applyBorder="1" applyAlignment="1">
      <alignment horizontal="center" vertical="center"/>
    </xf>
    <xf numFmtId="0" fontId="19" fillId="10" borderId="1" xfId="3" applyFont="1" applyFill="1" applyBorder="1" applyAlignment="1">
      <alignment horizontal="center" vertical="center" wrapText="1"/>
    </xf>
    <xf numFmtId="0" fontId="19" fillId="10" borderId="1" xfId="3" applyFont="1" applyFill="1" applyBorder="1" applyAlignment="1">
      <alignment horizontal="center" vertical="center"/>
    </xf>
    <xf numFmtId="0" fontId="4" fillId="10" borderId="4" xfId="3" applyFill="1" applyBorder="1" applyAlignment="1">
      <alignment horizontal="center" vertical="center"/>
    </xf>
    <xf numFmtId="0" fontId="19" fillId="10" borderId="4" xfId="3" applyFont="1" applyFill="1" applyBorder="1" applyAlignment="1">
      <alignment horizontal="center" vertical="center" wrapText="1"/>
    </xf>
    <xf numFmtId="0" fontId="4" fillId="11" borderId="1" xfId="3" applyFill="1" applyBorder="1" applyAlignment="1">
      <alignment horizontal="center" vertical="center" wrapText="1"/>
    </xf>
    <xf numFmtId="0" fontId="4" fillId="11" borderId="1" xfId="3" applyFill="1" applyBorder="1" applyAlignment="1">
      <alignment horizontal="center" vertical="center"/>
    </xf>
    <xf numFmtId="9" fontId="0" fillId="0" borderId="0" xfId="4" applyFont="1" applyFill="1" applyBorder="1" applyAlignment="1">
      <alignment horizontal="center" vertical="center"/>
    </xf>
    <xf numFmtId="0" fontId="4" fillId="0" borderId="0" xfId="3" applyFill="1" applyBorder="1" applyAlignment="1">
      <alignment horizontal="center" vertical="center"/>
    </xf>
    <xf numFmtId="181" fontId="2" fillId="0" borderId="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180" fontId="4" fillId="0" borderId="0" xfId="3" applyNumberForma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 wrapText="1"/>
    </xf>
    <xf numFmtId="0" fontId="19" fillId="0" borderId="0" xfId="3" applyFont="1" applyFill="1" applyBorder="1" applyAlignment="1">
      <alignment horizontal="center" vertical="center"/>
    </xf>
    <xf numFmtId="0" fontId="4" fillId="0" borderId="0" xfId="3" applyFill="1" applyBorder="1" applyAlignment="1">
      <alignment horizontal="center" vertical="center" wrapText="1"/>
    </xf>
    <xf numFmtId="0" fontId="4" fillId="0" borderId="0" xfId="3" applyFill="1" applyAlignment="1">
      <alignment horizontal="center" vertical="center"/>
    </xf>
    <xf numFmtId="0" fontId="4" fillId="4" borderId="0" xfId="3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4" fillId="0" borderId="5" xfId="3" applyBorder="1" applyAlignment="1">
      <alignment horizontal="center" vertical="center"/>
    </xf>
    <xf numFmtId="0" fontId="21" fillId="0" borderId="0" xfId="3" applyFont="1" applyAlignment="1">
      <alignment horizontal="center" vertical="center"/>
    </xf>
    <xf numFmtId="2" fontId="4" fillId="9" borderId="1" xfId="3" applyNumberFormat="1" applyFill="1" applyBorder="1" applyAlignment="1">
      <alignment horizontal="center" vertical="center"/>
    </xf>
  </cellXfs>
  <cellStyles count="5">
    <cellStyle name="百分比 2" xfId="4" xr:uid="{7E70494F-8ACD-4EA6-9276-9CC17FF60260}"/>
    <cellStyle name="常规" xfId="0" builtinId="0"/>
    <cellStyle name="常规 2" xfId="3" xr:uid="{372ACB97-BD60-4B50-81A3-7DB77AB263FE}"/>
    <cellStyle name="常规 5" xfId="1" xr:uid="{F0E71800-F5B8-42C9-97D9-A14428FB95E0}"/>
    <cellStyle name="千位分隔 3" xfId="2" xr:uid="{79805287-66F9-431F-AF7F-D4B5FB0A0168}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emf"/><Relationship Id="rId3" Type="http://schemas.openxmlformats.org/officeDocument/2006/relationships/image" Target="../media/image3.png"/><Relationship Id="rId21" Type="http://schemas.openxmlformats.org/officeDocument/2006/relationships/image" Target="../media/image21.emf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emf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emf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emf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228600</xdr:colOff>
      <xdr:row>2</xdr:row>
      <xdr:rowOff>98425</xdr:rowOff>
    </xdr:from>
    <xdr:to>
      <xdr:col>4</xdr:col>
      <xdr:colOff>1029970</xdr:colOff>
      <xdr:row>2</xdr:row>
      <xdr:rowOff>311785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86C8761-5941-4DE8-B229-01C799221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01340" y="723265"/>
          <a:ext cx="801370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123825</xdr:colOff>
      <xdr:row>3</xdr:row>
      <xdr:rowOff>41275</xdr:rowOff>
    </xdr:from>
    <xdr:to>
      <xdr:col>4</xdr:col>
      <xdr:colOff>1221740</xdr:colOff>
      <xdr:row>3</xdr:row>
      <xdr:rowOff>352425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7D9F97C-AA3B-42F8-8543-92E4049E0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96565" y="1054735"/>
          <a:ext cx="109791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476250</xdr:colOff>
      <xdr:row>4</xdr:row>
      <xdr:rowOff>60960</xdr:rowOff>
    </xdr:from>
    <xdr:to>
      <xdr:col>4</xdr:col>
      <xdr:colOff>920750</xdr:colOff>
      <xdr:row>4</xdr:row>
      <xdr:rowOff>474345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18AE4AA-6FA7-4D49-B0D0-BADBB8BC0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348990" y="1463040"/>
          <a:ext cx="444500" cy="413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5</xdr:row>
      <xdr:rowOff>88900</xdr:rowOff>
    </xdr:from>
    <xdr:to>
      <xdr:col>4</xdr:col>
      <xdr:colOff>1115060</xdr:colOff>
      <xdr:row>5</xdr:row>
      <xdr:rowOff>594360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4914071-D2DA-4364-8F5F-1EEBDC58E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244215" y="2100580"/>
          <a:ext cx="74358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333375</xdr:colOff>
      <xdr:row>6</xdr:row>
      <xdr:rowOff>31750</xdr:rowOff>
    </xdr:from>
    <xdr:to>
      <xdr:col>4</xdr:col>
      <xdr:colOff>1062990</xdr:colOff>
      <xdr:row>6</xdr:row>
      <xdr:rowOff>591185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29FAE09F-AD65-4E37-BA95-AB3AE52E1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206115" y="2752090"/>
          <a:ext cx="729615" cy="559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161925</xdr:colOff>
      <xdr:row>7</xdr:row>
      <xdr:rowOff>171450</xdr:rowOff>
    </xdr:from>
    <xdr:to>
      <xdr:col>4</xdr:col>
      <xdr:colOff>1229360</xdr:colOff>
      <xdr:row>7</xdr:row>
      <xdr:rowOff>594995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346B3C93-B55E-4428-A9DA-8716E5945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034665" y="3539490"/>
          <a:ext cx="1067435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428625</xdr:colOff>
      <xdr:row>8</xdr:row>
      <xdr:rowOff>62865</xdr:rowOff>
    </xdr:from>
    <xdr:to>
      <xdr:col>4</xdr:col>
      <xdr:colOff>1093470</xdr:colOff>
      <xdr:row>8</xdr:row>
      <xdr:rowOff>330835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83F5D2BB-7D72-460C-8D43-BD02DA721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301365" y="4269105"/>
          <a:ext cx="664845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123825</xdr:colOff>
      <xdr:row>9</xdr:row>
      <xdr:rowOff>57150</xdr:rowOff>
    </xdr:from>
    <xdr:to>
      <xdr:col>4</xdr:col>
      <xdr:colOff>1125855</xdr:colOff>
      <xdr:row>9</xdr:row>
      <xdr:rowOff>334010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4B81E8CE-F30A-44EF-B4DC-EFCF1E1C2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996565" y="4652010"/>
          <a:ext cx="1002030" cy="276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400050</xdr:colOff>
      <xdr:row>10</xdr:row>
      <xdr:rowOff>58420</xdr:rowOff>
    </xdr:from>
    <xdr:to>
      <xdr:col>4</xdr:col>
      <xdr:colOff>727710</xdr:colOff>
      <xdr:row>10</xdr:row>
      <xdr:rowOff>360045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C3BDFEA-8B5F-44E9-8DC5-82042E475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272790" y="5041900"/>
          <a:ext cx="32766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495300</xdr:colOff>
      <xdr:row>11</xdr:row>
      <xdr:rowOff>40005</xdr:rowOff>
    </xdr:from>
    <xdr:to>
      <xdr:col>4</xdr:col>
      <xdr:colOff>878840</xdr:colOff>
      <xdr:row>11</xdr:row>
      <xdr:rowOff>374015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3BED51C8-D0E6-45EF-B246-170737A53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368040" y="5412105"/>
          <a:ext cx="383540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200025</xdr:colOff>
      <xdr:row>12</xdr:row>
      <xdr:rowOff>101600</xdr:rowOff>
    </xdr:from>
    <xdr:to>
      <xdr:col>4</xdr:col>
      <xdr:colOff>1057910</xdr:colOff>
      <xdr:row>12</xdr:row>
      <xdr:rowOff>335915</xdr:rowOff>
    </xdr:to>
    <xdr:pic>
      <xdr:nvPicPr>
        <xdr:cNvPr id="12" name="图片 11">
          <a:extLst>
            <a:ext uri="{FF2B5EF4-FFF2-40B4-BE49-F238E27FC236}">
              <a16:creationId xmlns:a16="http://schemas.microsoft.com/office/drawing/2014/main" id="{5AC3DB4F-89E7-4CD1-AE7A-CFEDE25AF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3072765" y="5862320"/>
          <a:ext cx="857885" cy="234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504825</xdr:colOff>
      <xdr:row>13</xdr:row>
      <xdr:rowOff>50800</xdr:rowOff>
    </xdr:from>
    <xdr:to>
      <xdr:col>4</xdr:col>
      <xdr:colOff>899160</xdr:colOff>
      <xdr:row>13</xdr:row>
      <xdr:rowOff>469265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3A347C01-97FB-44DC-847A-5ED495D69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377565" y="6200140"/>
          <a:ext cx="39433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14</xdr:row>
      <xdr:rowOff>58420</xdr:rowOff>
    </xdr:from>
    <xdr:to>
      <xdr:col>4</xdr:col>
      <xdr:colOff>1078230</xdr:colOff>
      <xdr:row>14</xdr:row>
      <xdr:rowOff>351155</xdr:rowOff>
    </xdr:to>
    <xdr:pic>
      <xdr:nvPicPr>
        <xdr:cNvPr id="14" name="图片 13">
          <a:extLst>
            <a:ext uri="{FF2B5EF4-FFF2-40B4-BE49-F238E27FC236}">
              <a16:creationId xmlns:a16="http://schemas.microsoft.com/office/drawing/2014/main" id="{BFABCE91-37B8-447D-822F-3B8E1B07B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006090" y="6855460"/>
          <a:ext cx="94488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142875</xdr:colOff>
      <xdr:row>15</xdr:row>
      <xdr:rowOff>49530</xdr:rowOff>
    </xdr:from>
    <xdr:to>
      <xdr:col>4</xdr:col>
      <xdr:colOff>1145540</xdr:colOff>
      <xdr:row>15</xdr:row>
      <xdr:rowOff>349250</xdr:rowOff>
    </xdr:to>
    <xdr:pic>
      <xdr:nvPicPr>
        <xdr:cNvPr id="15" name="图片 14">
          <a:extLst>
            <a:ext uri="{FF2B5EF4-FFF2-40B4-BE49-F238E27FC236}">
              <a16:creationId xmlns:a16="http://schemas.microsoft.com/office/drawing/2014/main" id="{10764FA9-25B0-4C43-9F2F-D65457283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015615" y="7235190"/>
          <a:ext cx="100266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231457</xdr:colOff>
      <xdr:row>16</xdr:row>
      <xdr:rowOff>73977</xdr:rowOff>
    </xdr:from>
    <xdr:to>
      <xdr:col>4</xdr:col>
      <xdr:colOff>1116647</xdr:colOff>
      <xdr:row>16</xdr:row>
      <xdr:rowOff>564832</xdr:rowOff>
    </xdr:to>
    <xdr:pic>
      <xdr:nvPicPr>
        <xdr:cNvPr id="16" name="图片 15">
          <a:extLst>
            <a:ext uri="{FF2B5EF4-FFF2-40B4-BE49-F238E27FC236}">
              <a16:creationId xmlns:a16="http://schemas.microsoft.com/office/drawing/2014/main" id="{D13A4204-CB80-44E2-A8EF-1E7DEF35E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 rot="5400000">
          <a:off x="3301364" y="7451090"/>
          <a:ext cx="490855" cy="885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171450</xdr:colOff>
      <xdr:row>17</xdr:row>
      <xdr:rowOff>27305</xdr:rowOff>
    </xdr:from>
    <xdr:to>
      <xdr:col>5</xdr:col>
      <xdr:colOff>3085</xdr:colOff>
      <xdr:row>17</xdr:row>
      <xdr:rowOff>379730</xdr:rowOff>
    </xdr:to>
    <xdr:pic>
      <xdr:nvPicPr>
        <xdr:cNvPr id="17" name="图片 16">
          <a:extLst>
            <a:ext uri="{FF2B5EF4-FFF2-40B4-BE49-F238E27FC236}">
              <a16:creationId xmlns:a16="http://schemas.microsoft.com/office/drawing/2014/main" id="{1AD7AFCE-4AED-47C3-BACA-2F3F3B12F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044190" y="8295005"/>
          <a:ext cx="1066075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18</xdr:row>
      <xdr:rowOff>58420</xdr:rowOff>
    </xdr:from>
    <xdr:to>
      <xdr:col>4</xdr:col>
      <xdr:colOff>1034415</xdr:colOff>
      <xdr:row>18</xdr:row>
      <xdr:rowOff>328295</xdr:rowOff>
    </xdr:to>
    <xdr:pic>
      <xdr:nvPicPr>
        <xdr:cNvPr id="18" name="图片 17">
          <a:extLst>
            <a:ext uri="{FF2B5EF4-FFF2-40B4-BE49-F238E27FC236}">
              <a16:creationId xmlns:a16="http://schemas.microsoft.com/office/drawing/2014/main" id="{C0B74DF3-DE7A-43ED-83BC-4CB7E81C19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3120390" y="8714740"/>
          <a:ext cx="786765" cy="269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233045</xdr:colOff>
      <xdr:row>19</xdr:row>
      <xdr:rowOff>142875</xdr:rowOff>
    </xdr:from>
    <xdr:to>
      <xdr:col>4</xdr:col>
      <xdr:colOff>1185545</xdr:colOff>
      <xdr:row>19</xdr:row>
      <xdr:rowOff>532130</xdr:rowOff>
    </xdr:to>
    <xdr:pic>
      <xdr:nvPicPr>
        <xdr:cNvPr id="19" name="图片 18">
          <a:extLst>
            <a:ext uri="{FF2B5EF4-FFF2-40B4-BE49-F238E27FC236}">
              <a16:creationId xmlns:a16="http://schemas.microsoft.com/office/drawing/2014/main" id="{A5D8C0BE-4B59-409E-8560-E4D47FD69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3105785" y="9164955"/>
          <a:ext cx="952500" cy="3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57150</xdr:colOff>
      <xdr:row>20</xdr:row>
      <xdr:rowOff>41910</xdr:rowOff>
    </xdr:from>
    <xdr:to>
      <xdr:col>5</xdr:col>
      <xdr:colOff>4990</xdr:colOff>
      <xdr:row>20</xdr:row>
      <xdr:rowOff>248285</xdr:rowOff>
    </xdr:to>
    <xdr:pic>
      <xdr:nvPicPr>
        <xdr:cNvPr id="20" name="图片 19">
          <a:extLst>
            <a:ext uri="{FF2B5EF4-FFF2-40B4-BE49-F238E27FC236}">
              <a16:creationId xmlns:a16="http://schemas.microsoft.com/office/drawing/2014/main" id="{676452A8-F3B0-47F3-9669-BCA966EE0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2929890" y="9749790"/>
          <a:ext cx="1182280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523875</xdr:colOff>
      <xdr:row>21</xdr:row>
      <xdr:rowOff>118745</xdr:rowOff>
    </xdr:from>
    <xdr:to>
      <xdr:col>4</xdr:col>
      <xdr:colOff>933450</xdr:colOff>
      <xdr:row>21</xdr:row>
      <xdr:rowOff>434340</xdr:rowOff>
    </xdr:to>
    <xdr:pic>
      <xdr:nvPicPr>
        <xdr:cNvPr id="21" name="图片 20">
          <a:extLst>
            <a:ext uri="{FF2B5EF4-FFF2-40B4-BE49-F238E27FC236}">
              <a16:creationId xmlns:a16="http://schemas.microsoft.com/office/drawing/2014/main" id="{7913F29C-8EC9-4CDA-9E67-203C8F597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 flipH="1">
          <a:off x="3396615" y="10192385"/>
          <a:ext cx="4095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413657</xdr:colOff>
      <xdr:row>23</xdr:row>
      <xdr:rowOff>87086</xdr:rowOff>
    </xdr:from>
    <xdr:to>
      <xdr:col>4</xdr:col>
      <xdr:colOff>696685</xdr:colOff>
      <xdr:row>23</xdr:row>
      <xdr:rowOff>416030</xdr:rowOff>
    </xdr:to>
    <xdr:pic>
      <xdr:nvPicPr>
        <xdr:cNvPr id="22" name="图片 21">
          <a:extLst>
            <a:ext uri="{FF2B5EF4-FFF2-40B4-BE49-F238E27FC236}">
              <a16:creationId xmlns:a16="http://schemas.microsoft.com/office/drawing/2014/main" id="{E1DE7934-894D-4C80-A13C-F50BF27B7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86397" y="11075126"/>
          <a:ext cx="283028" cy="3289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283028</xdr:colOff>
      <xdr:row>22</xdr:row>
      <xdr:rowOff>21771</xdr:rowOff>
    </xdr:from>
    <xdr:to>
      <xdr:col>4</xdr:col>
      <xdr:colOff>662395</xdr:colOff>
      <xdr:row>22</xdr:row>
      <xdr:rowOff>368639</xdr:rowOff>
    </xdr:to>
    <xdr:pic>
      <xdr:nvPicPr>
        <xdr:cNvPr id="23" name="图片 22">
          <a:extLst>
            <a:ext uri="{FF2B5EF4-FFF2-40B4-BE49-F238E27FC236}">
              <a16:creationId xmlns:a16="http://schemas.microsoft.com/office/drawing/2014/main" id="{726B63FE-BA2C-468F-A3BC-38BF27C03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55768" y="10552611"/>
          <a:ext cx="379367" cy="3468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391885</xdr:colOff>
      <xdr:row>24</xdr:row>
      <xdr:rowOff>97972</xdr:rowOff>
    </xdr:from>
    <xdr:to>
      <xdr:col>4</xdr:col>
      <xdr:colOff>799030</xdr:colOff>
      <xdr:row>24</xdr:row>
      <xdr:rowOff>401021</xdr:rowOff>
    </xdr:to>
    <xdr:pic>
      <xdr:nvPicPr>
        <xdr:cNvPr id="24" name="图片 23">
          <a:extLst>
            <a:ext uri="{FF2B5EF4-FFF2-40B4-BE49-F238E27FC236}">
              <a16:creationId xmlns:a16="http://schemas.microsoft.com/office/drawing/2014/main" id="{F1F22C98-730F-4FEE-9D4B-E5252366C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64625" y="11543212"/>
          <a:ext cx="407145" cy="303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54428</xdr:colOff>
      <xdr:row>25</xdr:row>
      <xdr:rowOff>54429</xdr:rowOff>
    </xdr:from>
    <xdr:to>
      <xdr:col>4</xdr:col>
      <xdr:colOff>1128033</xdr:colOff>
      <xdr:row>25</xdr:row>
      <xdr:rowOff>381001</xdr:rowOff>
    </xdr:to>
    <xdr:pic>
      <xdr:nvPicPr>
        <xdr:cNvPr id="25" name="Picture 38">
          <a:extLst>
            <a:ext uri="{FF2B5EF4-FFF2-40B4-BE49-F238E27FC236}">
              <a16:creationId xmlns:a16="http://schemas.microsoft.com/office/drawing/2014/main" id="{F6FFAD65-800C-463A-BB28-C0D1597F7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/>
        <a:srcRect/>
        <a:stretch>
          <a:fillRect/>
        </a:stretch>
      </xdr:blipFill>
      <xdr:spPr>
        <a:xfrm>
          <a:off x="2927168" y="11956869"/>
          <a:ext cx="1073605" cy="326572"/>
        </a:xfrm>
        <a:prstGeom prst="rect">
          <a:avLst/>
        </a:prstGeom>
        <a:noFill/>
      </xdr:spPr>
    </xdr:pic>
    <xdr:clientData/>
  </xdr:twoCellAnchor>
  <xdr:twoCellAnchor>
    <xdr:from>
      <xdr:col>4</xdr:col>
      <xdr:colOff>97971</xdr:colOff>
      <xdr:row>26</xdr:row>
      <xdr:rowOff>108858</xdr:rowOff>
    </xdr:from>
    <xdr:to>
      <xdr:col>4</xdr:col>
      <xdr:colOff>927781</xdr:colOff>
      <xdr:row>26</xdr:row>
      <xdr:rowOff>348344</xdr:rowOff>
    </xdr:to>
    <xdr:pic>
      <xdr:nvPicPr>
        <xdr:cNvPr id="26" name="Picture 39">
          <a:extLst>
            <a:ext uri="{FF2B5EF4-FFF2-40B4-BE49-F238E27FC236}">
              <a16:creationId xmlns:a16="http://schemas.microsoft.com/office/drawing/2014/main" id="{42E9885D-0A6A-46A2-B41B-8A0E58BD8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/>
        <a:srcRect/>
        <a:stretch>
          <a:fillRect/>
        </a:stretch>
      </xdr:blipFill>
      <xdr:spPr>
        <a:xfrm>
          <a:off x="2970711" y="12468498"/>
          <a:ext cx="829810" cy="239486"/>
        </a:xfrm>
        <a:prstGeom prst="rect">
          <a:avLst/>
        </a:prstGeom>
        <a:noFill/>
      </xdr:spPr>
    </xdr:pic>
    <xdr:clientData/>
  </xdr:twoCellAnchor>
  <xdr:twoCellAnchor>
    <xdr:from>
      <xdr:col>4</xdr:col>
      <xdr:colOff>359229</xdr:colOff>
      <xdr:row>27</xdr:row>
      <xdr:rowOff>43543</xdr:rowOff>
    </xdr:from>
    <xdr:to>
      <xdr:col>4</xdr:col>
      <xdr:colOff>616964</xdr:colOff>
      <xdr:row>27</xdr:row>
      <xdr:rowOff>410911</xdr:rowOff>
    </xdr:to>
    <xdr:pic>
      <xdr:nvPicPr>
        <xdr:cNvPr id="27" name="Picture 23">
          <a:extLst>
            <a:ext uri="{FF2B5EF4-FFF2-40B4-BE49-F238E27FC236}">
              <a16:creationId xmlns:a16="http://schemas.microsoft.com/office/drawing/2014/main" id="{013110BC-F5B7-40A0-A1DB-A8C200AF4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/>
        <a:srcRect/>
        <a:stretch>
          <a:fillRect/>
        </a:stretch>
      </xdr:blipFill>
      <xdr:spPr>
        <a:xfrm>
          <a:off x="3231969" y="12860383"/>
          <a:ext cx="257735" cy="367368"/>
        </a:xfrm>
        <a:prstGeom prst="rect">
          <a:avLst/>
        </a:prstGeom>
        <a:noFill/>
      </xdr:spPr>
    </xdr:pic>
    <xdr:clientData/>
  </xdr:twoCellAnchor>
  <xdr:twoCellAnchor>
    <xdr:from>
      <xdr:col>4</xdr:col>
      <xdr:colOff>185057</xdr:colOff>
      <xdr:row>28</xdr:row>
      <xdr:rowOff>54429</xdr:rowOff>
    </xdr:from>
    <xdr:to>
      <xdr:col>4</xdr:col>
      <xdr:colOff>685799</xdr:colOff>
      <xdr:row>28</xdr:row>
      <xdr:rowOff>444253</xdr:rowOff>
    </xdr:to>
    <xdr:pic>
      <xdr:nvPicPr>
        <xdr:cNvPr id="28" name="图片 27">
          <a:extLst>
            <a:ext uri="{FF2B5EF4-FFF2-40B4-BE49-F238E27FC236}">
              <a16:creationId xmlns:a16="http://schemas.microsoft.com/office/drawing/2014/main" id="{91A29997-1781-4733-8D2F-083F10B1B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057797" y="13328469"/>
          <a:ext cx="500742" cy="389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&#36164;&#26009;\&#27827;&#21271;&#20809;&#21326;&#33635;&#26124;&#37319;&#36141;&#24037;&#20316;\&#39033;&#30446;&#24320;&#21457;\&#24231;&#26885;\&#31119;&#30000;&#27431;&#39532;&#21487;-2022.3.25\&#21016;&#24535;&#23500;&#24320;&#21457;\&#32447;&#26448;&#25253;&#20215;\&#28023;&#20852;&#20013;&#30427;\&#31119;&#30000;&#27431;&#39532;&#21487;&#39033;&#30446;&#25253;&#20215;2022.5.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&#36164;&#26009;\&#27827;&#21271;&#20809;&#21326;&#33635;&#26124;&#37319;&#36141;&#24037;&#20316;\&#39033;&#30446;&#24320;&#21457;\&#24231;&#26885;\&#31119;&#30000;&#27431;&#39532;&#21487;-2022.3.25\&#21016;&#24535;&#23500;&#24320;&#21457;\&#32447;&#26448;&#25253;&#20215;\&#31119;&#30000;&#27431;&#39532;&#21487;-&#31532;&#19968;&#29256;&#30446;&#26631;&#2021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报价2022.4.12"/>
      <sheetName val="二次核算价2022.5.13"/>
      <sheetName val="核算量产最低价2022.5.20"/>
    </sheetNames>
    <sheetDataSet>
      <sheetData sheetId="0"/>
      <sheetData sheetId="1"/>
      <sheetData sheetId="2">
        <row r="3">
          <cell r="C3" t="str">
            <v>SLT0010929</v>
          </cell>
          <cell r="D3" t="str">
            <v>驾驶员大护板固定钢丝A</v>
          </cell>
          <cell r="E3">
            <v>1</v>
          </cell>
          <cell r="F3">
            <v>0.504</v>
          </cell>
          <cell r="G3">
            <v>0.95</v>
          </cell>
          <cell r="H3">
            <v>0.504</v>
          </cell>
          <cell r="I3">
            <v>0.95</v>
          </cell>
          <cell r="J3">
            <v>0.44599999999999995</v>
          </cell>
          <cell r="K3">
            <v>0.88492063492063477</v>
          </cell>
          <cell r="L3" t="str">
            <v>孙沛霖重新核算</v>
          </cell>
          <cell r="M3">
            <v>6.0999999999999999E-2</v>
          </cell>
          <cell r="O3">
            <v>0.37819999999999998</v>
          </cell>
          <cell r="P3">
            <v>0.17080000000000001</v>
          </cell>
          <cell r="Q3" t="str">
            <v>/</v>
          </cell>
          <cell r="R3" t="str">
            <v>两端冲孔压扁0.15元</v>
          </cell>
          <cell r="S3">
            <v>0.69899999999999995</v>
          </cell>
          <cell r="T3" t="str">
            <v>检具：2000元；冲压模具3500元；合计5500元</v>
          </cell>
          <cell r="U3">
            <v>5.5E-2</v>
          </cell>
          <cell r="V3">
            <v>0.754</v>
          </cell>
        </row>
        <row r="4">
          <cell r="C4" t="str">
            <v>SLT0010930</v>
          </cell>
          <cell r="D4" t="str">
            <v>驾驶员大护板固定钢丝B</v>
          </cell>
          <cell r="E4">
            <v>1</v>
          </cell>
          <cell r="F4">
            <v>0.46400000000000002</v>
          </cell>
          <cell r="G4">
            <v>0.93</v>
          </cell>
          <cell r="H4">
            <v>0.46400000000000002</v>
          </cell>
          <cell r="I4">
            <v>0.93</v>
          </cell>
          <cell r="J4">
            <v>0.46600000000000003</v>
          </cell>
          <cell r="K4">
            <v>1.0043103448275863</v>
          </cell>
          <cell r="L4" t="str">
            <v>孙沛霖重新核算</v>
          </cell>
          <cell r="M4">
            <v>0.06</v>
          </cell>
          <cell r="O4">
            <v>0.372</v>
          </cell>
          <cell r="P4">
            <v>0.16800000000000001</v>
          </cell>
          <cell r="Q4" t="str">
            <v>/</v>
          </cell>
          <cell r="R4" t="str">
            <v>两端冲孔压扁0.15元</v>
          </cell>
          <cell r="S4">
            <v>0.69000000000000006</v>
          </cell>
          <cell r="T4" t="str">
            <v>检具：2000元；冲压模具3500元；合计5500元</v>
          </cell>
          <cell r="U4">
            <v>5.5E-2</v>
          </cell>
          <cell r="V4">
            <v>0.74500000000000011</v>
          </cell>
        </row>
        <row r="5">
          <cell r="C5" t="str">
            <v>SLT0010949</v>
          </cell>
          <cell r="D5" t="str">
            <v>座垫骨架电泳总成</v>
          </cell>
          <cell r="E5">
            <v>1</v>
          </cell>
          <cell r="F5">
            <v>10.89</v>
          </cell>
          <cell r="G5">
            <v>26.3</v>
          </cell>
          <cell r="H5">
            <v>10.89</v>
          </cell>
          <cell r="I5">
            <v>26.3</v>
          </cell>
          <cell r="J5">
            <v>15.41</v>
          </cell>
          <cell r="K5">
            <v>1.4150596877869606</v>
          </cell>
          <cell r="L5" t="str">
            <v>测算成本时按外购钢丝自制预计原材料成本10.89元，不含电泳</v>
          </cell>
          <cell r="M5">
            <v>1.2714000000000001</v>
          </cell>
          <cell r="N5" t="str">
            <v>钢丝重量：1.361Kg</v>
          </cell>
          <cell r="O5">
            <v>8.4382000000000001</v>
          </cell>
          <cell r="P5">
            <v>4.0830000000000002</v>
          </cell>
          <cell r="Q5" t="str">
            <v>4个螺栓0.6元，4个冲压件0.8元</v>
          </cell>
          <cell r="R5" t="str">
            <v>摆件焊接费：5
电泳：5
检验整形：0.3
包装运输：1</v>
          </cell>
          <cell r="S5">
            <v>25.2212</v>
          </cell>
          <cell r="T5" t="str">
            <v>钢丝检具19000元，总成检具6000元，焊胎8000元，冲压件模具7000元共计：40000元</v>
          </cell>
          <cell r="U5">
            <v>0.4</v>
          </cell>
          <cell r="V5">
            <v>25.621199999999998</v>
          </cell>
        </row>
        <row r="6">
          <cell r="C6" t="str">
            <v>SLT0011219</v>
          </cell>
          <cell r="D6" t="str">
            <v>座垫骨架电泳总成</v>
          </cell>
          <cell r="E6">
            <v>1</v>
          </cell>
          <cell r="F6">
            <v>11.59</v>
          </cell>
          <cell r="G6">
            <v>29.6</v>
          </cell>
          <cell r="H6">
            <v>11.59</v>
          </cell>
          <cell r="I6">
            <v>29.6</v>
          </cell>
          <cell r="J6">
            <v>18.010000000000002</v>
          </cell>
          <cell r="K6">
            <v>1.553925798101812</v>
          </cell>
          <cell r="L6" t="str">
            <v>测算成本时按外购钢丝自制预计原材料成本11.59元，不含电泳</v>
          </cell>
          <cell r="M6">
            <v>1.595</v>
          </cell>
          <cell r="N6" t="str">
            <v>SLT0010949+风扇坐垫安装板构成
钢丝重量：1.361Kg</v>
          </cell>
          <cell r="O6">
            <v>8.4382000000000001</v>
          </cell>
          <cell r="P6">
            <v>4.0830000000000002</v>
          </cell>
          <cell r="Q6" t="str">
            <v>4个螺栓0.6元，4个冲压件0.8元风扇安装板2.5元</v>
          </cell>
          <cell r="R6" t="str">
            <v>焊接费：5.4
电泳：5.4
检验整形：0.3
包装运输：1</v>
          </cell>
          <cell r="S6">
            <v>28.521199999999997</v>
          </cell>
          <cell r="T6" t="str">
            <v>钢丝检具19000元，总成检具6000元，焊胎8000元，冲压件模具7000元共计：40000元</v>
          </cell>
          <cell r="U6">
            <v>0.4</v>
          </cell>
          <cell r="V6">
            <v>28.921199999999995</v>
          </cell>
        </row>
        <row r="7">
          <cell r="C7" t="str">
            <v>SLT0011223</v>
          </cell>
          <cell r="D7" t="str">
            <v>座垫支撑电泳总成</v>
          </cell>
          <cell r="E7">
            <v>1</v>
          </cell>
          <cell r="F7">
            <v>17.8552</v>
          </cell>
          <cell r="G7">
            <v>27.68</v>
          </cell>
          <cell r="H7">
            <v>17.8552</v>
          </cell>
          <cell r="I7">
            <v>27.68</v>
          </cell>
          <cell r="J7">
            <v>9.8247999999999998</v>
          </cell>
          <cell r="K7">
            <v>0.55024866705497555</v>
          </cell>
          <cell r="L7" t="str">
            <v>必须按目标价，目标价含电泳</v>
          </cell>
          <cell r="M7">
            <v>1.0259999999999998</v>
          </cell>
          <cell r="N7" t="str">
            <v>钢丝重量：0.998Kg</v>
          </cell>
          <cell r="O7">
            <v>6.1875999999999998</v>
          </cell>
          <cell r="P7">
            <v>2.7944</v>
          </cell>
          <cell r="Q7" t="str">
            <v>4个冲压件6.6元</v>
          </cell>
          <cell r="R7" t="str">
            <v>摆件焊接费（51个焊点）5.1元，检验整形0.3元，运费1元，电泳：5.3</v>
          </cell>
          <cell r="S7">
            <v>27.282</v>
          </cell>
          <cell r="T7" t="str">
            <v>钢丝检具16000元，总成检具7000元，焊胎8000元，冲压件模具16000元，共计：47000元</v>
          </cell>
          <cell r="U7">
            <v>0.47</v>
          </cell>
          <cell r="V7">
            <v>27.751999999999999</v>
          </cell>
        </row>
        <row r="8">
          <cell r="C8" t="str">
            <v>SLT0011225</v>
          </cell>
          <cell r="D8" t="str">
            <v>座垫支撑电泳总成</v>
          </cell>
          <cell r="E8">
            <v>1</v>
          </cell>
          <cell r="F8">
            <v>16.766999999999999</v>
          </cell>
          <cell r="G8">
            <v>25.83</v>
          </cell>
          <cell r="H8">
            <v>16.766999999999999</v>
          </cell>
          <cell r="I8">
            <v>25.83</v>
          </cell>
          <cell r="J8">
            <v>9.0629999999999988</v>
          </cell>
          <cell r="K8">
            <v>0.54052603327965643</v>
          </cell>
          <cell r="L8" t="str">
            <v>必须按目标价，目标价含电泳</v>
          </cell>
          <cell r="M8">
            <v>0.67339999999999978</v>
          </cell>
          <cell r="N8" t="str">
            <v>钢丝重量：0.908Kg</v>
          </cell>
          <cell r="O8">
            <v>5.6295999999999999</v>
          </cell>
          <cell r="P8">
            <v>2.5423999999999998</v>
          </cell>
          <cell r="Q8" t="str">
            <v>4个冲压件6.6元</v>
          </cell>
          <cell r="R8" t="str">
            <v>焊接费（42个焊点）4.2元，检验整形0.3元，运费1元，电泳5元</v>
          </cell>
          <cell r="S8">
            <v>25.272000000000002</v>
          </cell>
          <cell r="T8" t="str">
            <v>钢丝检具14000元，总成检具6500元，焊胎8000元，冲压件模具16000元共计：45500元</v>
          </cell>
          <cell r="U8">
            <v>0.45500000000000002</v>
          </cell>
          <cell r="V8">
            <v>25.727</v>
          </cell>
        </row>
        <row r="9">
          <cell r="C9" t="str">
            <v>SLT0010880</v>
          </cell>
          <cell r="D9" t="str">
            <v>靠背下横管焊接总成</v>
          </cell>
          <cell r="E9">
            <v>1</v>
          </cell>
          <cell r="F9">
            <v>3.53</v>
          </cell>
          <cell r="G9">
            <v>8.11</v>
          </cell>
          <cell r="H9">
            <v>3.53</v>
          </cell>
          <cell r="I9">
            <v>8.11</v>
          </cell>
          <cell r="J9">
            <v>4.58</v>
          </cell>
          <cell r="K9">
            <v>1.2974504249291785</v>
          </cell>
          <cell r="L9" t="str">
            <v>测算成本时按外购钢丝自制预计原材料成本3.53元</v>
          </cell>
          <cell r="M9">
            <v>0.54700000000000004</v>
          </cell>
          <cell r="N9" t="str">
            <v>钢丝重量：0.065Kg
弯管重量：0.453Kg</v>
          </cell>
          <cell r="O9" t="str">
            <v>钢丝材料费0.403元，弯管材料费2.94元</v>
          </cell>
          <cell r="P9" t="str">
            <v>钢丝成型：0.1792元；弯管成型和冲压：1.4元</v>
          </cell>
          <cell r="Q9" t="str">
            <v>2个冲压件1.2元</v>
          </cell>
          <cell r="R9" t="str">
            <v>焊接费（10个焊点）1元，检验整形0.2元，包装运输0.35元</v>
          </cell>
          <cell r="S9">
            <v>7.6722000000000001</v>
          </cell>
          <cell r="T9" t="str">
            <v>钢丝检具1000元，弯管检具2000元，总成检具3500元，焊胎4000元，冲压机模具6500元，共计：16000元</v>
          </cell>
          <cell r="U9">
            <v>0.16</v>
          </cell>
          <cell r="V9">
            <v>7.8322000000000003</v>
          </cell>
        </row>
        <row r="10">
          <cell r="C10" t="str">
            <v>SLT0010920</v>
          </cell>
          <cell r="D10" t="str">
            <v>肩部前支撑钢丝</v>
          </cell>
          <cell r="E10">
            <v>2</v>
          </cell>
          <cell r="F10">
            <v>0.36</v>
          </cell>
          <cell r="G10">
            <v>0.68</v>
          </cell>
          <cell r="H10">
            <v>0.72</v>
          </cell>
          <cell r="I10">
            <v>1.36</v>
          </cell>
          <cell r="J10">
            <v>0.64000000000000012</v>
          </cell>
          <cell r="K10">
            <v>0.88888888888888906</v>
          </cell>
          <cell r="L10" t="str">
            <v>必须按目标价</v>
          </cell>
          <cell r="M10">
            <v>6.5199999999999994E-2</v>
          </cell>
          <cell r="O10">
            <v>0.40423999999999999</v>
          </cell>
          <cell r="P10">
            <v>0.183</v>
          </cell>
          <cell r="Q10" t="str">
            <v>/</v>
          </cell>
          <cell r="R10" t="str">
            <v>/</v>
          </cell>
          <cell r="S10">
            <v>0.58723999999999998</v>
          </cell>
          <cell r="T10" t="str">
            <v>检具：1500元</v>
          </cell>
          <cell r="U10">
            <v>1.4999999999999999E-2</v>
          </cell>
          <cell r="V10">
            <v>0.60224</v>
          </cell>
        </row>
        <row r="11">
          <cell r="C11" t="str">
            <v>SLT0010882</v>
          </cell>
          <cell r="D11" t="str">
            <v>主驾靠背侧翼支撑钢丝</v>
          </cell>
          <cell r="E11">
            <v>2</v>
          </cell>
          <cell r="F11">
            <v>0.59199999999999997</v>
          </cell>
          <cell r="G11">
            <v>1.05</v>
          </cell>
          <cell r="H11">
            <v>1.1839999999999999</v>
          </cell>
          <cell r="I11">
            <v>2.1</v>
          </cell>
          <cell r="J11">
            <v>0.91600000000000015</v>
          </cell>
          <cell r="K11">
            <v>0.7736486486486488</v>
          </cell>
          <cell r="L11" t="str">
            <v>必须按目标价</v>
          </cell>
          <cell r="M11">
            <v>0.10299999999999999</v>
          </cell>
          <cell r="O11">
            <v>0.63859999999999995</v>
          </cell>
          <cell r="P11">
            <v>0.28799999999999998</v>
          </cell>
          <cell r="Q11" t="str">
            <v>/</v>
          </cell>
          <cell r="R11" t="str">
            <v>/</v>
          </cell>
          <cell r="S11">
            <v>0.92659999999999987</v>
          </cell>
          <cell r="T11" t="str">
            <v>检具：1500元</v>
          </cell>
          <cell r="U11">
            <v>1.4999999999999999E-2</v>
          </cell>
          <cell r="V11">
            <v>0.94159999999999988</v>
          </cell>
        </row>
        <row r="12">
          <cell r="C12" t="str">
            <v>SLT0010885</v>
          </cell>
          <cell r="D12" t="str">
            <v>主驾背板支撑钢丝A</v>
          </cell>
          <cell r="E12">
            <v>3</v>
          </cell>
          <cell r="F12">
            <v>0.504</v>
          </cell>
          <cell r="G12">
            <v>0.65</v>
          </cell>
          <cell r="H12">
            <v>1.512</v>
          </cell>
          <cell r="I12">
            <v>1.9500000000000002</v>
          </cell>
          <cell r="J12">
            <v>0.43800000000000017</v>
          </cell>
          <cell r="K12">
            <v>0.28968253968253976</v>
          </cell>
          <cell r="L12" t="str">
            <v>必须按目标价</v>
          </cell>
          <cell r="M12">
            <v>6.3E-2</v>
          </cell>
          <cell r="O12">
            <v>0.3906</v>
          </cell>
          <cell r="P12">
            <v>0.17599999999999999</v>
          </cell>
          <cell r="Q12" t="str">
            <v>/</v>
          </cell>
          <cell r="R12" t="str">
            <v>/</v>
          </cell>
          <cell r="S12">
            <v>0.56659999999999999</v>
          </cell>
          <cell r="T12" t="str">
            <v>检具：1500元</v>
          </cell>
          <cell r="U12">
            <v>1.4999999999999999E-2</v>
          </cell>
          <cell r="V12">
            <v>0.58160000000000001</v>
          </cell>
        </row>
        <row r="13">
          <cell r="C13" t="str">
            <v>SLT0010921</v>
          </cell>
          <cell r="D13" t="str">
            <v>肩部后支撑钢丝</v>
          </cell>
          <cell r="E13">
            <v>2</v>
          </cell>
          <cell r="F13">
            <v>0.26400000000000001</v>
          </cell>
          <cell r="G13">
            <v>0.5</v>
          </cell>
          <cell r="H13">
            <v>0.52800000000000002</v>
          </cell>
          <cell r="I13">
            <v>1</v>
          </cell>
          <cell r="J13">
            <v>0.47199999999999998</v>
          </cell>
          <cell r="K13">
            <v>0.89393939393939381</v>
          </cell>
          <cell r="L13" t="str">
            <v>必须按目标价</v>
          </cell>
          <cell r="M13">
            <v>5.3999999999999999E-2</v>
          </cell>
          <cell r="O13">
            <v>0.33479999999999999</v>
          </cell>
          <cell r="P13">
            <v>0.151</v>
          </cell>
          <cell r="Q13" t="str">
            <v>/</v>
          </cell>
          <cell r="R13" t="str">
            <v>/</v>
          </cell>
          <cell r="S13">
            <v>0.48580000000000001</v>
          </cell>
          <cell r="T13" t="str">
            <v>检具：1500元</v>
          </cell>
          <cell r="U13">
            <v>1.4999999999999999E-2</v>
          </cell>
          <cell r="V13">
            <v>0.50080000000000002</v>
          </cell>
        </row>
        <row r="14">
          <cell r="C14" t="str">
            <v>SLT0010997</v>
          </cell>
          <cell r="D14" t="str">
            <v>风机固定钢丝A</v>
          </cell>
          <cell r="E14">
            <v>1</v>
          </cell>
          <cell r="F14">
            <v>0.315</v>
          </cell>
          <cell r="G14">
            <v>0.37</v>
          </cell>
          <cell r="H14">
            <v>0.315</v>
          </cell>
          <cell r="I14">
            <v>0.37</v>
          </cell>
          <cell r="J14">
            <v>5.4999999999999993E-2</v>
          </cell>
          <cell r="K14">
            <v>0.17460317460317459</v>
          </cell>
          <cell r="L14" t="str">
            <v>必须按目标价</v>
          </cell>
          <cell r="M14">
            <v>3.5000000000000003E-2</v>
          </cell>
          <cell r="O14">
            <v>0.21700000000000003</v>
          </cell>
          <cell r="P14">
            <v>9.8000000000000004E-2</v>
          </cell>
          <cell r="Q14" t="str">
            <v>/</v>
          </cell>
          <cell r="R14" t="str">
            <v>/</v>
          </cell>
          <cell r="S14">
            <v>0.31500000000000006</v>
          </cell>
          <cell r="T14" t="str">
            <v>检具：1000元</v>
          </cell>
          <cell r="U14">
            <v>0.01</v>
          </cell>
          <cell r="V14">
            <v>0.32500000000000007</v>
          </cell>
        </row>
        <row r="15">
          <cell r="C15" t="str">
            <v>SLT0010998</v>
          </cell>
          <cell r="D15" t="str">
            <v>风机固定钢丝B</v>
          </cell>
          <cell r="E15">
            <v>1</v>
          </cell>
          <cell r="F15">
            <v>0.315</v>
          </cell>
          <cell r="G15">
            <v>0.37</v>
          </cell>
          <cell r="H15">
            <v>0.315</v>
          </cell>
          <cell r="I15">
            <v>0.37</v>
          </cell>
          <cell r="J15">
            <v>5.4999999999999993E-2</v>
          </cell>
          <cell r="K15">
            <v>0.17460317460317459</v>
          </cell>
          <cell r="L15" t="str">
            <v>必须按目标价</v>
          </cell>
          <cell r="M15">
            <v>3.5000000000000003E-2</v>
          </cell>
          <cell r="O15">
            <v>0.21700000000000003</v>
          </cell>
          <cell r="P15">
            <v>9.8000000000000004E-2</v>
          </cell>
          <cell r="Q15" t="str">
            <v>/</v>
          </cell>
          <cell r="R15" t="str">
            <v>/</v>
          </cell>
          <cell r="S15">
            <v>0.31500000000000006</v>
          </cell>
          <cell r="T15" t="str">
            <v>检具：1000元</v>
          </cell>
          <cell r="U15">
            <v>0.01</v>
          </cell>
          <cell r="V15">
            <v>0.32500000000000007</v>
          </cell>
        </row>
        <row r="16">
          <cell r="C16" t="str">
            <v>SLT0010887</v>
          </cell>
          <cell r="D16" t="str">
            <v>面套卡接钢丝</v>
          </cell>
          <cell r="E16">
            <v>1</v>
          </cell>
          <cell r="F16">
            <v>0.44800000000000001</v>
          </cell>
          <cell r="G16">
            <v>0.55000000000000004</v>
          </cell>
          <cell r="H16">
            <v>0.44800000000000001</v>
          </cell>
          <cell r="I16">
            <v>0.55000000000000004</v>
          </cell>
          <cell r="J16">
            <v>0.10200000000000004</v>
          </cell>
          <cell r="K16">
            <v>0.22767857142857151</v>
          </cell>
          <cell r="L16" t="str">
            <v>必须按目标价</v>
          </cell>
          <cell r="M16">
            <v>5.6000000000000001E-2</v>
          </cell>
          <cell r="O16">
            <v>0.34720000000000001</v>
          </cell>
          <cell r="P16">
            <v>9.8000000000000004E-2</v>
          </cell>
          <cell r="Q16" t="str">
            <v>/</v>
          </cell>
          <cell r="R16" t="str">
            <v>/</v>
          </cell>
          <cell r="S16">
            <v>0.44520000000000004</v>
          </cell>
          <cell r="T16" t="str">
            <v>检具：1000元</v>
          </cell>
          <cell r="U16">
            <v>0.01</v>
          </cell>
          <cell r="V16">
            <v>0.45520000000000005</v>
          </cell>
        </row>
        <row r="17">
          <cell r="C17" t="str">
            <v>SLT0011258</v>
          </cell>
          <cell r="D17" t="str">
            <v>侧翼支撑钢丝焊接总成</v>
          </cell>
          <cell r="E17">
            <v>2</v>
          </cell>
          <cell r="F17">
            <v>1.62</v>
          </cell>
          <cell r="G17">
            <v>1.62</v>
          </cell>
          <cell r="H17">
            <v>3.24</v>
          </cell>
          <cell r="I17">
            <v>3.24</v>
          </cell>
          <cell r="J17">
            <v>0</v>
          </cell>
          <cell r="K17">
            <v>0</v>
          </cell>
          <cell r="L17" t="str">
            <v>BOM未见此号</v>
          </cell>
          <cell r="M17">
            <v>0.11799999999999999</v>
          </cell>
          <cell r="O17">
            <v>0.73160000000000003</v>
          </cell>
          <cell r="P17">
            <v>0.33</v>
          </cell>
          <cell r="Q17" t="str">
            <v>/</v>
          </cell>
          <cell r="R17" t="str">
            <v>焊接费（2个焊点）：0.2元，检验整形0.1元，包装运输：0.05元</v>
          </cell>
          <cell r="S17">
            <v>1.4116000000000002</v>
          </cell>
          <cell r="T17" t="str">
            <v>钢丝检具1500元；总成检具1500元；焊胎：1500元，共计4500元</v>
          </cell>
          <cell r="U17">
            <v>4.4999999999999998E-2</v>
          </cell>
          <cell r="V17">
            <v>1.4566000000000001</v>
          </cell>
        </row>
        <row r="18">
          <cell r="C18" t="str">
            <v>SLT0011259</v>
          </cell>
          <cell r="D18" t="str">
            <v>腰托支撑钢丝</v>
          </cell>
          <cell r="E18">
            <v>2</v>
          </cell>
          <cell r="F18">
            <v>0.91</v>
          </cell>
          <cell r="G18">
            <v>0.91</v>
          </cell>
          <cell r="H18">
            <v>1.82</v>
          </cell>
          <cell r="I18">
            <v>1.82</v>
          </cell>
          <cell r="J18">
            <v>0</v>
          </cell>
          <cell r="K18">
            <v>0</v>
          </cell>
          <cell r="L18" t="str">
            <v>BOM未见此号</v>
          </cell>
          <cell r="M18">
            <v>8.1000000000000003E-2</v>
          </cell>
          <cell r="O18">
            <v>0.50219999999999998</v>
          </cell>
          <cell r="P18">
            <v>9.8000000000000004E-2</v>
          </cell>
          <cell r="Q18" t="str">
            <v>/</v>
          </cell>
          <cell r="R18" t="str">
            <v>/</v>
          </cell>
          <cell r="S18">
            <v>0.60019999999999996</v>
          </cell>
          <cell r="T18" t="str">
            <v>检具：1000元</v>
          </cell>
          <cell r="U18">
            <v>0.01</v>
          </cell>
          <cell r="V18">
            <v>0.61019999999999996</v>
          </cell>
        </row>
        <row r="19">
          <cell r="C19" t="str">
            <v>SLT0011289</v>
          </cell>
          <cell r="D19" t="str">
            <v>座垫骨架电泳总成</v>
          </cell>
          <cell r="E19">
            <v>1</v>
          </cell>
          <cell r="F19">
            <v>28.8</v>
          </cell>
          <cell r="G19">
            <v>28.8</v>
          </cell>
          <cell r="H19">
            <v>28.8</v>
          </cell>
          <cell r="I19">
            <v>28.8</v>
          </cell>
          <cell r="J19">
            <v>0</v>
          </cell>
          <cell r="K19">
            <v>0</v>
          </cell>
          <cell r="L19" t="str">
            <v>BOM未见此号</v>
          </cell>
          <cell r="M19">
            <v>1.2399999999999998</v>
          </cell>
          <cell r="N19" t="str">
            <v>钢丝重量：1.231Kg</v>
          </cell>
          <cell r="O19">
            <v>7.632200000000001</v>
          </cell>
          <cell r="P19">
            <v>3.4470000000000001</v>
          </cell>
          <cell r="Q19" t="str">
            <v>4个冲压件：3.6元，焊接螺母2个0.3元，</v>
          </cell>
          <cell r="R19" t="str">
            <v>摆件焊接费（28个焊点）：2.8
电泳：6.1
检验整形：0.3
包装运输：1</v>
          </cell>
          <cell r="S19">
            <v>25.179199999999998</v>
          </cell>
          <cell r="T19" t="str">
            <v>钢丝检具19000元，总成检具6000元，焊胎8000元，冲压件模具7000元共计：40000元</v>
          </cell>
          <cell r="U19">
            <v>0.4</v>
          </cell>
          <cell r="V19">
            <v>25.579199999999997</v>
          </cell>
        </row>
        <row r="20">
          <cell r="C20" t="str">
            <v>SLT0011049</v>
          </cell>
          <cell r="D20" t="str">
            <v>背板支撑钢丝A</v>
          </cell>
          <cell r="E20">
            <v>2</v>
          </cell>
          <cell r="F20">
            <v>0.52800000000000002</v>
          </cell>
          <cell r="G20">
            <v>0.67</v>
          </cell>
          <cell r="H20">
            <v>1.056</v>
          </cell>
          <cell r="I20">
            <v>1.34</v>
          </cell>
          <cell r="J20">
            <v>0.28400000000000003</v>
          </cell>
          <cell r="K20">
            <v>0.26893939393939398</v>
          </cell>
          <cell r="L20" t="str">
            <v>必须按目标价</v>
          </cell>
          <cell r="M20">
            <v>6.6000000000000003E-2</v>
          </cell>
          <cell r="O20">
            <v>0.40920000000000001</v>
          </cell>
          <cell r="P20">
            <v>0.185</v>
          </cell>
          <cell r="Q20" t="str">
            <v>/</v>
          </cell>
          <cell r="R20" t="str">
            <v>/</v>
          </cell>
          <cell r="S20">
            <v>0.59420000000000006</v>
          </cell>
          <cell r="T20" t="str">
            <v>检具：1500元</v>
          </cell>
          <cell r="U20">
            <v>1.4999999999999999E-2</v>
          </cell>
          <cell r="V20">
            <v>0.60920000000000007</v>
          </cell>
        </row>
        <row r="21">
          <cell r="C21" t="str">
            <v>SLT0011050</v>
          </cell>
          <cell r="D21" t="str">
            <v>背板支撑钢丝B</v>
          </cell>
          <cell r="E21">
            <v>1</v>
          </cell>
          <cell r="F21">
            <v>0.39760000000000001</v>
          </cell>
          <cell r="G21">
            <v>0.53</v>
          </cell>
          <cell r="H21">
            <v>0.39760000000000001</v>
          </cell>
          <cell r="I21">
            <v>0.53</v>
          </cell>
          <cell r="J21">
            <v>0.13240000000000002</v>
          </cell>
          <cell r="K21">
            <v>0.33299798792756541</v>
          </cell>
          <cell r="L21" t="str">
            <v>必须按目标价</v>
          </cell>
          <cell r="M21">
            <v>4.9700000000000001E-2</v>
          </cell>
          <cell r="O21">
            <v>0.30814000000000002</v>
          </cell>
          <cell r="P21">
            <v>0.13900000000000001</v>
          </cell>
          <cell r="Q21" t="str">
            <v>/</v>
          </cell>
          <cell r="R21" t="str">
            <v>/</v>
          </cell>
          <cell r="S21">
            <v>0.44714000000000004</v>
          </cell>
          <cell r="T21" t="str">
            <v>检具：1500元</v>
          </cell>
          <cell r="U21">
            <v>1.4999999999999999E-2</v>
          </cell>
          <cell r="V21">
            <v>0.46214000000000005</v>
          </cell>
        </row>
        <row r="22">
          <cell r="C22" t="str">
            <v>SLT0011039</v>
          </cell>
          <cell r="D22" t="str">
            <v>侧翼支撑钢丝</v>
          </cell>
          <cell r="E22">
            <v>2</v>
          </cell>
          <cell r="F22">
            <v>0.44800000000000001</v>
          </cell>
          <cell r="G22">
            <v>0.79</v>
          </cell>
          <cell r="H22">
            <v>0.89600000000000002</v>
          </cell>
          <cell r="I22">
            <v>1.58</v>
          </cell>
          <cell r="J22">
            <v>0.68400000000000005</v>
          </cell>
          <cell r="K22">
            <v>0.76339285714285721</v>
          </cell>
          <cell r="L22" t="str">
            <v>必须按目标价</v>
          </cell>
          <cell r="M22">
            <v>7.5999999999999998E-2</v>
          </cell>
          <cell r="O22">
            <v>0.47120000000000001</v>
          </cell>
          <cell r="P22">
            <v>0.21199999999999999</v>
          </cell>
          <cell r="Q22" t="str">
            <v>/</v>
          </cell>
          <cell r="R22" t="str">
            <v>/</v>
          </cell>
          <cell r="S22">
            <v>0.68320000000000003</v>
          </cell>
          <cell r="T22" t="str">
            <v>检具：1500元</v>
          </cell>
          <cell r="U22">
            <v>1.4999999999999999E-2</v>
          </cell>
          <cell r="V22">
            <v>0.69820000000000004</v>
          </cell>
        </row>
        <row r="23">
          <cell r="C23" t="str">
            <v>SLT0011078</v>
          </cell>
          <cell r="D23" t="str">
            <v>小背背板后支撑钢丝A</v>
          </cell>
          <cell r="E23">
            <v>2</v>
          </cell>
          <cell r="F23">
            <v>0.52080000000000004</v>
          </cell>
          <cell r="G23">
            <v>0.59</v>
          </cell>
          <cell r="H23">
            <v>1.0416000000000001</v>
          </cell>
          <cell r="I23">
            <v>1.18</v>
          </cell>
          <cell r="J23">
            <v>0.13839999999999986</v>
          </cell>
          <cell r="K23">
            <v>0.13287250384024563</v>
          </cell>
          <cell r="L23" t="str">
            <v>必须按目标价</v>
          </cell>
          <cell r="M23">
            <v>6.5100000000000005E-2</v>
          </cell>
          <cell r="O23">
            <v>0.40362000000000003</v>
          </cell>
          <cell r="P23">
            <v>0.182</v>
          </cell>
          <cell r="Q23" t="str">
            <v>/</v>
          </cell>
          <cell r="R23" t="str">
            <v>/</v>
          </cell>
          <cell r="S23">
            <v>0.58562000000000003</v>
          </cell>
          <cell r="T23" t="str">
            <v>检具：1500元</v>
          </cell>
          <cell r="U23">
            <v>1.4999999999999999E-2</v>
          </cell>
          <cell r="V23">
            <v>0.60062000000000004</v>
          </cell>
        </row>
        <row r="24">
          <cell r="C24" t="str">
            <v>SLT0011093</v>
          </cell>
          <cell r="D24" t="str">
            <v>小背下支撑钢丝</v>
          </cell>
          <cell r="E24">
            <v>1</v>
          </cell>
          <cell r="F24">
            <v>0.432</v>
          </cell>
          <cell r="G24">
            <v>0.54</v>
          </cell>
          <cell r="H24">
            <v>0.432</v>
          </cell>
          <cell r="I24">
            <v>0.54</v>
          </cell>
          <cell r="J24">
            <v>0.10800000000000004</v>
          </cell>
          <cell r="K24">
            <v>0.25000000000000011</v>
          </cell>
          <cell r="L24" t="str">
            <v>必须按目标价</v>
          </cell>
          <cell r="M24">
            <v>4.8000000000000001E-2</v>
          </cell>
          <cell r="O24">
            <v>0.29760000000000003</v>
          </cell>
          <cell r="P24">
            <v>0.13400000000000001</v>
          </cell>
          <cell r="Q24" t="str">
            <v>/</v>
          </cell>
          <cell r="R24" t="str">
            <v>/</v>
          </cell>
          <cell r="S24">
            <v>0.43160000000000004</v>
          </cell>
          <cell r="T24" t="str">
            <v>检具：1500元</v>
          </cell>
          <cell r="U24">
            <v>1.4999999999999999E-2</v>
          </cell>
          <cell r="V24">
            <v>0.44660000000000005</v>
          </cell>
        </row>
        <row r="25">
          <cell r="C25" t="str">
            <v>SLT0011079</v>
          </cell>
          <cell r="D25" t="str">
            <v>小背侧翼支撑钢丝</v>
          </cell>
          <cell r="E25">
            <v>1</v>
          </cell>
          <cell r="F25">
            <v>0.53600000000000003</v>
          </cell>
          <cell r="G25">
            <v>0.96</v>
          </cell>
          <cell r="H25">
            <v>0.53600000000000003</v>
          </cell>
          <cell r="I25">
            <v>0.96</v>
          </cell>
          <cell r="J25">
            <v>0.42399999999999993</v>
          </cell>
          <cell r="K25">
            <v>0.79104477611940283</v>
          </cell>
          <cell r="L25" t="str">
            <v>必须按目标价</v>
          </cell>
          <cell r="M25">
            <v>9.0999999999999998E-2</v>
          </cell>
          <cell r="O25">
            <v>0.56420000000000003</v>
          </cell>
          <cell r="P25">
            <v>0.254</v>
          </cell>
          <cell r="Q25" t="str">
            <v>/</v>
          </cell>
          <cell r="R25" t="str">
            <v>/</v>
          </cell>
          <cell r="S25">
            <v>0.81820000000000004</v>
          </cell>
          <cell r="T25" t="str">
            <v>检具：1500元</v>
          </cell>
          <cell r="U25">
            <v>1.4999999999999999E-2</v>
          </cell>
          <cell r="V25">
            <v>0.83320000000000005</v>
          </cell>
        </row>
        <row r="26">
          <cell r="C26" t="str">
            <v>SLT0011094</v>
          </cell>
          <cell r="D26" t="str">
            <v>副驾小背支撑钢丝焊接总成</v>
          </cell>
          <cell r="E26">
            <v>1</v>
          </cell>
          <cell r="F26">
            <v>2.71</v>
          </cell>
          <cell r="G26">
            <v>5</v>
          </cell>
          <cell r="H26">
            <v>2.71</v>
          </cell>
          <cell r="I26">
            <v>5</v>
          </cell>
          <cell r="J26">
            <v>2.29</v>
          </cell>
          <cell r="K26">
            <v>0.84501845018450183</v>
          </cell>
          <cell r="L26" t="str">
            <v>目标价按外购钢丝自制，不含焊接</v>
          </cell>
          <cell r="M26">
            <v>0.32369999999999999</v>
          </cell>
          <cell r="O26">
            <v>2.0069400000000002</v>
          </cell>
          <cell r="P26">
            <v>0.90600000000000003</v>
          </cell>
          <cell r="Q26" t="str">
            <v>/</v>
          </cell>
          <cell r="R26" t="str">
            <v>焊接费（6个焊点）0.6元，检验整形0.2元，包装运输0.25元</v>
          </cell>
          <cell r="S26">
            <v>3.9629400000000006</v>
          </cell>
          <cell r="T26" t="str">
            <v>钢丝检具1500元；总成检具2000元；焊胎：2000元，共计5500元</v>
          </cell>
          <cell r="U26">
            <v>5.5E-2</v>
          </cell>
          <cell r="V26">
            <v>4.0179400000000003</v>
          </cell>
        </row>
        <row r="27">
          <cell r="C27" t="str">
            <v>SLT0011084</v>
          </cell>
          <cell r="D27" t="str">
            <v>小背面套卡接钢丝</v>
          </cell>
          <cell r="E27">
            <v>1</v>
          </cell>
          <cell r="F27">
            <v>0.32040000000000002</v>
          </cell>
          <cell r="G27">
            <v>0.38</v>
          </cell>
          <cell r="H27">
            <v>0.32040000000000002</v>
          </cell>
          <cell r="I27">
            <v>0.38</v>
          </cell>
          <cell r="J27">
            <v>5.9599999999999986E-2</v>
          </cell>
          <cell r="K27">
            <v>0.18601747815230957</v>
          </cell>
          <cell r="L27" t="str">
            <v>必须按目标价</v>
          </cell>
          <cell r="M27">
            <v>3.56E-2</v>
          </cell>
          <cell r="O27">
            <v>0.22072</v>
          </cell>
          <cell r="P27">
            <v>0.14000000000000001</v>
          </cell>
          <cell r="Q27" t="str">
            <v>/</v>
          </cell>
          <cell r="R27" t="str">
            <v>/</v>
          </cell>
          <cell r="S27">
            <v>0.36072000000000004</v>
          </cell>
          <cell r="T27" t="str">
            <v>检具：1000元</v>
          </cell>
          <cell r="U27">
            <v>0.01</v>
          </cell>
          <cell r="V27">
            <v>0.37072000000000005</v>
          </cell>
        </row>
        <row r="28">
          <cell r="C28" t="str">
            <v>SLT0011083</v>
          </cell>
          <cell r="D28" t="str">
            <v>小背背板后支撑钢丝A</v>
          </cell>
          <cell r="E28">
            <v>2</v>
          </cell>
          <cell r="F28">
            <v>0.52080000000000004</v>
          </cell>
          <cell r="G28">
            <v>0.63</v>
          </cell>
          <cell r="H28">
            <v>1.0416000000000001</v>
          </cell>
          <cell r="I28">
            <v>1.26</v>
          </cell>
          <cell r="J28">
            <v>0.21839999999999993</v>
          </cell>
          <cell r="K28">
            <v>0.20967741935483863</v>
          </cell>
          <cell r="L28" t="str">
            <v>必须按目标价</v>
          </cell>
          <cell r="M28">
            <v>6.5000000000000002E-2</v>
          </cell>
          <cell r="O28">
            <v>0.40300000000000002</v>
          </cell>
          <cell r="P28">
            <v>0.182</v>
          </cell>
          <cell r="Q28" t="str">
            <v>/</v>
          </cell>
          <cell r="R28" t="str">
            <v>/</v>
          </cell>
          <cell r="S28">
            <v>0.58499999999999996</v>
          </cell>
          <cell r="T28" t="str">
            <v>检具：1500元</v>
          </cell>
          <cell r="U28">
            <v>1.4999999999999999E-2</v>
          </cell>
          <cell r="V28">
            <v>0.6</v>
          </cell>
        </row>
        <row r="29">
          <cell r="C29" t="str">
            <v>SLT0011114</v>
          </cell>
          <cell r="D29" t="str">
            <v>扭簧</v>
          </cell>
          <cell r="E29">
            <v>1</v>
          </cell>
          <cell r="F29">
            <v>0.1</v>
          </cell>
          <cell r="G29">
            <v>0.28000000000000003</v>
          </cell>
          <cell r="H29">
            <v>0.1</v>
          </cell>
          <cell r="I29">
            <v>0.28000000000000003</v>
          </cell>
          <cell r="J29">
            <v>0.18000000000000002</v>
          </cell>
          <cell r="K29">
            <v>1.8</v>
          </cell>
          <cell r="L29" t="str">
            <v>必须按目标价，前期小批可临时价格超出目标价</v>
          </cell>
          <cell r="M29">
            <v>2.2000000000000001E-3</v>
          </cell>
          <cell r="O29">
            <v>2.2000000000000002E-2</v>
          </cell>
          <cell r="P29">
            <v>0.12</v>
          </cell>
          <cell r="Q29" t="str">
            <v>/</v>
          </cell>
          <cell r="R29" t="str">
            <v>回火：0.04元，电泳：0.06元</v>
          </cell>
          <cell r="S29">
            <v>0.24199999999999999</v>
          </cell>
          <cell r="T29" t="str">
            <v>/</v>
          </cell>
          <cell r="U29" t="str">
            <v>/</v>
          </cell>
          <cell r="V29" t="str">
            <v>/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 "/>
      <sheetName val="文件修改记录表"/>
      <sheetName val="外购件开发申请单"/>
      <sheetName val="外购件开发申请单-刘志富开"/>
      <sheetName val="Sheet1"/>
      <sheetName val="外购件开发申请单-删除"/>
      <sheetName val="河北-外购件申请单"/>
      <sheetName val="零件类型"/>
    </sheetNames>
    <sheetDataSet>
      <sheetData sheetId="0" refreshError="1"/>
      <sheetData sheetId="1" refreshError="1"/>
      <sheetData sheetId="2" refreshError="1"/>
      <sheetData sheetId="3">
        <row r="7">
          <cell r="C7" t="str">
            <v>SLT0010929</v>
          </cell>
          <cell r="D7" t="str">
            <v>驾驶员大护板固定钢丝A</v>
          </cell>
          <cell r="E7" t="str">
            <v>左侧护板固定
新开</v>
          </cell>
          <cell r="F7" t="str">
            <v>EA</v>
          </cell>
          <cell r="H7" t="str">
            <v>钢丝</v>
          </cell>
          <cell r="I7" t="str">
            <v>Q235 φ6</v>
          </cell>
          <cell r="K7" t="str">
            <v>新开</v>
          </cell>
          <cell r="L7" t="str">
            <v>河北外购</v>
          </cell>
          <cell r="M7" t="str">
            <v>刘志富</v>
          </cell>
          <cell r="N7" t="str">
            <v>海兴中盛/黄骅振兴/黄骅宏达（原名盛荣）</v>
          </cell>
          <cell r="O7">
            <v>1</v>
          </cell>
          <cell r="P7">
            <v>30000</v>
          </cell>
          <cell r="Q7" t="str">
            <v>李燕龙</v>
          </cell>
          <cell r="S7" t="str">
            <v>委外</v>
          </cell>
          <cell r="T7">
            <v>0.504</v>
          </cell>
        </row>
        <row r="8">
          <cell r="C8" t="str">
            <v>SLT0010930</v>
          </cell>
          <cell r="D8" t="str">
            <v>驾驶员大护板固定钢丝B</v>
          </cell>
          <cell r="E8" t="str">
            <v>左侧护板固定
新开</v>
          </cell>
          <cell r="F8" t="str">
            <v>EA</v>
          </cell>
          <cell r="H8" t="str">
            <v>钢丝</v>
          </cell>
          <cell r="I8" t="str">
            <v>Q235 φ6</v>
          </cell>
          <cell r="K8" t="str">
            <v>新开</v>
          </cell>
          <cell r="L8" t="str">
            <v>河北外购</v>
          </cell>
          <cell r="M8" t="str">
            <v>刘志富</v>
          </cell>
          <cell r="N8" t="str">
            <v>海兴中盛/黄骅振兴/黄骅宏达（原名盛荣）</v>
          </cell>
          <cell r="O8">
            <v>1</v>
          </cell>
          <cell r="P8">
            <v>30000</v>
          </cell>
          <cell r="Q8" t="str">
            <v>李燕龙</v>
          </cell>
          <cell r="S8" t="str">
            <v>委外</v>
          </cell>
          <cell r="T8">
            <v>0.46400000000000002</v>
          </cell>
        </row>
        <row r="9">
          <cell r="C9" t="str">
            <v>SLT0010949</v>
          </cell>
          <cell r="D9" t="str">
            <v>座垫骨架电泳总成</v>
          </cell>
          <cell r="E9" t="str">
            <v>新开，非通风配置</v>
          </cell>
          <cell r="F9" t="str">
            <v>EA</v>
          </cell>
          <cell r="H9" t="str">
            <v>分总成</v>
          </cell>
          <cell r="I9" t="str">
            <v>ASSY</v>
          </cell>
          <cell r="J9" t="str">
            <v>电泳</v>
          </cell>
          <cell r="K9" t="str">
            <v>新开</v>
          </cell>
          <cell r="L9" t="str">
            <v>河北外购</v>
          </cell>
          <cell r="M9" t="str">
            <v>刘志富</v>
          </cell>
          <cell r="N9" t="str">
            <v>海兴中盛/黄骅振兴/黄骅宏达（原名盛荣）</v>
          </cell>
          <cell r="O9">
            <v>1</v>
          </cell>
          <cell r="P9">
            <v>30000</v>
          </cell>
          <cell r="Q9" t="str">
            <v>李燕龙</v>
          </cell>
          <cell r="S9" t="str">
            <v>委外</v>
          </cell>
          <cell r="T9">
            <v>26.622</v>
          </cell>
        </row>
        <row r="10">
          <cell r="C10" t="str">
            <v>SLT0011219</v>
          </cell>
          <cell r="D10" t="str">
            <v>座垫骨架电泳总成</v>
          </cell>
          <cell r="E10" t="str">
            <v>新开，通风配置</v>
          </cell>
          <cell r="F10" t="str">
            <v>EA</v>
          </cell>
          <cell r="H10" t="str">
            <v>分总成</v>
          </cell>
          <cell r="I10" t="str">
            <v>ASSY</v>
          </cell>
          <cell r="J10" t="str">
            <v>电泳</v>
          </cell>
          <cell r="K10" t="str">
            <v>新开</v>
          </cell>
          <cell r="L10" t="str">
            <v>河北外购</v>
          </cell>
          <cell r="M10" t="str">
            <v>刘志富</v>
          </cell>
          <cell r="N10" t="str">
            <v>海兴中盛/黄骅振兴/黄骅宏达（原名盛荣）</v>
          </cell>
          <cell r="O10">
            <v>1</v>
          </cell>
          <cell r="P10">
            <v>30000</v>
          </cell>
          <cell r="Q10" t="str">
            <v>李燕龙</v>
          </cell>
          <cell r="S10" t="str">
            <v>委外</v>
          </cell>
          <cell r="T10">
            <v>28.89</v>
          </cell>
        </row>
        <row r="11">
          <cell r="C11" t="str">
            <v>BFA0010084</v>
          </cell>
          <cell r="D11" t="str">
            <v>十字槽沉头螺钉</v>
          </cell>
          <cell r="F11" t="str">
            <v>EA</v>
          </cell>
          <cell r="H11" t="str">
            <v>标准件</v>
          </cell>
          <cell r="I11" t="str">
            <v>M6*16
4.8级</v>
          </cell>
          <cell r="K11" t="str">
            <v>新开</v>
          </cell>
          <cell r="L11" t="str">
            <v>河北外购</v>
          </cell>
          <cell r="M11" t="str">
            <v>刘志富</v>
          </cell>
          <cell r="N11" t="str">
            <v>常州上锐、北京三浦</v>
          </cell>
          <cell r="O11">
            <v>4</v>
          </cell>
          <cell r="P11">
            <v>120000</v>
          </cell>
          <cell r="Q11" t="str">
            <v>李燕龙</v>
          </cell>
          <cell r="S11" t="str">
            <v>委外</v>
          </cell>
          <cell r="T11">
            <v>0.39</v>
          </cell>
        </row>
        <row r="12">
          <cell r="C12" t="str">
            <v>SLT0011223</v>
          </cell>
          <cell r="D12" t="str">
            <v>座垫支撑电泳总成</v>
          </cell>
          <cell r="F12" t="str">
            <v>EA</v>
          </cell>
          <cell r="H12" t="str">
            <v>分总成</v>
          </cell>
          <cell r="I12" t="str">
            <v>ASSY</v>
          </cell>
          <cell r="J12" t="str">
            <v>电泳</v>
          </cell>
          <cell r="K12" t="str">
            <v>新开</v>
          </cell>
          <cell r="L12" t="str">
            <v>河北外购</v>
          </cell>
          <cell r="M12" t="str">
            <v>刘志富</v>
          </cell>
          <cell r="N12" t="str">
            <v>海兴中盛/黄骅振兴/黄骅宏达（原名盛荣）</v>
          </cell>
          <cell r="O12">
            <v>1</v>
          </cell>
          <cell r="P12">
            <v>30000</v>
          </cell>
          <cell r="Q12" t="str">
            <v>李燕龙</v>
          </cell>
          <cell r="S12" t="str">
            <v>委外</v>
          </cell>
          <cell r="T12">
            <v>20.180599999999998</v>
          </cell>
        </row>
        <row r="13">
          <cell r="C13" t="str">
            <v>SLT0011225</v>
          </cell>
          <cell r="D13" t="str">
            <v>座垫支撑电泳总成</v>
          </cell>
          <cell r="F13" t="str">
            <v>EA</v>
          </cell>
          <cell r="H13" t="str">
            <v>分总成</v>
          </cell>
          <cell r="I13" t="str">
            <v>ASSY</v>
          </cell>
          <cell r="J13" t="str">
            <v>电泳</v>
          </cell>
          <cell r="K13" t="str">
            <v>新开</v>
          </cell>
          <cell r="L13" t="str">
            <v>河北外购</v>
          </cell>
          <cell r="M13" t="str">
            <v>刘志富</v>
          </cell>
          <cell r="N13" t="str">
            <v>海兴中盛/黄骅振兴/黄骅宏达（原名盛荣）</v>
          </cell>
          <cell r="O13">
            <v>1</v>
          </cell>
          <cell r="P13">
            <v>30000</v>
          </cell>
          <cell r="Q13" t="str">
            <v>李燕龙</v>
          </cell>
          <cell r="S13" t="str">
            <v>委外</v>
          </cell>
          <cell r="T13">
            <v>16.521000000000001</v>
          </cell>
        </row>
        <row r="14">
          <cell r="C14" t="str">
            <v>SLT0010880</v>
          </cell>
          <cell r="D14" t="str">
            <v>靠背下横管焊接总成</v>
          </cell>
          <cell r="F14" t="str">
            <v>EA</v>
          </cell>
          <cell r="H14" t="str">
            <v>分总成</v>
          </cell>
          <cell r="I14" t="str">
            <v>ASSY</v>
          </cell>
          <cell r="K14" t="str">
            <v>新开</v>
          </cell>
          <cell r="L14" t="str">
            <v>河北外购</v>
          </cell>
          <cell r="M14" t="str">
            <v>刘志富</v>
          </cell>
          <cell r="N14" t="str">
            <v>海兴中盛/黄骅振兴/黄骅宏达（原名盛荣）</v>
          </cell>
          <cell r="O14">
            <v>1</v>
          </cell>
          <cell r="P14">
            <v>30000</v>
          </cell>
          <cell r="Q14" t="str">
            <v>李燕龙</v>
          </cell>
          <cell r="R14" t="str">
            <v>2022.03.24增加</v>
          </cell>
          <cell r="S14" t="str">
            <v>委外</v>
          </cell>
          <cell r="T14">
            <v>4.305250944</v>
          </cell>
        </row>
        <row r="15">
          <cell r="C15" t="str">
            <v>SLT0010922</v>
          </cell>
          <cell r="D15" t="str">
            <v>二级调节右侧上连接板电泳总成</v>
          </cell>
          <cell r="F15" t="str">
            <v>EA</v>
          </cell>
          <cell r="H15" t="str">
            <v>分总成</v>
          </cell>
          <cell r="I15" t="str">
            <v>ASSY</v>
          </cell>
          <cell r="J15" t="str">
            <v>电泳</v>
          </cell>
          <cell r="K15" t="str">
            <v>新开</v>
          </cell>
          <cell r="L15" t="str">
            <v>河北自制</v>
          </cell>
          <cell r="M15" t="str">
            <v>刘志富</v>
          </cell>
          <cell r="O15">
            <v>1</v>
          </cell>
          <cell r="P15">
            <v>30000</v>
          </cell>
          <cell r="Q15" t="str">
            <v>李燕龙</v>
          </cell>
          <cell r="R15" t="str">
            <v>2022.03.24增加</v>
          </cell>
          <cell r="S15" t="str">
            <v>自制</v>
          </cell>
        </row>
        <row r="16">
          <cell r="C16" t="str">
            <v>SLT0010906</v>
          </cell>
          <cell r="D16" t="str">
            <v>二级调节上连接板RH</v>
          </cell>
          <cell r="F16" t="str">
            <v>EA</v>
          </cell>
          <cell r="I16" t="str">
            <v>QSTE500TM，t=2.5</v>
          </cell>
          <cell r="K16" t="str">
            <v>新开</v>
          </cell>
          <cell r="L16" t="str">
            <v>河北自制</v>
          </cell>
          <cell r="M16" t="str">
            <v>刘志富</v>
          </cell>
          <cell r="N16" t="str">
            <v>桥行/苏州荣威/天津京兆</v>
          </cell>
          <cell r="O16">
            <v>1</v>
          </cell>
          <cell r="P16">
            <v>30000</v>
          </cell>
          <cell r="S16" t="str">
            <v>模具委外</v>
          </cell>
        </row>
        <row r="17">
          <cell r="C17" t="str">
            <v>SLT0010909</v>
          </cell>
          <cell r="D17" t="str">
            <v>扶手固定板</v>
          </cell>
          <cell r="F17" t="str">
            <v>EA</v>
          </cell>
          <cell r="I17" t="str">
            <v>SPFH590 ,t=3.0</v>
          </cell>
          <cell r="K17" t="str">
            <v>新开</v>
          </cell>
          <cell r="L17" t="str">
            <v>河北自制</v>
          </cell>
          <cell r="M17" t="str">
            <v>刘志富</v>
          </cell>
          <cell r="N17" t="str">
            <v>桥行/苏州荣威/天津京兆</v>
          </cell>
          <cell r="O17">
            <v>1</v>
          </cell>
          <cell r="P17">
            <v>30000</v>
          </cell>
          <cell r="S17" t="str">
            <v>模具委外</v>
          </cell>
        </row>
        <row r="18">
          <cell r="C18" t="str">
            <v>BFA0000518</v>
          </cell>
          <cell r="D18" t="str">
            <v>焊接方螺母</v>
          </cell>
          <cell r="E18" t="str">
            <v>M8</v>
          </cell>
          <cell r="F18" t="str">
            <v>EA</v>
          </cell>
          <cell r="K18" t="str">
            <v>借用</v>
          </cell>
          <cell r="L18" t="str">
            <v>河北外购</v>
          </cell>
          <cell r="M18" t="str">
            <v>刘志富</v>
          </cell>
          <cell r="O18">
            <v>2</v>
          </cell>
          <cell r="P18">
            <v>60000</v>
          </cell>
          <cell r="S18" t="str">
            <v>委外</v>
          </cell>
        </row>
        <row r="19">
          <cell r="C19" t="str">
            <v>SLT0010907</v>
          </cell>
          <cell r="D19" t="str">
            <v>座椅靠背调节限位柱B</v>
          </cell>
          <cell r="E19" t="str">
            <v>Q235 Ø8</v>
          </cell>
          <cell r="K19" t="str">
            <v>新开</v>
          </cell>
          <cell r="L19" t="str">
            <v>河北外购</v>
          </cell>
          <cell r="M19" t="str">
            <v>刘志富</v>
          </cell>
          <cell r="N19" t="str">
            <v>兴岳/旭兴/政锦</v>
          </cell>
          <cell r="O19">
            <v>1</v>
          </cell>
          <cell r="P19">
            <v>30000</v>
          </cell>
          <cell r="S19" t="str">
            <v>委外</v>
          </cell>
          <cell r="T19">
            <v>0.15</v>
          </cell>
        </row>
        <row r="20">
          <cell r="C20" t="str">
            <v>SLT0010915</v>
          </cell>
          <cell r="D20" t="str">
            <v>背板支撑板小总成A</v>
          </cell>
          <cell r="E20" t="str">
            <v>分总成，支撑背板用</v>
          </cell>
          <cell r="F20" t="str">
            <v>EA</v>
          </cell>
          <cell r="H20" t="str">
            <v>分总成</v>
          </cell>
          <cell r="I20" t="str">
            <v>ASSY</v>
          </cell>
          <cell r="K20" t="str">
            <v>新开</v>
          </cell>
          <cell r="L20" t="str">
            <v>河北外购</v>
          </cell>
          <cell r="M20" t="str">
            <v>刘志富</v>
          </cell>
          <cell r="N20" t="str">
            <v>文安恒德，航天宏达，沧州智凯，成卓，鑫昌</v>
          </cell>
          <cell r="O20">
            <v>1</v>
          </cell>
          <cell r="P20">
            <v>30000</v>
          </cell>
          <cell r="Q20" t="str">
            <v>李燕龙</v>
          </cell>
          <cell r="R20" t="str">
            <v>2022.03.24增加</v>
          </cell>
          <cell r="S20" t="str">
            <v>自制</v>
          </cell>
        </row>
        <row r="21">
          <cell r="C21" t="str">
            <v>SLT0011003</v>
          </cell>
          <cell r="D21" t="str">
            <v>背板支撑板A</v>
          </cell>
          <cell r="F21" t="str">
            <v>EA</v>
          </cell>
          <cell r="I21" t="str">
            <v>QStE420TM 2.0</v>
          </cell>
          <cell r="K21" t="str">
            <v>新开</v>
          </cell>
          <cell r="L21" t="str">
            <v>河北外购</v>
          </cell>
          <cell r="M21" t="str">
            <v>刘志富</v>
          </cell>
          <cell r="N21" t="str">
            <v>桥行/苏州荣威/天津京兆</v>
          </cell>
          <cell r="O21">
            <v>1</v>
          </cell>
          <cell r="P21">
            <v>30000</v>
          </cell>
          <cell r="S21" t="str">
            <v>模具委外</v>
          </cell>
        </row>
        <row r="22">
          <cell r="C22" t="str">
            <v>BFA0000316</v>
          </cell>
          <cell r="D22" t="str">
            <v>焊接方螺母</v>
          </cell>
          <cell r="F22" t="str">
            <v>EA</v>
          </cell>
          <cell r="I22" t="str">
            <v xml:space="preserve">  M6</v>
          </cell>
          <cell r="K22" t="str">
            <v>借用</v>
          </cell>
          <cell r="L22" t="str">
            <v>河北外购</v>
          </cell>
          <cell r="M22" t="str">
            <v>刘志富</v>
          </cell>
          <cell r="O22">
            <v>1</v>
          </cell>
          <cell r="P22">
            <v>30000</v>
          </cell>
          <cell r="S22" t="str">
            <v>委外</v>
          </cell>
        </row>
        <row r="23">
          <cell r="C23" t="str">
            <v>SLT0010916</v>
          </cell>
          <cell r="D23" t="str">
            <v>背板支撑板小总成B</v>
          </cell>
          <cell r="E23" t="str">
            <v>分总成，支撑背板用</v>
          </cell>
          <cell r="F23" t="str">
            <v>EA</v>
          </cell>
          <cell r="H23" t="str">
            <v>分总成</v>
          </cell>
          <cell r="I23" t="str">
            <v>ASSY</v>
          </cell>
          <cell r="K23" t="str">
            <v>新开</v>
          </cell>
          <cell r="L23" t="str">
            <v>河北外购</v>
          </cell>
          <cell r="M23" t="str">
            <v>刘志富</v>
          </cell>
          <cell r="N23" t="str">
            <v>文安恒德，航天宏达，沧州智凯，成卓，鑫昌</v>
          </cell>
          <cell r="O23">
            <v>1</v>
          </cell>
          <cell r="P23">
            <v>30000</v>
          </cell>
          <cell r="Q23" t="str">
            <v>李燕龙</v>
          </cell>
          <cell r="R23" t="str">
            <v>2022.03.24增加</v>
          </cell>
          <cell r="S23" t="str">
            <v>自制</v>
          </cell>
        </row>
        <row r="24">
          <cell r="C24" t="str">
            <v>SLT0011004</v>
          </cell>
          <cell r="D24" t="str">
            <v>背板支撑板B</v>
          </cell>
          <cell r="I24" t="str">
            <v>QStE420TM 2.0</v>
          </cell>
          <cell r="K24" t="str">
            <v>新开</v>
          </cell>
          <cell r="L24" t="str">
            <v>河北外购</v>
          </cell>
          <cell r="M24" t="str">
            <v>刘志富</v>
          </cell>
          <cell r="N24" t="str">
            <v>桥行/苏州荣威/天津京兆</v>
          </cell>
          <cell r="O24">
            <v>1</v>
          </cell>
          <cell r="P24">
            <v>30000</v>
          </cell>
          <cell r="S24" t="str">
            <v>模具委外</v>
          </cell>
        </row>
        <row r="25">
          <cell r="C25" t="str">
            <v>BFA0000316</v>
          </cell>
          <cell r="D25" t="str">
            <v>焊接方螺母</v>
          </cell>
          <cell r="F25" t="str">
            <v>EA</v>
          </cell>
          <cell r="I25" t="str">
            <v xml:space="preserve">  M6</v>
          </cell>
          <cell r="K25" t="str">
            <v>借用</v>
          </cell>
          <cell r="L25" t="str">
            <v>河北外购</v>
          </cell>
          <cell r="M25" t="str">
            <v>刘志富</v>
          </cell>
          <cell r="O25">
            <v>1</v>
          </cell>
          <cell r="P25">
            <v>30000</v>
          </cell>
          <cell r="S25" t="str">
            <v>委外</v>
          </cell>
        </row>
        <row r="26">
          <cell r="C26" t="str">
            <v>SLT0010917</v>
          </cell>
          <cell r="D26" t="str">
            <v>背板支撑板小总成C</v>
          </cell>
          <cell r="E26" t="str">
            <v>分总成，支撑背板用</v>
          </cell>
          <cell r="F26" t="str">
            <v>EA</v>
          </cell>
          <cell r="H26" t="str">
            <v>分总成</v>
          </cell>
          <cell r="I26" t="str">
            <v>ASSY</v>
          </cell>
          <cell r="K26" t="str">
            <v>新开</v>
          </cell>
          <cell r="L26" t="str">
            <v>河北外购</v>
          </cell>
          <cell r="M26" t="str">
            <v>刘志富</v>
          </cell>
          <cell r="N26" t="str">
            <v>文安恒德，航天宏达，沧州智凯，成卓，鑫昌</v>
          </cell>
          <cell r="O26">
            <v>1</v>
          </cell>
          <cell r="P26">
            <v>30000</v>
          </cell>
          <cell r="Q26" t="str">
            <v>李燕龙</v>
          </cell>
          <cell r="R26" t="str">
            <v>2022.03.24增加</v>
          </cell>
          <cell r="S26" t="str">
            <v>自制</v>
          </cell>
        </row>
        <row r="27">
          <cell r="C27" t="str">
            <v>SLT0011005</v>
          </cell>
          <cell r="D27" t="str">
            <v>背板支撑板C</v>
          </cell>
          <cell r="F27" t="str">
            <v>EA</v>
          </cell>
          <cell r="K27" t="str">
            <v>新开</v>
          </cell>
          <cell r="L27" t="str">
            <v>河北外购</v>
          </cell>
          <cell r="M27" t="str">
            <v>刘志富</v>
          </cell>
          <cell r="N27" t="str">
            <v>桥行/苏州荣威/天津京兆</v>
          </cell>
          <cell r="O27">
            <v>1</v>
          </cell>
          <cell r="P27">
            <v>30000</v>
          </cell>
          <cell r="S27" t="str">
            <v>模具委外</v>
          </cell>
        </row>
        <row r="28">
          <cell r="C28" t="str">
            <v>BFA0000316</v>
          </cell>
          <cell r="D28" t="str">
            <v>焊接方螺母</v>
          </cell>
          <cell r="F28" t="str">
            <v>EA</v>
          </cell>
          <cell r="K28" t="str">
            <v>借用</v>
          </cell>
          <cell r="L28" t="str">
            <v>河北外购</v>
          </cell>
          <cell r="M28" t="str">
            <v>刘志富</v>
          </cell>
          <cell r="O28">
            <v>1</v>
          </cell>
          <cell r="P28">
            <v>30000</v>
          </cell>
          <cell r="S28" t="str">
            <v>委外</v>
          </cell>
        </row>
        <row r="29">
          <cell r="C29" t="str">
            <v>SLT0010918</v>
          </cell>
          <cell r="D29" t="str">
            <v>背板支撑板小总成D</v>
          </cell>
          <cell r="E29" t="str">
            <v>分总成，支撑背板用</v>
          </cell>
          <cell r="F29" t="str">
            <v>EA</v>
          </cell>
          <cell r="H29" t="str">
            <v>分总成</v>
          </cell>
          <cell r="I29" t="str">
            <v>ASSY</v>
          </cell>
          <cell r="K29" t="str">
            <v>新开</v>
          </cell>
          <cell r="L29" t="str">
            <v>河北外购</v>
          </cell>
          <cell r="M29" t="str">
            <v>刘志富</v>
          </cell>
          <cell r="O29">
            <v>1</v>
          </cell>
          <cell r="P29">
            <v>30000</v>
          </cell>
          <cell r="Q29" t="str">
            <v>李燕龙</v>
          </cell>
          <cell r="R29" t="str">
            <v>2022.03.24增加</v>
          </cell>
          <cell r="S29" t="str">
            <v>自制</v>
          </cell>
        </row>
        <row r="30">
          <cell r="C30" t="str">
            <v>SLT0011006</v>
          </cell>
          <cell r="D30" t="str">
            <v>背板支撑板D</v>
          </cell>
          <cell r="E30" t="str">
            <v>新开</v>
          </cell>
          <cell r="F30" t="str">
            <v>EA</v>
          </cell>
          <cell r="K30" t="str">
            <v>新开</v>
          </cell>
          <cell r="L30" t="str">
            <v>河北外购</v>
          </cell>
          <cell r="M30" t="str">
            <v>刘志富</v>
          </cell>
          <cell r="N30" t="str">
            <v>桥行/苏州荣威/天津京兆</v>
          </cell>
          <cell r="P30">
            <v>0</v>
          </cell>
          <cell r="S30" t="str">
            <v>模具委外</v>
          </cell>
        </row>
        <row r="31">
          <cell r="C31" t="str">
            <v>BFA0000316</v>
          </cell>
          <cell r="D31" t="str">
            <v>焊接方螺母</v>
          </cell>
          <cell r="F31" t="str">
            <v>EA</v>
          </cell>
          <cell r="K31" t="str">
            <v>借用</v>
          </cell>
          <cell r="L31" t="str">
            <v>河北外购</v>
          </cell>
          <cell r="M31" t="str">
            <v>刘志富</v>
          </cell>
          <cell r="P31">
            <v>0</v>
          </cell>
          <cell r="S31" t="str">
            <v>委外</v>
          </cell>
        </row>
        <row r="32">
          <cell r="C32" t="str">
            <v>SLT0010920</v>
          </cell>
          <cell r="D32" t="str">
            <v>肩部前支撑钢丝</v>
          </cell>
          <cell r="F32" t="str">
            <v>EA</v>
          </cell>
          <cell r="H32" t="str">
            <v>钢丝</v>
          </cell>
          <cell r="I32" t="str">
            <v>Q235  φ6</v>
          </cell>
          <cell r="K32" t="str">
            <v>新开</v>
          </cell>
          <cell r="L32" t="str">
            <v>河北外购</v>
          </cell>
          <cell r="M32" t="str">
            <v>刘志富</v>
          </cell>
          <cell r="N32" t="str">
            <v>海兴中盛/黄骅振兴/黄骅宏达（原名盛荣）</v>
          </cell>
          <cell r="O32">
            <v>2</v>
          </cell>
          <cell r="P32">
            <v>60000</v>
          </cell>
          <cell r="Q32" t="str">
            <v>李燕龙</v>
          </cell>
          <cell r="R32" t="str">
            <v>2022.03.24增加</v>
          </cell>
          <cell r="S32" t="str">
            <v>委外</v>
          </cell>
          <cell r="T32">
            <v>1.5648</v>
          </cell>
        </row>
        <row r="33">
          <cell r="C33" t="str">
            <v>SLT0010882</v>
          </cell>
          <cell r="D33" t="str">
            <v>主驾靠背侧翼支撑钢丝</v>
          </cell>
          <cell r="F33" t="str">
            <v>EA</v>
          </cell>
          <cell r="H33" t="str">
            <v>钢丝</v>
          </cell>
          <cell r="I33" t="str">
            <v>Q235  φ7</v>
          </cell>
          <cell r="K33" t="str">
            <v>新开</v>
          </cell>
          <cell r="L33" t="str">
            <v>河北外购</v>
          </cell>
          <cell r="M33" t="str">
            <v>刘志富</v>
          </cell>
          <cell r="N33" t="str">
            <v>海兴中盛/黄骅振兴/黄骅宏达（原名盛荣）</v>
          </cell>
          <cell r="O33">
            <v>2</v>
          </cell>
          <cell r="P33">
            <v>60000</v>
          </cell>
          <cell r="Q33" t="str">
            <v>李燕龙</v>
          </cell>
          <cell r="R33" t="str">
            <v>2022.03.24增加</v>
          </cell>
          <cell r="S33" t="str">
            <v>委外</v>
          </cell>
          <cell r="T33">
            <v>0.68</v>
          </cell>
        </row>
        <row r="34">
          <cell r="C34" t="str">
            <v>SLT0010885</v>
          </cell>
          <cell r="D34" t="str">
            <v>主驾背板支撑钢丝A</v>
          </cell>
          <cell r="F34" t="str">
            <v>EA</v>
          </cell>
          <cell r="H34" t="str">
            <v>钢丝</v>
          </cell>
          <cell r="I34" t="str">
            <v>Q235  φ5</v>
          </cell>
          <cell r="K34" t="str">
            <v>新开</v>
          </cell>
          <cell r="L34" t="str">
            <v>河北外购</v>
          </cell>
          <cell r="M34" t="str">
            <v>刘志富</v>
          </cell>
          <cell r="N34" t="str">
            <v>海兴中盛/黄骅振兴/黄骅宏达（原名盛荣）</v>
          </cell>
          <cell r="O34">
            <v>3</v>
          </cell>
          <cell r="P34">
            <v>90000</v>
          </cell>
          <cell r="Q34" t="str">
            <v>李燕龙</v>
          </cell>
          <cell r="R34" t="str">
            <v>2022.03.24增加</v>
          </cell>
          <cell r="S34" t="str">
            <v>委外</v>
          </cell>
          <cell r="T34">
            <v>0.504</v>
          </cell>
        </row>
        <row r="35">
          <cell r="C35" t="str">
            <v>SLT0010921</v>
          </cell>
          <cell r="D35" t="str">
            <v>肩部后支撑钢丝</v>
          </cell>
          <cell r="F35" t="str">
            <v>EA</v>
          </cell>
          <cell r="H35" t="str">
            <v>钢丝</v>
          </cell>
          <cell r="I35" t="str">
            <v>Q235  φ6</v>
          </cell>
          <cell r="K35" t="str">
            <v>新开</v>
          </cell>
          <cell r="L35" t="str">
            <v>河北外购</v>
          </cell>
          <cell r="M35" t="str">
            <v>刘志富</v>
          </cell>
          <cell r="N35" t="str">
            <v>海兴中盛/黄骅振兴/黄骅宏达（原名盛荣）</v>
          </cell>
          <cell r="O35">
            <v>2</v>
          </cell>
          <cell r="P35">
            <v>60000</v>
          </cell>
          <cell r="Q35" t="str">
            <v>李燕龙</v>
          </cell>
          <cell r="R35" t="str">
            <v>2022.03.24增加</v>
          </cell>
          <cell r="S35" t="str">
            <v>委外</v>
          </cell>
          <cell r="T35">
            <v>1.296</v>
          </cell>
        </row>
        <row r="36">
          <cell r="C36" t="str">
            <v>SLT0010997</v>
          </cell>
          <cell r="D36" t="str">
            <v>风机固定钢丝A</v>
          </cell>
          <cell r="F36" t="str">
            <v>EA</v>
          </cell>
          <cell r="H36" t="str">
            <v>钢丝</v>
          </cell>
          <cell r="I36" t="str">
            <v>Q235  φ5</v>
          </cell>
          <cell r="K36" t="str">
            <v>新开</v>
          </cell>
          <cell r="L36" t="str">
            <v>河北外购</v>
          </cell>
          <cell r="M36" t="str">
            <v>刘志富</v>
          </cell>
          <cell r="N36" t="str">
            <v>海兴中盛/黄骅振兴/黄骅宏达（原名盛荣）</v>
          </cell>
          <cell r="O36">
            <v>1</v>
          </cell>
          <cell r="P36">
            <v>30000</v>
          </cell>
          <cell r="Q36" t="str">
            <v>李燕龙</v>
          </cell>
          <cell r="R36" t="str">
            <v>2022.03.24增加</v>
          </cell>
          <cell r="S36" t="str">
            <v>委外</v>
          </cell>
          <cell r="T36">
            <v>0.315</v>
          </cell>
        </row>
        <row r="37">
          <cell r="C37" t="str">
            <v>SLT0010998</v>
          </cell>
          <cell r="D37" t="str">
            <v>风机固定钢丝B</v>
          </cell>
          <cell r="F37" t="str">
            <v>EA</v>
          </cell>
          <cell r="H37" t="str">
            <v>钢丝</v>
          </cell>
          <cell r="I37" t="str">
            <v>Q235  φ5</v>
          </cell>
          <cell r="K37" t="str">
            <v>新开</v>
          </cell>
          <cell r="L37" t="str">
            <v>河北外购</v>
          </cell>
          <cell r="M37" t="str">
            <v>刘志富</v>
          </cell>
          <cell r="N37" t="str">
            <v>海兴中盛/黄骅振兴/黄骅宏达（原名盛荣）</v>
          </cell>
          <cell r="O37">
            <v>1</v>
          </cell>
          <cell r="P37">
            <v>30000</v>
          </cell>
          <cell r="Q37" t="str">
            <v>李燕龙</v>
          </cell>
          <cell r="R37" t="str">
            <v>2022.03.24增加</v>
          </cell>
          <cell r="S37" t="str">
            <v>委外</v>
          </cell>
          <cell r="T37">
            <v>0.315</v>
          </cell>
        </row>
        <row r="38">
          <cell r="C38" t="str">
            <v>SLT0010884</v>
          </cell>
          <cell r="D38" t="str">
            <v>通风加热控制器固定钣金</v>
          </cell>
          <cell r="F38" t="str">
            <v>EA</v>
          </cell>
          <cell r="H38" t="str">
            <v>钣金件</v>
          </cell>
          <cell r="I38" t="str">
            <v>Q235 2.0</v>
          </cell>
          <cell r="K38" t="str">
            <v>新开</v>
          </cell>
          <cell r="L38" t="str">
            <v>河北外购</v>
          </cell>
          <cell r="M38" t="str">
            <v>刘志富</v>
          </cell>
          <cell r="N38" t="str">
            <v>桥行/苏州荣威/天津京兆</v>
          </cell>
          <cell r="O38">
            <v>2</v>
          </cell>
          <cell r="P38">
            <v>60000</v>
          </cell>
          <cell r="Q38" t="str">
            <v>李燕龙</v>
          </cell>
          <cell r="R38" t="str">
            <v>2022.03.24增加</v>
          </cell>
          <cell r="S38" t="str">
            <v>模具委外</v>
          </cell>
        </row>
        <row r="39">
          <cell r="C39" t="str">
            <v>SLT0010887</v>
          </cell>
          <cell r="D39" t="str">
            <v>面套卡接钢丝</v>
          </cell>
          <cell r="F39" t="str">
            <v>EA</v>
          </cell>
          <cell r="H39" t="str">
            <v>钢丝</v>
          </cell>
          <cell r="I39" t="str">
            <v>Q235  φ5</v>
          </cell>
          <cell r="K39" t="str">
            <v>新开</v>
          </cell>
          <cell r="L39" t="str">
            <v>河北外购</v>
          </cell>
          <cell r="M39" t="str">
            <v>刘志富</v>
          </cell>
          <cell r="N39" t="str">
            <v>海兴中盛/黄骅振兴/黄骅宏达（原名盛荣）</v>
          </cell>
          <cell r="O39">
            <v>1</v>
          </cell>
          <cell r="P39">
            <v>30000</v>
          </cell>
          <cell r="Q39" t="str">
            <v>李燕龙</v>
          </cell>
          <cell r="R39" t="str">
            <v>2022.03.24增加</v>
          </cell>
          <cell r="S39" t="str">
            <v>委外</v>
          </cell>
          <cell r="T39">
            <v>0.44800000000000001</v>
          </cell>
        </row>
        <row r="40">
          <cell r="C40" t="str">
            <v>Q40112</v>
          </cell>
          <cell r="D40" t="str">
            <v>平垫圈</v>
          </cell>
          <cell r="F40" t="str">
            <v>EA</v>
          </cell>
          <cell r="H40" t="str">
            <v>标准件</v>
          </cell>
          <cell r="I40" t="str">
            <v>Q235 2.5T</v>
          </cell>
          <cell r="K40" t="str">
            <v>新开</v>
          </cell>
          <cell r="L40" t="str">
            <v>河北外购</v>
          </cell>
          <cell r="M40" t="str">
            <v>刘志富</v>
          </cell>
          <cell r="N40" t="str">
            <v>常州上锐、北京三浦</v>
          </cell>
          <cell r="O40">
            <v>1</v>
          </cell>
          <cell r="P40">
            <v>30000</v>
          </cell>
          <cell r="Q40" t="str">
            <v>李燕龙</v>
          </cell>
          <cell r="R40" t="str">
            <v>2022.03.24增加</v>
          </cell>
          <cell r="S40" t="str">
            <v>委外</v>
          </cell>
          <cell r="T40">
            <v>0.11</v>
          </cell>
        </row>
        <row r="41">
          <cell r="C41" t="str">
            <v>SLT0010889</v>
          </cell>
          <cell r="D41" t="str">
            <v>靠背锁付阶梯螺栓</v>
          </cell>
          <cell r="F41" t="str">
            <v>EA</v>
          </cell>
          <cell r="H41" t="str">
            <v>非标件</v>
          </cell>
          <cell r="I41" t="str">
            <v>45# M8</v>
          </cell>
          <cell r="K41" t="str">
            <v>新开</v>
          </cell>
          <cell r="L41" t="str">
            <v>河北外购</v>
          </cell>
          <cell r="M41" t="str">
            <v>刘志富</v>
          </cell>
          <cell r="N41" t="str">
            <v>旭兴/兴岳/霸州政锦</v>
          </cell>
          <cell r="O41">
            <v>1</v>
          </cell>
          <cell r="P41">
            <v>30000</v>
          </cell>
          <cell r="Q41" t="str">
            <v>李燕龙</v>
          </cell>
          <cell r="R41" t="str">
            <v>修改规格型号</v>
          </cell>
          <cell r="S41" t="str">
            <v>委外</v>
          </cell>
          <cell r="T41">
            <v>0.44</v>
          </cell>
        </row>
        <row r="42">
          <cell r="C42" t="str">
            <v>SLT0011258</v>
          </cell>
          <cell r="D42" t="str">
            <v>侧翼支撑钢丝焊接总成</v>
          </cell>
          <cell r="F42" t="str">
            <v>EA</v>
          </cell>
          <cell r="H42" t="str">
            <v>分总成</v>
          </cell>
          <cell r="I42" t="str">
            <v>ASSY</v>
          </cell>
          <cell r="K42" t="str">
            <v>新开</v>
          </cell>
          <cell r="L42" t="str">
            <v>河北外购</v>
          </cell>
          <cell r="M42" t="str">
            <v>刘志富</v>
          </cell>
          <cell r="N42" t="str">
            <v>海兴中盛/黄骅振兴/黄骅宏达（原名盛荣）</v>
          </cell>
          <cell r="O42">
            <v>2</v>
          </cell>
          <cell r="P42">
            <v>60000</v>
          </cell>
          <cell r="Q42" t="str">
            <v>李燕龙</v>
          </cell>
          <cell r="R42" t="str">
            <v>2022.03.24增加</v>
          </cell>
          <cell r="S42" t="str">
            <v>委外</v>
          </cell>
          <cell r="T42">
            <v>1.45</v>
          </cell>
        </row>
        <row r="43">
          <cell r="C43" t="str">
            <v>SLT0011259</v>
          </cell>
          <cell r="D43" t="str">
            <v>腰托支撑钢丝</v>
          </cell>
          <cell r="F43" t="str">
            <v>EA</v>
          </cell>
          <cell r="H43" t="str">
            <v>钢丝</v>
          </cell>
          <cell r="I43" t="str">
            <v>Q235  φ6</v>
          </cell>
          <cell r="K43" t="str">
            <v>新开</v>
          </cell>
          <cell r="L43" t="str">
            <v>河北外购</v>
          </cell>
          <cell r="M43" t="str">
            <v>刘志富</v>
          </cell>
          <cell r="N43" t="str">
            <v>海兴中盛/黄骅振兴/黄骅宏达（原名盛荣）</v>
          </cell>
          <cell r="O43">
            <v>2</v>
          </cell>
          <cell r="P43">
            <v>60000</v>
          </cell>
          <cell r="Q43" t="str">
            <v>李燕龙</v>
          </cell>
          <cell r="R43" t="str">
            <v>2022.03.24增加</v>
          </cell>
          <cell r="S43" t="str">
            <v>委外</v>
          </cell>
          <cell r="T43">
            <v>0.65</v>
          </cell>
        </row>
        <row r="44">
          <cell r="C44" t="str">
            <v>SLT0011289</v>
          </cell>
          <cell r="D44" t="str">
            <v>座垫骨架电泳总成</v>
          </cell>
          <cell r="F44" t="str">
            <v>EA</v>
          </cell>
          <cell r="H44" t="str">
            <v>分总成</v>
          </cell>
          <cell r="I44" t="str">
            <v>ASSY</v>
          </cell>
          <cell r="J44" t="str">
            <v>电泳</v>
          </cell>
          <cell r="K44" t="str">
            <v>新开</v>
          </cell>
          <cell r="L44" t="str">
            <v>河北外购</v>
          </cell>
          <cell r="M44" t="str">
            <v>刘志富</v>
          </cell>
          <cell r="N44" t="str">
            <v>海兴中盛/黄骅振兴/黄骅宏达（原名盛荣）</v>
          </cell>
          <cell r="O44">
            <v>1</v>
          </cell>
          <cell r="P44">
            <v>30000</v>
          </cell>
          <cell r="Q44" t="str">
            <v>李燕龙</v>
          </cell>
          <cell r="R44" t="str">
            <v>2022.03.24增加</v>
          </cell>
          <cell r="S44" t="str">
            <v>委外</v>
          </cell>
          <cell r="T44">
            <v>26.62</v>
          </cell>
        </row>
        <row r="45">
          <cell r="C45" t="str">
            <v>SLT0011308</v>
          </cell>
          <cell r="D45" t="str">
            <v>安全上挂钩</v>
          </cell>
          <cell r="F45" t="str">
            <v>EA</v>
          </cell>
          <cell r="H45" t="str">
            <v>钣金件</v>
          </cell>
          <cell r="I45" t="str">
            <v>SPFH590 3.0</v>
          </cell>
          <cell r="K45" t="str">
            <v>新开</v>
          </cell>
          <cell r="L45" t="str">
            <v>河北外购</v>
          </cell>
          <cell r="M45" t="str">
            <v>刘志富</v>
          </cell>
          <cell r="N45" t="str">
            <v>桥行/苏州荣威/天津京兆</v>
          </cell>
          <cell r="O45">
            <v>1</v>
          </cell>
          <cell r="P45">
            <v>30000</v>
          </cell>
          <cell r="Q45" t="str">
            <v>李燕龙</v>
          </cell>
          <cell r="R45" t="str">
            <v>2022.03.24增加</v>
          </cell>
          <cell r="S45" t="str">
            <v>委外</v>
          </cell>
        </row>
        <row r="46">
          <cell r="C46" t="str">
            <v>SLT0011051</v>
          </cell>
          <cell r="D46" t="str">
            <v>固定板锁付螺纹套筒</v>
          </cell>
          <cell r="E46" t="str">
            <v>新开，锁付副驾靠背固定板</v>
          </cell>
          <cell r="F46" t="str">
            <v>EA</v>
          </cell>
          <cell r="H46" t="str">
            <v>非标件</v>
          </cell>
          <cell r="I46" t="str">
            <v>45#  M8</v>
          </cell>
          <cell r="K46" t="str">
            <v>新开</v>
          </cell>
          <cell r="L46" t="str">
            <v>河北外购</v>
          </cell>
          <cell r="M46" t="str">
            <v>刘志富</v>
          </cell>
          <cell r="N46" t="str">
            <v>旭兴/兴岳/霸州政锦</v>
          </cell>
          <cell r="O46">
            <v>1</v>
          </cell>
          <cell r="P46">
            <v>30000</v>
          </cell>
          <cell r="Q46" t="str">
            <v>李燕龙</v>
          </cell>
          <cell r="R46" t="str">
            <v>2022.03.24增加</v>
          </cell>
          <cell r="S46" t="str">
            <v>委外</v>
          </cell>
          <cell r="T46">
            <v>1.24</v>
          </cell>
        </row>
        <row r="47">
          <cell r="C47" t="str">
            <v>SLT0011221</v>
          </cell>
          <cell r="D47" t="str">
            <v>副驾靠背左固定板电泳总成</v>
          </cell>
          <cell r="E47" t="str">
            <v>新开，固定副驾靠背</v>
          </cell>
          <cell r="F47" t="str">
            <v>EA</v>
          </cell>
          <cell r="H47" t="str">
            <v>分总成</v>
          </cell>
          <cell r="I47" t="str">
            <v>ASSY</v>
          </cell>
          <cell r="J47" t="str">
            <v>电泳</v>
          </cell>
          <cell r="K47" t="str">
            <v>新开</v>
          </cell>
          <cell r="L47" t="str">
            <v>河北外购</v>
          </cell>
          <cell r="M47" t="str">
            <v>刘志富</v>
          </cell>
          <cell r="O47">
            <v>1</v>
          </cell>
          <cell r="P47">
            <v>30000</v>
          </cell>
          <cell r="Q47" t="str">
            <v>李燕龙</v>
          </cell>
          <cell r="R47" t="str">
            <v>2022.03.24增加</v>
          </cell>
          <cell r="S47" t="str">
            <v>自制</v>
          </cell>
        </row>
        <row r="48">
          <cell r="C48" t="str">
            <v>SLT0011029</v>
          </cell>
          <cell r="D48" t="str">
            <v>副驾靠背左固定板</v>
          </cell>
          <cell r="F48" t="str">
            <v>EA</v>
          </cell>
          <cell r="H48" t="str">
            <v>钣金件</v>
          </cell>
          <cell r="I48" t="str">
            <v>SPFH590 3.0</v>
          </cell>
          <cell r="K48" t="str">
            <v>新开</v>
          </cell>
          <cell r="L48" t="str">
            <v>河北外购</v>
          </cell>
          <cell r="M48" t="str">
            <v>刘志富</v>
          </cell>
          <cell r="N48" t="str">
            <v>桥行/苏州荣威/天津京兆</v>
          </cell>
          <cell r="O48">
            <v>1</v>
          </cell>
          <cell r="P48">
            <v>30000</v>
          </cell>
          <cell r="S48" t="str">
            <v>模具委外</v>
          </cell>
        </row>
        <row r="49">
          <cell r="C49" t="str">
            <v>321721801400</v>
          </cell>
          <cell r="D49" t="str">
            <v>中排独立软带轴承</v>
          </cell>
          <cell r="F49" t="str">
            <v>EA</v>
          </cell>
          <cell r="H49" t="str">
            <v>钣金件</v>
          </cell>
          <cell r="I49" t="str">
            <v>DC01 0.5</v>
          </cell>
          <cell r="K49" t="str">
            <v>借用</v>
          </cell>
          <cell r="L49" t="str">
            <v>河北外购</v>
          </cell>
          <cell r="M49" t="str">
            <v>刘志富</v>
          </cell>
          <cell r="O49">
            <v>1</v>
          </cell>
          <cell r="P49">
            <v>30000</v>
          </cell>
          <cell r="S49" t="str">
            <v>委外</v>
          </cell>
        </row>
        <row r="50">
          <cell r="C50" t="str">
            <v>SLT0011041</v>
          </cell>
          <cell r="D50" t="str">
            <v>副驾背板支撑钣金总成A</v>
          </cell>
          <cell r="F50" t="str">
            <v>EA</v>
          </cell>
          <cell r="H50" t="str">
            <v>分总成</v>
          </cell>
          <cell r="I50" t="str">
            <v>ASSY</v>
          </cell>
          <cell r="K50" t="str">
            <v>新开</v>
          </cell>
          <cell r="L50" t="str">
            <v>河北外购</v>
          </cell>
          <cell r="M50" t="str">
            <v>刘志富</v>
          </cell>
          <cell r="O50">
            <v>2</v>
          </cell>
          <cell r="P50">
            <v>60000</v>
          </cell>
          <cell r="Q50" t="str">
            <v>李燕龙</v>
          </cell>
          <cell r="R50" t="str">
            <v>2022.03.24增加</v>
          </cell>
          <cell r="S50" t="str">
            <v>自制</v>
          </cell>
        </row>
        <row r="51">
          <cell r="C51" t="str">
            <v>SLT0011042</v>
          </cell>
          <cell r="D51" t="str">
            <v>副驾背板支撑钣金A</v>
          </cell>
          <cell r="F51" t="str">
            <v>EA</v>
          </cell>
          <cell r="H51" t="str">
            <v>钣金件</v>
          </cell>
          <cell r="I51" t="str">
            <v>QStE420TM 2.0</v>
          </cell>
          <cell r="K51" t="str">
            <v>新开</v>
          </cell>
          <cell r="L51" t="str">
            <v>河北外购</v>
          </cell>
          <cell r="M51" t="str">
            <v>刘志富</v>
          </cell>
          <cell r="N51" t="str">
            <v>桥行/苏州荣威/天津京兆</v>
          </cell>
          <cell r="O51">
            <v>2</v>
          </cell>
          <cell r="P51">
            <v>60000</v>
          </cell>
          <cell r="S51" t="str">
            <v>模具委外</v>
          </cell>
        </row>
        <row r="52">
          <cell r="C52" t="str">
            <v>BFA0000316</v>
          </cell>
          <cell r="D52" t="str">
            <v>焊接方螺母</v>
          </cell>
          <cell r="F52" t="str">
            <v>EA</v>
          </cell>
          <cell r="H52" t="str">
            <v>标准件</v>
          </cell>
          <cell r="I52" t="str">
            <v xml:space="preserve"> M6</v>
          </cell>
          <cell r="K52" t="str">
            <v>借用</v>
          </cell>
          <cell r="L52" t="str">
            <v>河北外购</v>
          </cell>
          <cell r="M52" t="str">
            <v>刘志富</v>
          </cell>
          <cell r="O52">
            <v>2</v>
          </cell>
          <cell r="P52">
            <v>60000</v>
          </cell>
          <cell r="S52" t="str">
            <v>委外</v>
          </cell>
        </row>
        <row r="53">
          <cell r="C53" t="str">
            <v>SLT0011045</v>
          </cell>
          <cell r="D53" t="str">
            <v>副驾背板支撑钣金总成C</v>
          </cell>
          <cell r="F53" t="str">
            <v>EA</v>
          </cell>
          <cell r="H53" t="str">
            <v>分总成</v>
          </cell>
          <cell r="I53" t="str">
            <v>ASSY</v>
          </cell>
          <cell r="K53" t="str">
            <v>新开</v>
          </cell>
          <cell r="L53" t="str">
            <v>河北外购</v>
          </cell>
          <cell r="M53" t="str">
            <v>刘志富</v>
          </cell>
          <cell r="O53">
            <v>1</v>
          </cell>
          <cell r="P53">
            <v>30000</v>
          </cell>
          <cell r="Q53" t="str">
            <v>李燕龙</v>
          </cell>
          <cell r="R53" t="str">
            <v>2022.03.24增加</v>
          </cell>
          <cell r="S53" t="str">
            <v>自制</v>
          </cell>
        </row>
        <row r="54">
          <cell r="C54" t="str">
            <v>SLT0011046</v>
          </cell>
          <cell r="D54" t="str">
            <v>副驾背板支撑钣金C</v>
          </cell>
          <cell r="F54" t="str">
            <v>EA</v>
          </cell>
          <cell r="H54" t="str">
            <v>钣金件</v>
          </cell>
          <cell r="I54" t="str">
            <v>QStE420TM 2.0</v>
          </cell>
          <cell r="K54" t="str">
            <v>新开</v>
          </cell>
          <cell r="L54" t="str">
            <v>河北外购</v>
          </cell>
          <cell r="M54" t="str">
            <v>刘志富</v>
          </cell>
          <cell r="N54" t="str">
            <v>桥行/苏州荣威/天津京兆</v>
          </cell>
          <cell r="O54">
            <v>1</v>
          </cell>
          <cell r="P54">
            <v>30000</v>
          </cell>
          <cell r="S54" t="str">
            <v>模具委外</v>
          </cell>
        </row>
        <row r="55">
          <cell r="C55" t="str">
            <v>BFA0000316</v>
          </cell>
          <cell r="D55" t="str">
            <v>焊接方螺母</v>
          </cell>
          <cell r="F55" t="str">
            <v>EA</v>
          </cell>
          <cell r="H55" t="str">
            <v>标准件</v>
          </cell>
          <cell r="I55" t="str">
            <v xml:space="preserve"> M6</v>
          </cell>
          <cell r="K55" t="str">
            <v>借用</v>
          </cell>
          <cell r="L55" t="str">
            <v>河北外购</v>
          </cell>
          <cell r="M55" t="str">
            <v>刘志富</v>
          </cell>
          <cell r="O55">
            <v>1</v>
          </cell>
          <cell r="P55">
            <v>30000</v>
          </cell>
          <cell r="S55" t="str">
            <v>委外</v>
          </cell>
        </row>
        <row r="56">
          <cell r="C56" t="str">
            <v>SLT0011047</v>
          </cell>
          <cell r="D56" t="str">
            <v>副驾背板支撑钣金总成B</v>
          </cell>
          <cell r="F56" t="str">
            <v>EA</v>
          </cell>
          <cell r="H56" t="str">
            <v>分总成</v>
          </cell>
          <cell r="I56" t="str">
            <v>ASSY</v>
          </cell>
          <cell r="K56" t="str">
            <v>新开</v>
          </cell>
          <cell r="L56" t="str">
            <v>河北外购</v>
          </cell>
          <cell r="M56" t="str">
            <v>刘志富</v>
          </cell>
          <cell r="O56">
            <v>1</v>
          </cell>
          <cell r="P56">
            <v>30000</v>
          </cell>
          <cell r="Q56" t="str">
            <v>李燕龙</v>
          </cell>
          <cell r="R56" t="str">
            <v>2022.03.24增加</v>
          </cell>
          <cell r="S56" t="str">
            <v>自制</v>
          </cell>
        </row>
        <row r="57">
          <cell r="C57" t="str">
            <v>SLT0011048</v>
          </cell>
          <cell r="D57" t="str">
            <v>副驾背板支撑钣金B</v>
          </cell>
          <cell r="F57" t="str">
            <v>EA</v>
          </cell>
          <cell r="H57" t="str">
            <v>钣金件</v>
          </cell>
          <cell r="I57" t="str">
            <v>QStE420TM 2.0</v>
          </cell>
          <cell r="K57" t="str">
            <v>新开</v>
          </cell>
          <cell r="L57" t="str">
            <v>河北外购</v>
          </cell>
          <cell r="M57" t="str">
            <v>刘志富</v>
          </cell>
          <cell r="N57" t="str">
            <v>桥行/苏州荣威/天津京兆</v>
          </cell>
          <cell r="O57">
            <v>1</v>
          </cell>
          <cell r="P57">
            <v>30000</v>
          </cell>
          <cell r="S57" t="str">
            <v>模具委外</v>
          </cell>
        </row>
        <row r="58">
          <cell r="C58" t="str">
            <v>BFA0000316</v>
          </cell>
          <cell r="D58" t="str">
            <v>焊接方螺母</v>
          </cell>
          <cell r="F58" t="str">
            <v>EA</v>
          </cell>
          <cell r="H58" t="str">
            <v>标准件</v>
          </cell>
          <cell r="I58" t="str">
            <v xml:space="preserve"> M6</v>
          </cell>
          <cell r="K58" t="str">
            <v>借用</v>
          </cell>
          <cell r="L58" t="str">
            <v>河北外购</v>
          </cell>
          <cell r="M58" t="str">
            <v>刘志富</v>
          </cell>
          <cell r="O58">
            <v>1</v>
          </cell>
          <cell r="P58">
            <v>30000</v>
          </cell>
          <cell r="S58" t="str">
            <v>委外</v>
          </cell>
        </row>
        <row r="59">
          <cell r="C59" t="str">
            <v>SLT0011049</v>
          </cell>
          <cell r="D59" t="str">
            <v>背板支撑钢丝A</v>
          </cell>
          <cell r="F59" t="str">
            <v>EA</v>
          </cell>
          <cell r="H59" t="str">
            <v>钢丝</v>
          </cell>
          <cell r="I59" t="str">
            <v>Q235  φ5</v>
          </cell>
          <cell r="K59" t="str">
            <v>新开</v>
          </cell>
          <cell r="L59" t="str">
            <v>河北外购</v>
          </cell>
          <cell r="M59" t="str">
            <v>刘志富</v>
          </cell>
          <cell r="N59" t="str">
            <v>海兴中盛</v>
          </cell>
          <cell r="O59">
            <v>2</v>
          </cell>
          <cell r="P59">
            <v>60000</v>
          </cell>
          <cell r="Q59" t="str">
            <v>李燕龙</v>
          </cell>
          <cell r="R59" t="str">
            <v>2022.03.24增加</v>
          </cell>
          <cell r="S59" t="str">
            <v>委外</v>
          </cell>
          <cell r="T59">
            <v>1.056</v>
          </cell>
        </row>
        <row r="60">
          <cell r="C60" t="str">
            <v>SLT0011050</v>
          </cell>
          <cell r="D60" t="str">
            <v>背板支撑钢丝B</v>
          </cell>
          <cell r="F60" t="str">
            <v>EA</v>
          </cell>
          <cell r="H60" t="str">
            <v>钢丝</v>
          </cell>
          <cell r="I60" t="str">
            <v>Q235  φ5</v>
          </cell>
          <cell r="K60" t="str">
            <v>新开</v>
          </cell>
          <cell r="L60" t="str">
            <v>河北外购</v>
          </cell>
          <cell r="M60" t="str">
            <v>刘志富</v>
          </cell>
          <cell r="N60" t="str">
            <v>海兴中盛</v>
          </cell>
          <cell r="O60">
            <v>1</v>
          </cell>
          <cell r="P60">
            <v>30000</v>
          </cell>
          <cell r="Q60" t="str">
            <v>李燕龙</v>
          </cell>
          <cell r="R60" t="str">
            <v>2022.03.24增加</v>
          </cell>
          <cell r="S60" t="str">
            <v>委外</v>
          </cell>
          <cell r="T60">
            <v>0.79520000000000002</v>
          </cell>
        </row>
        <row r="61">
          <cell r="C61" t="str">
            <v>SLT0011040</v>
          </cell>
          <cell r="D61" t="str">
            <v>副驾中间固定支架旋转轴</v>
          </cell>
          <cell r="F61" t="str">
            <v>EA</v>
          </cell>
          <cell r="H61" t="str">
            <v>机加件</v>
          </cell>
          <cell r="I61" t="str">
            <v xml:space="preserve">Q195  </v>
          </cell>
          <cell r="K61" t="str">
            <v>新开</v>
          </cell>
          <cell r="L61" t="str">
            <v>河北外购</v>
          </cell>
          <cell r="M61" t="str">
            <v>刘志富</v>
          </cell>
          <cell r="N61" t="str">
            <v>旭兴/兴岳/霸州政锦</v>
          </cell>
          <cell r="O61">
            <v>1</v>
          </cell>
          <cell r="P61">
            <v>30000</v>
          </cell>
          <cell r="Q61" t="str">
            <v>李燕龙</v>
          </cell>
          <cell r="R61" t="str">
            <v>2022.03.24增加</v>
          </cell>
          <cell r="S61" t="str">
            <v>委外</v>
          </cell>
          <cell r="T61">
            <v>2.3519999999999999</v>
          </cell>
        </row>
        <row r="62">
          <cell r="C62" t="str">
            <v>SLT0011039</v>
          </cell>
          <cell r="D62" t="str">
            <v>侧翼支撑钢丝</v>
          </cell>
          <cell r="F62" t="str">
            <v>EA</v>
          </cell>
          <cell r="H62" t="str">
            <v>钢丝</v>
          </cell>
          <cell r="I62" t="str">
            <v>Q235  φ7</v>
          </cell>
          <cell r="K62" t="str">
            <v>新开</v>
          </cell>
          <cell r="L62" t="str">
            <v>河北外购</v>
          </cell>
          <cell r="M62" t="str">
            <v>刘志富</v>
          </cell>
          <cell r="N62" t="str">
            <v>海兴中盛</v>
          </cell>
          <cell r="O62">
            <v>2</v>
          </cell>
          <cell r="P62">
            <v>60000</v>
          </cell>
          <cell r="Q62" t="str">
            <v>李燕龙</v>
          </cell>
          <cell r="R62" t="str">
            <v>2022.03.24增加</v>
          </cell>
          <cell r="S62" t="str">
            <v>委外</v>
          </cell>
          <cell r="T62">
            <v>1.216</v>
          </cell>
        </row>
        <row r="63">
          <cell r="C63" t="str">
            <v>SLT0011085</v>
          </cell>
          <cell r="D63" t="str">
            <v>小背解锁扣手固定座</v>
          </cell>
          <cell r="F63" t="str">
            <v>EA</v>
          </cell>
          <cell r="H63" t="str">
            <v>钣金件</v>
          </cell>
          <cell r="I63" t="str">
            <v>QStE420TM 2.0</v>
          </cell>
          <cell r="K63" t="str">
            <v>新开</v>
          </cell>
          <cell r="L63" t="str">
            <v>河北外购</v>
          </cell>
          <cell r="M63" t="str">
            <v>刘志富</v>
          </cell>
          <cell r="N63" t="str">
            <v>桥行/苏州荣威/天津京兆</v>
          </cell>
          <cell r="O63">
            <v>1</v>
          </cell>
          <cell r="P63">
            <v>30000</v>
          </cell>
          <cell r="Q63" t="str">
            <v>李燕龙</v>
          </cell>
          <cell r="R63" t="str">
            <v>2022.03.24增加</v>
          </cell>
          <cell r="S63" t="str">
            <v>委外</v>
          </cell>
        </row>
        <row r="64">
          <cell r="C64" t="str">
            <v>SLT0011104</v>
          </cell>
          <cell r="D64" t="str">
            <v>小背背板支撑板小总成B</v>
          </cell>
          <cell r="F64" t="str">
            <v>EA</v>
          </cell>
          <cell r="H64" t="str">
            <v>分总成</v>
          </cell>
          <cell r="I64" t="str">
            <v>ASSY</v>
          </cell>
          <cell r="K64" t="str">
            <v>新开</v>
          </cell>
          <cell r="L64" t="str">
            <v>河北外购</v>
          </cell>
          <cell r="M64" t="str">
            <v>刘志富</v>
          </cell>
          <cell r="N64" t="str">
            <v>桥行/苏州荣威/天津京兆</v>
          </cell>
          <cell r="O64">
            <v>1</v>
          </cell>
          <cell r="P64">
            <v>30000</v>
          </cell>
          <cell r="Q64" t="str">
            <v>李燕龙</v>
          </cell>
          <cell r="R64" t="str">
            <v>2022.03.24增加</v>
          </cell>
          <cell r="S64" t="str">
            <v>自制</v>
          </cell>
        </row>
        <row r="65">
          <cell r="C65" t="str">
            <v>SLT0011105</v>
          </cell>
          <cell r="D65" t="str">
            <v>小背背板支撑板B</v>
          </cell>
          <cell r="F65" t="str">
            <v>EA</v>
          </cell>
          <cell r="H65" t="str">
            <v>钣金件</v>
          </cell>
          <cell r="I65" t="str">
            <v>QStE420TM 2.0</v>
          </cell>
          <cell r="K65" t="str">
            <v>新开</v>
          </cell>
          <cell r="L65" t="str">
            <v>河北外购</v>
          </cell>
          <cell r="M65" t="str">
            <v>刘志富</v>
          </cell>
          <cell r="N65" t="str">
            <v>桥行/苏州荣威/天津京兆</v>
          </cell>
          <cell r="O65">
            <v>1</v>
          </cell>
          <cell r="P65">
            <v>30000</v>
          </cell>
          <cell r="S65" t="str">
            <v>模具委外</v>
          </cell>
        </row>
        <row r="66">
          <cell r="C66" t="str">
            <v>BFA0000316</v>
          </cell>
          <cell r="D66" t="str">
            <v>焊接方螺母</v>
          </cell>
          <cell r="F66" t="str">
            <v>EA</v>
          </cell>
          <cell r="H66" t="str">
            <v>标准件</v>
          </cell>
          <cell r="I66" t="str">
            <v>M6</v>
          </cell>
          <cell r="K66" t="str">
            <v>借用</v>
          </cell>
          <cell r="L66" t="str">
            <v>河北外购</v>
          </cell>
          <cell r="M66" t="str">
            <v>刘志富</v>
          </cell>
          <cell r="O66">
            <v>1</v>
          </cell>
          <cell r="P66">
            <v>30000</v>
          </cell>
          <cell r="S66" t="str">
            <v>委外</v>
          </cell>
        </row>
        <row r="67">
          <cell r="C67" t="str">
            <v>SLT0011108</v>
          </cell>
          <cell r="D67" t="str">
            <v>小背背板支撑板小总成D</v>
          </cell>
          <cell r="F67" t="str">
            <v>EA</v>
          </cell>
          <cell r="H67" t="str">
            <v>分总成</v>
          </cell>
          <cell r="I67" t="str">
            <v>ASSY</v>
          </cell>
          <cell r="K67" t="str">
            <v>新开</v>
          </cell>
          <cell r="L67" t="str">
            <v>河北外购</v>
          </cell>
          <cell r="M67" t="str">
            <v>刘志富</v>
          </cell>
          <cell r="N67" t="str">
            <v>桥行/苏州荣威/天津京兆</v>
          </cell>
          <cell r="O67">
            <v>1</v>
          </cell>
          <cell r="P67">
            <v>30000</v>
          </cell>
          <cell r="Q67" t="str">
            <v>李燕龙</v>
          </cell>
          <cell r="R67" t="str">
            <v>2022.03.24增加</v>
          </cell>
          <cell r="S67" t="str">
            <v>自制</v>
          </cell>
        </row>
        <row r="68">
          <cell r="C68" t="str">
            <v>SLT0011109</v>
          </cell>
          <cell r="D68" t="str">
            <v>小背背板支撑板D</v>
          </cell>
          <cell r="F68" t="str">
            <v>EA</v>
          </cell>
          <cell r="H68" t="str">
            <v>钣金件</v>
          </cell>
          <cell r="I68" t="str">
            <v>QStE420TM 2.0</v>
          </cell>
          <cell r="K68" t="str">
            <v>新开</v>
          </cell>
          <cell r="L68" t="str">
            <v>河北外购</v>
          </cell>
          <cell r="M68" t="str">
            <v>刘志富</v>
          </cell>
          <cell r="N68" t="str">
            <v>桥行/苏州荣威/天津京兆</v>
          </cell>
          <cell r="O68">
            <v>1</v>
          </cell>
          <cell r="P68">
            <v>30000</v>
          </cell>
          <cell r="S68" t="str">
            <v>模具委外</v>
          </cell>
        </row>
        <row r="69">
          <cell r="C69" t="str">
            <v>BFA0000316</v>
          </cell>
          <cell r="D69" t="str">
            <v>焊接方螺母</v>
          </cell>
          <cell r="F69" t="str">
            <v>EA</v>
          </cell>
          <cell r="H69" t="str">
            <v>标准件</v>
          </cell>
          <cell r="I69" t="str">
            <v>M6</v>
          </cell>
          <cell r="K69" t="str">
            <v>借用</v>
          </cell>
          <cell r="L69" t="str">
            <v>河北外购</v>
          </cell>
          <cell r="M69" t="str">
            <v>刘志富</v>
          </cell>
          <cell r="O69">
            <v>1</v>
          </cell>
          <cell r="P69">
            <v>30000</v>
          </cell>
          <cell r="S69" t="str">
            <v>委外</v>
          </cell>
        </row>
        <row r="70">
          <cell r="C70" t="str">
            <v>SLT0011100</v>
          </cell>
          <cell r="D70" t="str">
            <v>限位轴</v>
          </cell>
          <cell r="F70" t="str">
            <v>EA</v>
          </cell>
          <cell r="H70" t="str">
            <v>机加件</v>
          </cell>
          <cell r="I70" t="str">
            <v xml:space="preserve">Q235 </v>
          </cell>
          <cell r="K70" t="str">
            <v>新开</v>
          </cell>
          <cell r="L70" t="str">
            <v>河北外购</v>
          </cell>
          <cell r="M70" t="str">
            <v>刘志富</v>
          </cell>
          <cell r="N70" t="str">
            <v>旭兴/兴岳/霸州政锦</v>
          </cell>
          <cell r="O70">
            <v>1</v>
          </cell>
          <cell r="P70">
            <v>30000</v>
          </cell>
          <cell r="Q70" t="str">
            <v>李燕龙</v>
          </cell>
          <cell r="R70" t="str">
            <v>2022.03.24增加</v>
          </cell>
          <cell r="S70" t="str">
            <v>委外</v>
          </cell>
          <cell r="T70">
            <v>1.68</v>
          </cell>
        </row>
        <row r="71">
          <cell r="C71" t="str">
            <v>SLT0011101</v>
          </cell>
          <cell r="D71" t="str">
            <v>旋转轴</v>
          </cell>
          <cell r="F71" t="str">
            <v>EA</v>
          </cell>
          <cell r="H71" t="str">
            <v>机加件</v>
          </cell>
          <cell r="I71" t="str">
            <v xml:space="preserve">Q235 </v>
          </cell>
          <cell r="K71" t="str">
            <v>新开</v>
          </cell>
          <cell r="L71" t="str">
            <v>河北外购</v>
          </cell>
          <cell r="M71" t="str">
            <v>刘志富</v>
          </cell>
          <cell r="N71" t="str">
            <v>旭兴/兴岳/霸州政锦</v>
          </cell>
          <cell r="O71">
            <v>1</v>
          </cell>
          <cell r="P71">
            <v>30000</v>
          </cell>
          <cell r="Q71" t="str">
            <v>李燕龙</v>
          </cell>
          <cell r="R71" t="str">
            <v>2022.03.24增加</v>
          </cell>
          <cell r="S71" t="str">
            <v>委外</v>
          </cell>
          <cell r="T71">
            <v>2.64</v>
          </cell>
        </row>
        <row r="72">
          <cell r="C72" t="str">
            <v>SLT0011078</v>
          </cell>
          <cell r="D72" t="str">
            <v>小背背板后支撑钢丝A</v>
          </cell>
          <cell r="F72" t="str">
            <v>EA</v>
          </cell>
          <cell r="H72" t="str">
            <v>线材</v>
          </cell>
          <cell r="I72" t="str">
            <v>Q235 φ5</v>
          </cell>
          <cell r="K72" t="str">
            <v>新开</v>
          </cell>
          <cell r="L72" t="str">
            <v>河北外购</v>
          </cell>
          <cell r="M72" t="str">
            <v>刘志富</v>
          </cell>
          <cell r="N72" t="str">
            <v>海兴中盛</v>
          </cell>
          <cell r="O72">
            <v>2</v>
          </cell>
          <cell r="P72">
            <v>60000</v>
          </cell>
          <cell r="Q72" t="str">
            <v>李燕龙</v>
          </cell>
          <cell r="R72" t="str">
            <v>2022.03.24增加</v>
          </cell>
          <cell r="S72" t="str">
            <v>委外</v>
          </cell>
          <cell r="T72">
            <v>0.52080000000000004</v>
          </cell>
        </row>
        <row r="73">
          <cell r="C73" t="str">
            <v>SLT0011093</v>
          </cell>
          <cell r="D73" t="str">
            <v>小背下支撑钢丝</v>
          </cell>
          <cell r="F73" t="str">
            <v>EA</v>
          </cell>
          <cell r="H73" t="str">
            <v>线材</v>
          </cell>
          <cell r="I73" t="str">
            <v>Q235 φ5</v>
          </cell>
          <cell r="K73" t="str">
            <v>新开</v>
          </cell>
          <cell r="L73" t="str">
            <v>河北外购</v>
          </cell>
          <cell r="M73" t="str">
            <v>刘志富</v>
          </cell>
          <cell r="N73" t="str">
            <v>海兴中盛</v>
          </cell>
          <cell r="O73">
            <v>1</v>
          </cell>
          <cell r="P73">
            <v>30000</v>
          </cell>
          <cell r="Q73" t="str">
            <v>李燕龙</v>
          </cell>
          <cell r="R73" t="str">
            <v>2022.03.24增加</v>
          </cell>
          <cell r="S73" t="str">
            <v>委外</v>
          </cell>
          <cell r="T73">
            <v>0.86399999999999999</v>
          </cell>
        </row>
        <row r="74">
          <cell r="C74" t="str">
            <v>SLT0011079</v>
          </cell>
          <cell r="D74" t="str">
            <v>小背侧翼支撑钢丝</v>
          </cell>
          <cell r="F74" t="str">
            <v>EA</v>
          </cell>
          <cell r="H74" t="str">
            <v>钢丝</v>
          </cell>
          <cell r="I74" t="str">
            <v>Q235  φ7</v>
          </cell>
          <cell r="K74" t="str">
            <v>新开</v>
          </cell>
          <cell r="L74" t="str">
            <v>河北外购</v>
          </cell>
          <cell r="M74" t="str">
            <v>刘志富</v>
          </cell>
          <cell r="N74" t="str">
            <v>海兴中盛</v>
          </cell>
          <cell r="O74">
            <v>1</v>
          </cell>
          <cell r="P74">
            <v>30000</v>
          </cell>
          <cell r="Q74" t="str">
            <v>李燕龙</v>
          </cell>
          <cell r="R74" t="str">
            <v>2022.03.24增加</v>
          </cell>
          <cell r="S74" t="str">
            <v>委外</v>
          </cell>
          <cell r="T74">
            <v>1.456</v>
          </cell>
        </row>
        <row r="75">
          <cell r="C75" t="str">
            <v>SLT0011094</v>
          </cell>
          <cell r="D75" t="str">
            <v>副驾小背支撑钢丝焊接总成</v>
          </cell>
          <cell r="F75" t="str">
            <v>EA</v>
          </cell>
          <cell r="H75" t="str">
            <v>分总成</v>
          </cell>
          <cell r="I75" t="str">
            <v>ASSY</v>
          </cell>
          <cell r="K75" t="str">
            <v>新开</v>
          </cell>
          <cell r="L75" t="str">
            <v>河北外购</v>
          </cell>
          <cell r="M75" t="str">
            <v>刘志富</v>
          </cell>
          <cell r="N75" t="str">
            <v>海兴中盛</v>
          </cell>
          <cell r="O75">
            <v>1</v>
          </cell>
          <cell r="P75">
            <v>30000</v>
          </cell>
          <cell r="Q75" t="str">
            <v>李燕龙</v>
          </cell>
          <cell r="R75" t="str">
            <v>2022.03.24增加</v>
          </cell>
          <cell r="S75" t="str">
            <v>委外</v>
          </cell>
          <cell r="T75">
            <v>2.71</v>
          </cell>
        </row>
        <row r="76">
          <cell r="C76" t="str">
            <v>SLT0011084</v>
          </cell>
          <cell r="D76" t="str">
            <v>小背面套卡接钢丝</v>
          </cell>
          <cell r="F76" t="str">
            <v>EA</v>
          </cell>
          <cell r="H76" t="str">
            <v>线材</v>
          </cell>
          <cell r="I76" t="str">
            <v>Q235 φ5</v>
          </cell>
          <cell r="K76" t="str">
            <v>新开</v>
          </cell>
          <cell r="L76" t="str">
            <v>河北外购</v>
          </cell>
          <cell r="M76" t="str">
            <v>刘志富</v>
          </cell>
          <cell r="N76" t="str">
            <v>海兴中盛</v>
          </cell>
          <cell r="O76">
            <v>1</v>
          </cell>
          <cell r="P76">
            <v>30000</v>
          </cell>
          <cell r="Q76" t="str">
            <v>李燕龙</v>
          </cell>
          <cell r="R76" t="str">
            <v>2022.03.24增加</v>
          </cell>
          <cell r="S76" t="str">
            <v>委外</v>
          </cell>
          <cell r="T76">
            <v>0.64080000000000004</v>
          </cell>
        </row>
        <row r="77">
          <cell r="C77" t="str">
            <v>SLT0011083</v>
          </cell>
          <cell r="D77" t="str">
            <v>小背背板后支撑钢丝A</v>
          </cell>
          <cell r="F77" t="str">
            <v>EA</v>
          </cell>
          <cell r="H77" t="str">
            <v>线材</v>
          </cell>
          <cell r="I77" t="str">
            <v>Q235 φ5</v>
          </cell>
          <cell r="K77" t="str">
            <v>新开</v>
          </cell>
          <cell r="L77" t="str">
            <v>河北外购</v>
          </cell>
          <cell r="M77" t="str">
            <v>刘志富</v>
          </cell>
          <cell r="N77" t="str">
            <v>海兴中盛</v>
          </cell>
          <cell r="O77">
            <v>2</v>
          </cell>
          <cell r="P77">
            <v>60000</v>
          </cell>
          <cell r="Q77" t="str">
            <v>李燕龙</v>
          </cell>
          <cell r="R77" t="str">
            <v>2022.03.24增加</v>
          </cell>
          <cell r="S77" t="str">
            <v>委外</v>
          </cell>
          <cell r="T77">
            <v>0.52080000000000004</v>
          </cell>
        </row>
        <row r="78">
          <cell r="C78" t="str">
            <v>SLT0010910</v>
          </cell>
          <cell r="D78" t="str">
            <v>扶手旋转轴</v>
          </cell>
          <cell r="E78" t="str">
            <v>固定扶手用</v>
          </cell>
          <cell r="F78" t="str">
            <v>EA</v>
          </cell>
          <cell r="H78" t="str">
            <v>非标件</v>
          </cell>
          <cell r="I78" t="str">
            <v>45#  M8</v>
          </cell>
          <cell r="K78" t="str">
            <v>新开</v>
          </cell>
          <cell r="L78" t="str">
            <v>河北外购</v>
          </cell>
          <cell r="M78" t="str">
            <v>刘志富</v>
          </cell>
          <cell r="N78" t="str">
            <v>旭兴/兴岳/霸州政锦</v>
          </cell>
          <cell r="O78">
            <v>1</v>
          </cell>
          <cell r="P78">
            <v>30000</v>
          </cell>
          <cell r="Q78" t="str">
            <v>李燕龙</v>
          </cell>
          <cell r="R78" t="str">
            <v>2022.04.12增加</v>
          </cell>
          <cell r="S78" t="str">
            <v>委外</v>
          </cell>
          <cell r="T78">
            <v>0.76</v>
          </cell>
        </row>
        <row r="79">
          <cell r="C79" t="str">
            <v>SLT0010958</v>
          </cell>
          <cell r="D79" t="str">
            <v>驾驶员座垫固定支架LH</v>
          </cell>
          <cell r="F79" t="str">
            <v>EA</v>
          </cell>
          <cell r="H79" t="str">
            <v>钣金件</v>
          </cell>
          <cell r="I79" t="str">
            <v>QStE500TM 2.5</v>
          </cell>
          <cell r="K79" t="str">
            <v>新开</v>
          </cell>
          <cell r="L79" t="str">
            <v>河北外购</v>
          </cell>
          <cell r="M79" t="str">
            <v>刘志富</v>
          </cell>
          <cell r="N79" t="str">
            <v>桥行/苏州荣威/天津京兆</v>
          </cell>
          <cell r="O79">
            <v>1</v>
          </cell>
          <cell r="P79">
            <v>30000</v>
          </cell>
          <cell r="Q79" t="str">
            <v>李燕龙</v>
          </cell>
          <cell r="R79" t="str">
            <v>2022.04.26增加</v>
          </cell>
          <cell r="S79" t="str">
            <v>模具委外</v>
          </cell>
        </row>
        <row r="80">
          <cell r="C80" t="str">
            <v>SLT0011102</v>
          </cell>
          <cell r="D80" t="str">
            <v>小背背板支撑板小总成A</v>
          </cell>
          <cell r="F80" t="str">
            <v>EA</v>
          </cell>
          <cell r="H80" t="str">
            <v>分总成</v>
          </cell>
          <cell r="I80" t="str">
            <v>ASSY</v>
          </cell>
          <cell r="K80" t="str">
            <v>新开</v>
          </cell>
          <cell r="L80" t="str">
            <v>河北外购</v>
          </cell>
          <cell r="M80" t="str">
            <v>刘志富</v>
          </cell>
          <cell r="O80">
            <v>1</v>
          </cell>
          <cell r="P80">
            <v>30000</v>
          </cell>
          <cell r="Q80" t="str">
            <v>李燕龙</v>
          </cell>
          <cell r="R80" t="str">
            <v>2022.04.26增加</v>
          </cell>
          <cell r="S80" t="str">
            <v>自制</v>
          </cell>
        </row>
        <row r="81">
          <cell r="C81" t="str">
            <v>SLT0011103</v>
          </cell>
          <cell r="D81" t="str">
            <v>小背背板支撑板A</v>
          </cell>
          <cell r="F81" t="str">
            <v>EA</v>
          </cell>
          <cell r="H81" t="str">
            <v>钣金件</v>
          </cell>
          <cell r="I81" t="str">
            <v>QStE420TM 2.5</v>
          </cell>
          <cell r="K81" t="str">
            <v>新开</v>
          </cell>
          <cell r="L81" t="str">
            <v>河北外购</v>
          </cell>
          <cell r="M81" t="str">
            <v>刘志富</v>
          </cell>
          <cell r="N81" t="str">
            <v>桥行/苏州荣威/天津京兆</v>
          </cell>
          <cell r="O81">
            <v>1</v>
          </cell>
          <cell r="P81">
            <v>30000</v>
          </cell>
          <cell r="Q81" t="str">
            <v>李燕龙</v>
          </cell>
          <cell r="R81" t="str">
            <v>2022.04.26增加</v>
          </cell>
          <cell r="S81" t="str">
            <v>模具委外</v>
          </cell>
        </row>
        <row r="82">
          <cell r="C82" t="str">
            <v>BFA0000316</v>
          </cell>
          <cell r="D82" t="str">
            <v>焊接方螺母</v>
          </cell>
          <cell r="F82" t="str">
            <v>EA</v>
          </cell>
          <cell r="H82" t="str">
            <v>标准件</v>
          </cell>
          <cell r="I82" t="str">
            <v>M6</v>
          </cell>
          <cell r="K82" t="str">
            <v>借用</v>
          </cell>
          <cell r="L82" t="str">
            <v>河北外购</v>
          </cell>
          <cell r="M82" t="str">
            <v>刘志富</v>
          </cell>
          <cell r="O82">
            <v>1</v>
          </cell>
          <cell r="P82">
            <v>30000</v>
          </cell>
          <cell r="Q82" t="str">
            <v>李燕龙</v>
          </cell>
          <cell r="R82" t="str">
            <v>2022.04.26增加</v>
          </cell>
          <cell r="S82" t="str">
            <v>委外</v>
          </cell>
        </row>
        <row r="83">
          <cell r="C83" t="str">
            <v>SLT0011371</v>
          </cell>
          <cell r="D83" t="str">
            <v>上盖板焊接总成</v>
          </cell>
          <cell r="F83" t="str">
            <v>EA</v>
          </cell>
          <cell r="H83" t="str">
            <v>焊接总成件</v>
          </cell>
          <cell r="I83" t="str">
            <v>ASSY</v>
          </cell>
          <cell r="K83" t="str">
            <v>新开</v>
          </cell>
          <cell r="L83" t="str">
            <v>河北外购</v>
          </cell>
          <cell r="M83" t="str">
            <v>刘志富</v>
          </cell>
          <cell r="N83" t="str">
            <v>河北利达</v>
          </cell>
          <cell r="O83">
            <v>1</v>
          </cell>
          <cell r="P83">
            <v>30000</v>
          </cell>
          <cell r="Q83" t="str">
            <v>张涛</v>
          </cell>
          <cell r="R83" t="str">
            <v>2022.04.26增加</v>
          </cell>
          <cell r="S83" t="str">
            <v>委外</v>
          </cell>
          <cell r="T83">
            <v>0</v>
          </cell>
        </row>
        <row r="84">
          <cell r="C84" t="str">
            <v>SLT0011367</v>
          </cell>
          <cell r="D84" t="str">
            <v>下底板焊接总成</v>
          </cell>
          <cell r="F84" t="str">
            <v>EA</v>
          </cell>
          <cell r="H84" t="str">
            <v>焊接总成件</v>
          </cell>
          <cell r="I84" t="str">
            <v>ASSY</v>
          </cell>
          <cell r="K84" t="str">
            <v>新开</v>
          </cell>
          <cell r="L84" t="str">
            <v>河北外购</v>
          </cell>
          <cell r="M84" t="str">
            <v>刘志富</v>
          </cell>
          <cell r="N84" t="str">
            <v>河北利达</v>
          </cell>
          <cell r="O84">
            <v>1</v>
          </cell>
          <cell r="P84">
            <v>30000</v>
          </cell>
          <cell r="Q84" t="str">
            <v>张涛</v>
          </cell>
          <cell r="R84" t="str">
            <v>2022.04.26增加</v>
          </cell>
          <cell r="S84" t="str">
            <v>委外</v>
          </cell>
          <cell r="T84">
            <v>0</v>
          </cell>
        </row>
        <row r="85">
          <cell r="C85" t="str">
            <v>SLT0010899</v>
          </cell>
          <cell r="D85" t="str">
            <v>一级调节上连接板铆接总成</v>
          </cell>
          <cell r="F85" t="str">
            <v>EA</v>
          </cell>
          <cell r="H85" t="str">
            <v>分总成</v>
          </cell>
          <cell r="I85" t="str">
            <v>ASSY</v>
          </cell>
          <cell r="K85" t="str">
            <v>新开</v>
          </cell>
          <cell r="L85" t="str">
            <v>河北外购</v>
          </cell>
          <cell r="M85" t="str">
            <v>吴英格</v>
          </cell>
          <cell r="O85">
            <v>1</v>
          </cell>
          <cell r="P85">
            <v>30000</v>
          </cell>
          <cell r="Q85" t="str">
            <v>李燕龙</v>
          </cell>
          <cell r="R85" t="str">
            <v>2022.04.27增加</v>
          </cell>
          <cell r="S85" t="str">
            <v>自制</v>
          </cell>
        </row>
        <row r="86">
          <cell r="C86" t="str">
            <v>SLT0010902</v>
          </cell>
          <cell r="D86" t="str">
            <v>一级调节上连接板RH</v>
          </cell>
          <cell r="F86" t="str">
            <v>EA</v>
          </cell>
          <cell r="H86" t="str">
            <v>钣金件</v>
          </cell>
          <cell r="I86" t="str">
            <v>SPFH590 3.0</v>
          </cell>
          <cell r="K86" t="str">
            <v>新开</v>
          </cell>
          <cell r="L86" t="str">
            <v>河北外购</v>
          </cell>
          <cell r="M86" t="str">
            <v>吴英格</v>
          </cell>
          <cell r="N86" t="str">
            <v>桥行/苏州荣威/天津京兆</v>
          </cell>
          <cell r="O86">
            <v>1</v>
          </cell>
          <cell r="P86">
            <v>30000</v>
          </cell>
          <cell r="Q86" t="str">
            <v>李燕龙</v>
          </cell>
          <cell r="R86" t="str">
            <v>2022.04.27增加</v>
          </cell>
          <cell r="S86" t="str">
            <v>模具委外</v>
          </cell>
        </row>
        <row r="87">
          <cell r="C87" t="str">
            <v>321721801400</v>
          </cell>
          <cell r="D87" t="str">
            <v>中排独立软带轴承</v>
          </cell>
          <cell r="F87" t="str">
            <v>EA</v>
          </cell>
          <cell r="H87" t="str">
            <v>钣金件</v>
          </cell>
          <cell r="I87" t="str">
            <v>DC01 0.5</v>
          </cell>
          <cell r="K87" t="str">
            <v>借用</v>
          </cell>
          <cell r="L87" t="str">
            <v>河北外购</v>
          </cell>
          <cell r="M87" t="str">
            <v>吴英格</v>
          </cell>
          <cell r="O87">
            <v>1</v>
          </cell>
          <cell r="P87">
            <v>30000</v>
          </cell>
          <cell r="Q87" t="str">
            <v>李燕龙</v>
          </cell>
          <cell r="R87" t="str">
            <v>2022.04.27增加</v>
          </cell>
          <cell r="S87" t="str">
            <v>委外</v>
          </cell>
        </row>
        <row r="88">
          <cell r="C88" t="str">
            <v>SLT0010901</v>
          </cell>
          <cell r="D88" t="str">
            <v>一级调节右旁接板焊接总成</v>
          </cell>
          <cell r="F88" t="str">
            <v>EA</v>
          </cell>
          <cell r="H88" t="str">
            <v>分总成</v>
          </cell>
          <cell r="I88" t="str">
            <v>ASSY</v>
          </cell>
          <cell r="K88" t="str">
            <v>新开</v>
          </cell>
          <cell r="L88" t="str">
            <v>河北外购</v>
          </cell>
          <cell r="M88" t="str">
            <v>吴英格</v>
          </cell>
          <cell r="O88">
            <v>1</v>
          </cell>
          <cell r="P88">
            <v>30000</v>
          </cell>
          <cell r="Q88" t="str">
            <v>李燕龙</v>
          </cell>
          <cell r="R88" t="str">
            <v>2022.04.27增加</v>
          </cell>
          <cell r="S88" t="str">
            <v>自制</v>
          </cell>
        </row>
        <row r="89">
          <cell r="C89" t="str">
            <v>SLT0010904</v>
          </cell>
          <cell r="D89" t="str">
            <v>靠背一级调节下边板RH</v>
          </cell>
          <cell r="E89" t="str">
            <v>新开件</v>
          </cell>
          <cell r="H89" t="str">
            <v>钣金件</v>
          </cell>
          <cell r="I89" t="str">
            <v>QStE500TM 2.5</v>
          </cell>
          <cell r="K89" t="str">
            <v>新开</v>
          </cell>
          <cell r="L89" t="str">
            <v>河北外购</v>
          </cell>
          <cell r="M89" t="str">
            <v>吴英格</v>
          </cell>
          <cell r="O89">
            <v>1</v>
          </cell>
          <cell r="P89">
            <v>30000</v>
          </cell>
          <cell r="R89" t="str">
            <v>2022.04.27增加</v>
          </cell>
          <cell r="S89" t="str">
            <v>模具委外</v>
          </cell>
        </row>
        <row r="90">
          <cell r="C90" t="str">
            <v>QC /T712</v>
          </cell>
          <cell r="D90" t="str">
            <v>7/16'螺母</v>
          </cell>
          <cell r="E90" t="str">
            <v>安全带带扣锁付用</v>
          </cell>
          <cell r="H90" t="str">
            <v>标准件</v>
          </cell>
          <cell r="I90" t="str">
            <v>7/16'</v>
          </cell>
          <cell r="K90" t="str">
            <v>借用</v>
          </cell>
          <cell r="L90" t="str">
            <v>河北外购</v>
          </cell>
          <cell r="M90" t="str">
            <v>吴英格</v>
          </cell>
          <cell r="O90">
            <v>1</v>
          </cell>
          <cell r="P90">
            <v>30000</v>
          </cell>
          <cell r="R90" t="str">
            <v>2022.04.27增加</v>
          </cell>
          <cell r="S90" t="str">
            <v>委外</v>
          </cell>
        </row>
        <row r="91">
          <cell r="C91" t="str">
            <v>SLT0010893</v>
          </cell>
          <cell r="D91" t="str">
            <v>座椅靠背调节限位柱A</v>
          </cell>
          <cell r="E91" t="str">
            <v>新开件</v>
          </cell>
          <cell r="F91" t="str">
            <v>EA</v>
          </cell>
          <cell r="H91" t="str">
            <v>圆钢</v>
          </cell>
          <cell r="I91" t="str">
            <v>Q235  φ8</v>
          </cell>
          <cell r="K91" t="str">
            <v>新开</v>
          </cell>
          <cell r="L91" t="str">
            <v>河北外购</v>
          </cell>
          <cell r="M91" t="str">
            <v>吴英格</v>
          </cell>
          <cell r="N91" t="str">
            <v>兴岳/旭兴/政锦</v>
          </cell>
          <cell r="O91">
            <v>1</v>
          </cell>
          <cell r="P91">
            <v>30000</v>
          </cell>
          <cell r="Q91" t="str">
            <v>李燕龙</v>
          </cell>
          <cell r="R91" t="str">
            <v>2022.04.27增加</v>
          </cell>
          <cell r="S91" t="str">
            <v>委外</v>
          </cell>
          <cell r="T91">
            <v>0.22</v>
          </cell>
        </row>
        <row r="92">
          <cell r="C92" t="str">
            <v>SLT0011254</v>
          </cell>
          <cell r="D92" t="str">
            <v>一级调节右旁接板焊接总成</v>
          </cell>
          <cell r="F92" t="str">
            <v>EA</v>
          </cell>
          <cell r="H92" t="str">
            <v>分总成</v>
          </cell>
          <cell r="I92" t="str">
            <v>ASSY</v>
          </cell>
          <cell r="K92" t="str">
            <v>新开</v>
          </cell>
          <cell r="L92" t="str">
            <v>河北外购</v>
          </cell>
          <cell r="M92" t="str">
            <v>吴英格</v>
          </cell>
          <cell r="O92">
            <v>1</v>
          </cell>
          <cell r="P92">
            <v>30000</v>
          </cell>
          <cell r="Q92" t="str">
            <v>李燕龙</v>
          </cell>
          <cell r="R92" t="str">
            <v>2022.04.27增加</v>
          </cell>
          <cell r="S92" t="str">
            <v>自制</v>
          </cell>
        </row>
        <row r="93">
          <cell r="C93" t="str">
            <v>SLT0011255</v>
          </cell>
          <cell r="D93" t="str">
            <v>靠背一级调节下边板RH</v>
          </cell>
          <cell r="F93" t="str">
            <v>EA</v>
          </cell>
          <cell r="H93" t="str">
            <v>钣金件</v>
          </cell>
          <cell r="I93" t="str">
            <v>QStE500TM 2.5</v>
          </cell>
          <cell r="K93" t="str">
            <v>新开</v>
          </cell>
          <cell r="L93" t="str">
            <v>河北外购</v>
          </cell>
          <cell r="M93" t="str">
            <v>吴英格</v>
          </cell>
          <cell r="N93" t="str">
            <v>桥行/苏州荣威/天津京兆</v>
          </cell>
          <cell r="O93">
            <v>1</v>
          </cell>
          <cell r="P93">
            <v>30000</v>
          </cell>
          <cell r="S93" t="str">
            <v>模具委外</v>
          </cell>
        </row>
        <row r="94">
          <cell r="C94" t="str">
            <v>QC /T712</v>
          </cell>
          <cell r="D94" t="str">
            <v>7/16'螺母</v>
          </cell>
          <cell r="F94" t="str">
            <v>EA</v>
          </cell>
          <cell r="H94" t="str">
            <v>标准件</v>
          </cell>
          <cell r="I94" t="str">
            <v>7/16'</v>
          </cell>
          <cell r="K94" t="str">
            <v>借用</v>
          </cell>
          <cell r="L94" t="str">
            <v>河北外购</v>
          </cell>
          <cell r="M94" t="str">
            <v>吴英格</v>
          </cell>
          <cell r="O94">
            <v>1</v>
          </cell>
          <cell r="P94">
            <v>30000</v>
          </cell>
          <cell r="S94" t="str">
            <v>委外</v>
          </cell>
        </row>
        <row r="95">
          <cell r="C95" t="str">
            <v>BFA0000518</v>
          </cell>
          <cell r="D95" t="str">
            <v>焊接方螺母</v>
          </cell>
          <cell r="F95" t="str">
            <v>EA</v>
          </cell>
          <cell r="H95" t="str">
            <v>标准件</v>
          </cell>
          <cell r="I95" t="str">
            <v>M8</v>
          </cell>
          <cell r="K95" t="str">
            <v>借用</v>
          </cell>
          <cell r="L95" t="str">
            <v>河北外购</v>
          </cell>
          <cell r="M95" t="str">
            <v>吴英格</v>
          </cell>
          <cell r="O95">
            <v>1</v>
          </cell>
          <cell r="P95">
            <v>30000</v>
          </cell>
          <cell r="S95" t="str">
            <v>委外</v>
          </cell>
        </row>
        <row r="96">
          <cell r="C96" t="str">
            <v>SLT0010895</v>
          </cell>
          <cell r="D96" t="str">
            <v>一级调节上连接板LH</v>
          </cell>
          <cell r="F96" t="str">
            <v>EA</v>
          </cell>
          <cell r="H96" t="str">
            <v>钣金件</v>
          </cell>
          <cell r="I96" t="str">
            <v>SPFH590 4.0</v>
          </cell>
          <cell r="K96" t="str">
            <v>新开</v>
          </cell>
          <cell r="L96" t="str">
            <v>河北外购</v>
          </cell>
          <cell r="M96" t="str">
            <v>吴英格</v>
          </cell>
          <cell r="N96" t="str">
            <v>桥行/苏州荣威/天津京兆</v>
          </cell>
          <cell r="O96">
            <v>1</v>
          </cell>
          <cell r="P96">
            <v>30000</v>
          </cell>
          <cell r="Q96" t="str">
            <v>李燕龙</v>
          </cell>
          <cell r="R96" t="str">
            <v>2022.04.27增加</v>
          </cell>
          <cell r="S96" t="str">
            <v>模具委外</v>
          </cell>
        </row>
        <row r="97">
          <cell r="C97" t="str">
            <v>SLT0010898</v>
          </cell>
          <cell r="D97" t="str">
            <v>靠背一级调节下边板LH</v>
          </cell>
          <cell r="F97" t="str">
            <v>EA</v>
          </cell>
          <cell r="H97" t="str">
            <v>钣金件</v>
          </cell>
          <cell r="I97" t="str">
            <v>SPFH590 3.0</v>
          </cell>
          <cell r="K97" t="str">
            <v>新开</v>
          </cell>
          <cell r="L97" t="str">
            <v>河北外购</v>
          </cell>
          <cell r="M97" t="str">
            <v>吴英格</v>
          </cell>
          <cell r="N97" t="str">
            <v>桥行/苏州荣威/天津京兆</v>
          </cell>
          <cell r="O97">
            <v>1</v>
          </cell>
          <cell r="P97">
            <v>30000</v>
          </cell>
          <cell r="Q97" t="str">
            <v>李燕龙</v>
          </cell>
          <cell r="R97" t="str">
            <v>2022.04.27增加</v>
          </cell>
          <cell r="S97" t="str">
            <v>模具委外</v>
          </cell>
        </row>
        <row r="98">
          <cell r="C98" t="str">
            <v>SLT0011252</v>
          </cell>
          <cell r="D98" t="str">
            <v>靠背一级调节下边板LH</v>
          </cell>
          <cell r="F98" t="str">
            <v>EA</v>
          </cell>
          <cell r="H98" t="str">
            <v>钣金件</v>
          </cell>
          <cell r="I98" t="str">
            <v>SPFH590 3.0</v>
          </cell>
          <cell r="K98" t="str">
            <v>新开</v>
          </cell>
          <cell r="L98" t="str">
            <v>河北外购</v>
          </cell>
          <cell r="M98" t="str">
            <v>吴英格</v>
          </cell>
          <cell r="N98" t="str">
            <v>桥行/苏州荣威/天津京兆</v>
          </cell>
          <cell r="O98">
            <v>1</v>
          </cell>
          <cell r="P98">
            <v>30000</v>
          </cell>
          <cell r="Q98" t="str">
            <v>李燕龙</v>
          </cell>
          <cell r="R98" t="str">
            <v>2022.04.27增加</v>
          </cell>
          <cell r="S98" t="str">
            <v>模具委外</v>
          </cell>
        </row>
        <row r="99">
          <cell r="C99" t="str">
            <v>SLT0010891</v>
          </cell>
          <cell r="D99" t="str">
            <v>二级调节解锁手柄</v>
          </cell>
          <cell r="F99" t="str">
            <v>EA</v>
          </cell>
          <cell r="H99" t="str">
            <v>钣金件</v>
          </cell>
          <cell r="I99" t="str">
            <v>QStE420TM 2.5</v>
          </cell>
          <cell r="K99" t="str">
            <v>新开</v>
          </cell>
          <cell r="L99" t="str">
            <v>河北外购</v>
          </cell>
          <cell r="M99" t="str">
            <v>吴英格</v>
          </cell>
          <cell r="N99" t="str">
            <v>桥行/苏州荣威/天津京兆</v>
          </cell>
          <cell r="O99">
            <v>1</v>
          </cell>
          <cell r="P99">
            <v>30000</v>
          </cell>
          <cell r="Q99" t="str">
            <v>李燕龙</v>
          </cell>
          <cell r="R99" t="str">
            <v>2022.04.27增加</v>
          </cell>
          <cell r="S99" t="str">
            <v>模具委外</v>
          </cell>
        </row>
        <row r="100">
          <cell r="C100" t="str">
            <v>SLT0010894</v>
          </cell>
          <cell r="D100" t="str">
            <v>二级调节调角器上连接板LH</v>
          </cell>
          <cell r="F100" t="str">
            <v>EA</v>
          </cell>
          <cell r="H100" t="str">
            <v>钣金件</v>
          </cell>
          <cell r="I100" t="str">
            <v>QStE500TM 2.5</v>
          </cell>
          <cell r="K100" t="str">
            <v>新开</v>
          </cell>
          <cell r="L100" t="str">
            <v>河北外购</v>
          </cell>
          <cell r="M100" t="str">
            <v>吴英格</v>
          </cell>
          <cell r="N100" t="str">
            <v>桥行/苏州荣威/天津京兆</v>
          </cell>
          <cell r="O100">
            <v>1</v>
          </cell>
          <cell r="P100">
            <v>30000</v>
          </cell>
          <cell r="Q100" t="str">
            <v>李燕龙</v>
          </cell>
          <cell r="R100" t="str">
            <v>2022.04.27增加</v>
          </cell>
          <cell r="S100" t="str">
            <v>模具委外</v>
          </cell>
        </row>
        <row r="101">
          <cell r="C101" t="str">
            <v>SLT0011030</v>
          </cell>
          <cell r="D101" t="str">
            <v>副驾靠背右侧上连接板焊接总成</v>
          </cell>
          <cell r="F101" t="str">
            <v>EA</v>
          </cell>
          <cell r="H101" t="str">
            <v>分总成</v>
          </cell>
          <cell r="I101" t="str">
            <v>ASSY</v>
          </cell>
          <cell r="K101" t="str">
            <v>新开</v>
          </cell>
          <cell r="L101" t="str">
            <v>河北外购</v>
          </cell>
          <cell r="M101" t="str">
            <v>吴英格</v>
          </cell>
          <cell r="O101">
            <v>1</v>
          </cell>
          <cell r="P101">
            <v>30000</v>
          </cell>
          <cell r="Q101" t="str">
            <v>李燕龙</v>
          </cell>
          <cell r="R101" t="str">
            <v>2022.04.27增加</v>
          </cell>
          <cell r="S101" t="str">
            <v>自制</v>
          </cell>
        </row>
        <row r="102">
          <cell r="C102" t="str">
            <v>SLT0010433</v>
          </cell>
          <cell r="D102" t="str">
            <v>副驾靠背右侧上连接板</v>
          </cell>
          <cell r="F102" t="str">
            <v>EA</v>
          </cell>
          <cell r="H102" t="str">
            <v>钣金件</v>
          </cell>
          <cell r="I102" t="str">
            <v>QStE500TM 2.5</v>
          </cell>
          <cell r="K102" t="str">
            <v>借用</v>
          </cell>
          <cell r="L102" t="str">
            <v>河北外购</v>
          </cell>
          <cell r="M102" t="str">
            <v>吴英格</v>
          </cell>
          <cell r="P102">
            <v>0</v>
          </cell>
          <cell r="S102" t="str">
            <v>委外</v>
          </cell>
        </row>
        <row r="103">
          <cell r="C103" t="str">
            <v>SLT0011191</v>
          </cell>
          <cell r="D103" t="str">
            <v>副驾靠背调角限位片</v>
          </cell>
          <cell r="F103" t="str">
            <v>EA</v>
          </cell>
          <cell r="H103" t="str">
            <v>钣金件</v>
          </cell>
          <cell r="I103" t="str">
            <v>QStE420TM 2.5</v>
          </cell>
          <cell r="K103" t="str">
            <v>新开</v>
          </cell>
          <cell r="L103" t="str">
            <v>河北外购</v>
          </cell>
          <cell r="M103" t="str">
            <v>吴英格</v>
          </cell>
          <cell r="N103" t="str">
            <v>桥行/苏州荣威/天津京兆</v>
          </cell>
          <cell r="P103">
            <v>0</v>
          </cell>
          <cell r="Q103" t="str">
            <v>李燕龙</v>
          </cell>
          <cell r="R103" t="str">
            <v>2022.04.27增加</v>
          </cell>
          <cell r="S103" t="str">
            <v>模具委外</v>
          </cell>
        </row>
        <row r="104">
          <cell r="C104" t="str">
            <v>SLT0010190</v>
          </cell>
          <cell r="D104" t="str">
            <v>复位卷簧下限位支架</v>
          </cell>
          <cell r="F104" t="str">
            <v>EA</v>
          </cell>
          <cell r="H104" t="str">
            <v>钣金件</v>
          </cell>
          <cell r="I104" t="str">
            <v>SPFH590 3.0</v>
          </cell>
          <cell r="K104" t="str">
            <v>借用</v>
          </cell>
          <cell r="L104" t="str">
            <v>河北外购</v>
          </cell>
          <cell r="M104" t="str">
            <v>吴英格</v>
          </cell>
          <cell r="P104">
            <v>0</v>
          </cell>
          <cell r="S104" t="str">
            <v>委外</v>
          </cell>
        </row>
        <row r="105">
          <cell r="C105" t="str">
            <v>SLT0011033</v>
          </cell>
          <cell r="D105" t="str">
            <v>副驾靠背右侧装车钣金焊接总成</v>
          </cell>
          <cell r="F105" t="str">
            <v>EA</v>
          </cell>
          <cell r="H105" t="str">
            <v>分总成</v>
          </cell>
          <cell r="I105" t="str">
            <v>ASSY</v>
          </cell>
          <cell r="K105" t="str">
            <v>新开</v>
          </cell>
          <cell r="L105" t="str">
            <v>河北外购</v>
          </cell>
          <cell r="M105" t="str">
            <v>吴英格</v>
          </cell>
          <cell r="O105">
            <v>1</v>
          </cell>
          <cell r="P105">
            <v>30000</v>
          </cell>
          <cell r="Q105" t="str">
            <v>李燕龙</v>
          </cell>
          <cell r="R105" t="str">
            <v>2022.04.27增加</v>
          </cell>
          <cell r="S105" t="str">
            <v>自制</v>
          </cell>
        </row>
        <row r="106">
          <cell r="C106" t="str">
            <v>SLT0011034</v>
          </cell>
          <cell r="D106" t="str">
            <v>副驾靠背右侧装车钣金</v>
          </cell>
          <cell r="F106" t="str">
            <v>EA</v>
          </cell>
          <cell r="H106" t="str">
            <v>钣金件</v>
          </cell>
          <cell r="I106" t="str">
            <v>QStE500TM 3.0</v>
          </cell>
          <cell r="K106" t="str">
            <v>新开</v>
          </cell>
          <cell r="L106" t="str">
            <v>河北外购</v>
          </cell>
          <cell r="M106" t="str">
            <v>吴英格</v>
          </cell>
          <cell r="N106" t="str">
            <v>桥行/苏州荣威/天津京兆</v>
          </cell>
          <cell r="P106">
            <v>0</v>
          </cell>
          <cell r="Q106" t="str">
            <v>李燕龙</v>
          </cell>
          <cell r="R106" t="str">
            <v>2022.04.27增加</v>
          </cell>
          <cell r="S106" t="str">
            <v>模具委外</v>
          </cell>
        </row>
        <row r="107">
          <cell r="C107" t="str">
            <v>6801634X2001A</v>
          </cell>
          <cell r="D107" t="str">
            <v>前排靠背复位卷簧安装支架</v>
          </cell>
          <cell r="F107" t="str">
            <v>EA</v>
          </cell>
          <cell r="H107" t="str">
            <v>钣金件</v>
          </cell>
          <cell r="I107" t="str">
            <v>SAPH440 4.0</v>
          </cell>
          <cell r="K107" t="str">
            <v>借用</v>
          </cell>
          <cell r="L107" t="str">
            <v>河北外购</v>
          </cell>
          <cell r="M107" t="str">
            <v>吴英格</v>
          </cell>
          <cell r="P107">
            <v>0</v>
          </cell>
          <cell r="S107" t="str">
            <v>委外</v>
          </cell>
        </row>
        <row r="108">
          <cell r="C108" t="str">
            <v>SLT0011087</v>
          </cell>
          <cell r="D108" t="str">
            <v>小背下连接边板</v>
          </cell>
          <cell r="F108" t="str">
            <v>EA</v>
          </cell>
          <cell r="H108" t="str">
            <v>钣金件</v>
          </cell>
          <cell r="I108" t="str">
            <v>QStE500TM 2.5</v>
          </cell>
          <cell r="K108" t="str">
            <v>新开</v>
          </cell>
          <cell r="L108" t="str">
            <v>河北外购</v>
          </cell>
          <cell r="M108" t="str">
            <v>吴英格</v>
          </cell>
          <cell r="N108" t="str">
            <v>桥行/苏州荣威/天津京兆</v>
          </cell>
          <cell r="O108">
            <v>1</v>
          </cell>
          <cell r="P108">
            <v>30000</v>
          </cell>
          <cell r="Q108" t="str">
            <v>李燕龙</v>
          </cell>
          <cell r="R108" t="str">
            <v>2022.04.27增加</v>
          </cell>
          <cell r="S108" t="str">
            <v>模具委外</v>
          </cell>
        </row>
        <row r="109">
          <cell r="C109" t="str">
            <v>SLT0011088</v>
          </cell>
          <cell r="D109" t="str">
            <v>驾驶员调角器上连接板</v>
          </cell>
          <cell r="F109" t="str">
            <v>EA</v>
          </cell>
          <cell r="H109" t="str">
            <v>钣金件</v>
          </cell>
          <cell r="I109" t="str">
            <v>QStE500TM 2.5</v>
          </cell>
          <cell r="K109" t="str">
            <v>新开</v>
          </cell>
          <cell r="L109" t="str">
            <v>河北外购</v>
          </cell>
          <cell r="M109" t="str">
            <v>吴英格</v>
          </cell>
          <cell r="N109" t="str">
            <v>桥行/苏州荣威/天津京兆</v>
          </cell>
          <cell r="O109">
            <v>1</v>
          </cell>
          <cell r="P109">
            <v>30000</v>
          </cell>
          <cell r="Q109" t="str">
            <v>李燕龙</v>
          </cell>
          <cell r="R109" t="str">
            <v>2022.04.27增加</v>
          </cell>
          <cell r="S109" t="str">
            <v>模具委外</v>
          </cell>
        </row>
        <row r="110">
          <cell r="C110" t="str">
            <v>SLT0011089</v>
          </cell>
          <cell r="D110" t="str">
            <v>靠背拉线解锁手柄</v>
          </cell>
          <cell r="F110" t="str">
            <v>EA</v>
          </cell>
          <cell r="H110" t="str">
            <v>钣金件</v>
          </cell>
          <cell r="I110" t="str">
            <v>QStE420TM 2.5</v>
          </cell>
          <cell r="K110" t="str">
            <v>新开</v>
          </cell>
          <cell r="L110" t="str">
            <v>河北外购</v>
          </cell>
          <cell r="M110" t="str">
            <v>吴英格</v>
          </cell>
          <cell r="N110" t="str">
            <v>桥行/苏州荣威/天津京兆</v>
          </cell>
          <cell r="O110">
            <v>1</v>
          </cell>
          <cell r="P110">
            <v>30000</v>
          </cell>
          <cell r="Q110" t="str">
            <v>李燕龙</v>
          </cell>
          <cell r="R110" t="str">
            <v>2022.04.27增加</v>
          </cell>
          <cell r="S110" t="str">
            <v>模具委外</v>
          </cell>
        </row>
        <row r="111">
          <cell r="C111" t="str">
            <v>SLT0011113</v>
          </cell>
          <cell r="D111" t="str">
            <v>解锁旋转轴</v>
          </cell>
          <cell r="F111" t="str">
            <v>EA</v>
          </cell>
          <cell r="H111" t="str">
            <v>机加件</v>
          </cell>
          <cell r="I111" t="str">
            <v>Q235 φ4</v>
          </cell>
          <cell r="K111" t="str">
            <v>新开</v>
          </cell>
          <cell r="L111" t="str">
            <v>河北外购</v>
          </cell>
          <cell r="M111" t="str">
            <v>吴英格</v>
          </cell>
          <cell r="N111" t="str">
            <v>兴岳/旭兴/政锦</v>
          </cell>
          <cell r="O111">
            <v>1</v>
          </cell>
          <cell r="P111">
            <v>30000</v>
          </cell>
          <cell r="Q111" t="str">
            <v>李燕龙</v>
          </cell>
          <cell r="R111" t="str">
            <v>2022.04.27增加</v>
          </cell>
          <cell r="S111" t="str">
            <v>委外</v>
          </cell>
          <cell r="T111">
            <v>0.1</v>
          </cell>
        </row>
        <row r="112">
          <cell r="C112" t="str">
            <v>SLT0011114</v>
          </cell>
          <cell r="D112" t="str">
            <v>扭簧</v>
          </cell>
          <cell r="F112" t="str">
            <v>EA</v>
          </cell>
          <cell r="H112" t="str">
            <v>钢丝</v>
          </cell>
          <cell r="I112" t="str">
            <v>SWPB φ1.2</v>
          </cell>
          <cell r="K112" t="str">
            <v>新开</v>
          </cell>
          <cell r="L112" t="str">
            <v>河北外购</v>
          </cell>
          <cell r="M112" t="str">
            <v>吴英格</v>
          </cell>
          <cell r="N112" t="str">
            <v>海兴中盛</v>
          </cell>
          <cell r="O112">
            <v>1</v>
          </cell>
          <cell r="P112">
            <v>30000</v>
          </cell>
          <cell r="Q112" t="str">
            <v>李燕龙</v>
          </cell>
          <cell r="R112" t="str">
            <v>2022.04.27增加</v>
          </cell>
          <cell r="S112" t="str">
            <v>委外</v>
          </cell>
          <cell r="T112">
            <v>0.1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51"/>
  <sheetViews>
    <sheetView zoomScale="70" zoomScaleNormal="70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AK6" sqref="AK6"/>
    </sheetView>
  </sheetViews>
  <sheetFormatPr defaultColWidth="9" defaultRowHeight="14.4"/>
  <cols>
    <col min="1" max="1" width="4.109375" customWidth="1"/>
    <col min="2" max="2" width="13.5546875" style="1" customWidth="1"/>
    <col min="3" max="3" width="14.33203125" style="1" customWidth="1"/>
    <col min="4" max="4" width="23.21875" style="1" customWidth="1"/>
    <col min="5" max="5" width="7.21875" customWidth="1"/>
    <col min="6" max="6" width="9" style="45"/>
    <col min="8" max="9" width="12.21875" style="2" customWidth="1"/>
    <col min="10" max="10" width="9.109375" style="2" customWidth="1"/>
    <col min="11" max="11" width="8.44140625" style="3" customWidth="1"/>
    <col min="12" max="12" width="24.5546875" style="8" customWidth="1"/>
    <col min="13" max="13" width="10.88671875" customWidth="1"/>
    <col min="14" max="14" width="10" customWidth="1"/>
    <col min="15" max="15" width="11.88671875" style="31" customWidth="1"/>
    <col min="16" max="16" width="9.6640625" style="35" customWidth="1"/>
    <col min="17" max="17" width="10.6640625" style="35" customWidth="1"/>
    <col min="18" max="18" width="10.6640625" style="31" customWidth="1"/>
    <col min="19" max="20" width="9" style="35"/>
    <col min="21" max="21" width="9" style="31"/>
    <col min="22" max="23" width="9" style="28"/>
    <col min="24" max="24" width="9" style="31"/>
    <col min="25" max="25" width="9" style="28"/>
    <col min="26" max="26" width="4.5546875" style="28" customWidth="1"/>
    <col min="27" max="27" width="9" style="31"/>
    <col min="28" max="29" width="6.109375" style="35" customWidth="1"/>
    <col min="30" max="32" width="9" style="31"/>
    <col min="33" max="33" width="13.77734375" style="28" customWidth="1"/>
    <col min="34" max="34" width="30.88671875" style="28" customWidth="1"/>
  </cols>
  <sheetData>
    <row r="1" spans="1:35" ht="24" customHeight="1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M1" s="25" t="s">
        <v>78</v>
      </c>
      <c r="O1" s="39"/>
    </row>
    <row r="2" spans="1:35" s="19" customFormat="1" ht="58.8" customHeight="1">
      <c r="A2" s="16" t="s">
        <v>1</v>
      </c>
      <c r="B2" s="17" t="s">
        <v>2</v>
      </c>
      <c r="C2" s="17" t="s">
        <v>3</v>
      </c>
      <c r="D2" s="17" t="s">
        <v>4</v>
      </c>
      <c r="E2" s="16" t="s">
        <v>5</v>
      </c>
      <c r="F2" s="46" t="s">
        <v>6</v>
      </c>
      <c r="G2" s="16" t="s">
        <v>7</v>
      </c>
      <c r="H2" s="18" t="s">
        <v>68</v>
      </c>
      <c r="I2" s="18" t="s">
        <v>69</v>
      </c>
      <c r="J2" s="18" t="s">
        <v>8</v>
      </c>
      <c r="K2" s="18" t="s">
        <v>9</v>
      </c>
      <c r="L2" s="14" t="s">
        <v>60</v>
      </c>
      <c r="M2" s="16" t="s">
        <v>94</v>
      </c>
      <c r="N2" s="26" t="s">
        <v>84</v>
      </c>
      <c r="O2" s="32" t="s">
        <v>79</v>
      </c>
      <c r="P2" s="36" t="s">
        <v>80</v>
      </c>
      <c r="Q2" s="36" t="s">
        <v>81</v>
      </c>
      <c r="R2" s="32" t="s">
        <v>86</v>
      </c>
      <c r="S2" s="36" t="s">
        <v>82</v>
      </c>
      <c r="T2" s="36" t="s">
        <v>83</v>
      </c>
      <c r="U2" s="32" t="s">
        <v>87</v>
      </c>
      <c r="V2" s="29" t="s">
        <v>88</v>
      </c>
      <c r="W2" s="29" t="s">
        <v>89</v>
      </c>
      <c r="X2" s="32" t="s">
        <v>90</v>
      </c>
      <c r="Y2" s="29" t="s">
        <v>92</v>
      </c>
      <c r="Z2" s="29" t="s">
        <v>91</v>
      </c>
      <c r="AA2" s="32" t="s">
        <v>93</v>
      </c>
      <c r="AB2" s="36" t="s">
        <v>97</v>
      </c>
      <c r="AC2" s="36" t="s">
        <v>98</v>
      </c>
      <c r="AD2" s="32" t="s">
        <v>99</v>
      </c>
      <c r="AE2" s="32" t="s">
        <v>104</v>
      </c>
      <c r="AF2" s="32" t="s">
        <v>105</v>
      </c>
      <c r="AG2" s="30" t="s">
        <v>85</v>
      </c>
      <c r="AH2" s="30" t="s">
        <v>106</v>
      </c>
    </row>
    <row r="3" spans="1:35" ht="32.4" customHeight="1">
      <c r="A3" s="4">
        <v>1</v>
      </c>
      <c r="B3" s="5" t="s">
        <v>10</v>
      </c>
      <c r="C3" s="5" t="s">
        <v>72</v>
      </c>
      <c r="D3" s="6" t="s">
        <v>11</v>
      </c>
      <c r="E3" s="4">
        <v>1</v>
      </c>
      <c r="F3" s="4">
        <v>0.504</v>
      </c>
      <c r="G3" s="4">
        <v>0.95</v>
      </c>
      <c r="H3" s="7">
        <f t="shared" ref="H3:H29" si="0">E3*F3</f>
        <v>0.504</v>
      </c>
      <c r="I3" s="7">
        <f t="shared" ref="I3:I29" si="1">E3*G3</f>
        <v>0.95</v>
      </c>
      <c r="J3" s="7">
        <f>I3-H3</f>
        <v>0.44599999999999995</v>
      </c>
      <c r="K3" s="12">
        <f>J3/H3</f>
        <v>0.88492063492063477</v>
      </c>
      <c r="L3" s="9" t="s">
        <v>65</v>
      </c>
      <c r="M3" s="4">
        <v>6.0999999999999999E-2</v>
      </c>
      <c r="N3" s="27">
        <v>9</v>
      </c>
      <c r="O3" s="33">
        <f>M3*N3</f>
        <v>0.54899999999999993</v>
      </c>
      <c r="P3" s="37">
        <v>2</v>
      </c>
      <c r="Q3" s="37">
        <v>0.04</v>
      </c>
      <c r="R3" s="33">
        <f>P3*Q3</f>
        <v>0.08</v>
      </c>
      <c r="S3" s="37">
        <v>2</v>
      </c>
      <c r="T3" s="37">
        <v>0.04</v>
      </c>
      <c r="U3" s="33">
        <f>S3*T3</f>
        <v>0.08</v>
      </c>
      <c r="V3" s="27"/>
      <c r="W3" s="27"/>
      <c r="X3" s="33"/>
      <c r="Y3" s="27"/>
      <c r="Z3" s="27"/>
      <c r="AA3" s="33"/>
      <c r="AB3" s="37"/>
      <c r="AC3" s="37"/>
      <c r="AD3" s="33"/>
      <c r="AE3" s="33"/>
      <c r="AF3" s="33"/>
      <c r="AG3" s="40">
        <f>SUM(O3+R3+U3+X3+AA3+AD3+AE3+AF3)</f>
        <v>0.70899999999999985</v>
      </c>
      <c r="AH3" s="27"/>
    </row>
    <row r="4" spans="1:35" ht="32.4" customHeight="1">
      <c r="A4" s="4">
        <v>2</v>
      </c>
      <c r="B4" s="5" t="s">
        <v>12</v>
      </c>
      <c r="C4" s="5" t="s">
        <v>95</v>
      </c>
      <c r="D4" s="6" t="s">
        <v>13</v>
      </c>
      <c r="E4" s="4">
        <v>1</v>
      </c>
      <c r="F4" s="4">
        <v>0.46400000000000002</v>
      </c>
      <c r="G4" s="4">
        <v>0.93</v>
      </c>
      <c r="H4" s="7">
        <f t="shared" si="0"/>
        <v>0.46400000000000002</v>
      </c>
      <c r="I4" s="7">
        <f t="shared" si="1"/>
        <v>0.93</v>
      </c>
      <c r="J4" s="7">
        <f t="shared" ref="J4:J29" si="2">I4-H4</f>
        <v>0.46600000000000003</v>
      </c>
      <c r="K4" s="12">
        <f t="shared" ref="K4:K29" si="3">J4/H4</f>
        <v>1.0043103448275863</v>
      </c>
      <c r="L4" s="9" t="s">
        <v>65</v>
      </c>
      <c r="M4" s="4">
        <v>0.06</v>
      </c>
      <c r="N4" s="27">
        <v>9</v>
      </c>
      <c r="O4" s="33">
        <f t="shared" ref="O4:O28" si="4">M4*N4</f>
        <v>0.54</v>
      </c>
      <c r="P4" s="37">
        <v>2</v>
      </c>
      <c r="Q4" s="37">
        <v>0.04</v>
      </c>
      <c r="R4" s="33">
        <f>P4*Q4</f>
        <v>0.08</v>
      </c>
      <c r="S4" s="37">
        <v>2</v>
      </c>
      <c r="T4" s="37">
        <v>0.04</v>
      </c>
      <c r="U4" s="33">
        <f>S4*T4</f>
        <v>0.08</v>
      </c>
      <c r="V4" s="27"/>
      <c r="W4" s="27"/>
      <c r="X4" s="33"/>
      <c r="Y4" s="27"/>
      <c r="Z4" s="27"/>
      <c r="AA4" s="33"/>
      <c r="AB4" s="37"/>
      <c r="AC4" s="37"/>
      <c r="AD4" s="33"/>
      <c r="AE4" s="33"/>
      <c r="AF4" s="33"/>
      <c r="AG4" s="40">
        <f>SUM(O4+R4+U4+X4+AA4+AD4+AE4+AF4)</f>
        <v>0.7</v>
      </c>
      <c r="AH4" s="27"/>
    </row>
    <row r="5" spans="1:35" ht="48" customHeight="1">
      <c r="A5" s="4">
        <v>3</v>
      </c>
      <c r="B5" s="5" t="s">
        <v>14</v>
      </c>
      <c r="C5" s="5" t="s">
        <v>96</v>
      </c>
      <c r="D5" s="5" t="s">
        <v>15</v>
      </c>
      <c r="E5" s="4">
        <v>1</v>
      </c>
      <c r="F5" s="4">
        <v>10.89</v>
      </c>
      <c r="G5" s="4">
        <v>26.3</v>
      </c>
      <c r="H5" s="7">
        <f t="shared" si="0"/>
        <v>10.89</v>
      </c>
      <c r="I5" s="7">
        <f t="shared" si="1"/>
        <v>26.3</v>
      </c>
      <c r="J5" s="7">
        <f t="shared" si="2"/>
        <v>15.41</v>
      </c>
      <c r="K5" s="12">
        <f t="shared" si="3"/>
        <v>1.4150596877869606</v>
      </c>
      <c r="L5" s="10" t="s">
        <v>70</v>
      </c>
      <c r="M5" s="4">
        <f>1.469-0.0494*4</f>
        <v>1.2714000000000001</v>
      </c>
      <c r="N5" s="27">
        <v>9</v>
      </c>
      <c r="O5" s="33">
        <f>M5*N5</f>
        <v>11.442600000000001</v>
      </c>
      <c r="P5" s="37"/>
      <c r="Q5" s="37"/>
      <c r="R5" s="33"/>
      <c r="S5" s="37"/>
      <c r="T5" s="37"/>
      <c r="U5" s="33"/>
      <c r="V5" s="27">
        <f>6+4.5+1+4.5+27</f>
        <v>43</v>
      </c>
      <c r="W5" s="27">
        <v>0.05</v>
      </c>
      <c r="X5" s="33">
        <f>V5*W5</f>
        <v>2.15</v>
      </c>
      <c r="Y5" s="27">
        <v>4</v>
      </c>
      <c r="Z5" s="27"/>
      <c r="AA5" s="33">
        <f>0.6+0.8</f>
        <v>1.4</v>
      </c>
      <c r="AB5" s="37"/>
      <c r="AC5" s="37"/>
      <c r="AD5" s="33">
        <v>5</v>
      </c>
      <c r="AE5" s="33">
        <f>4000/26/8/3600*30</f>
        <v>0.16025641025641027</v>
      </c>
      <c r="AF5" s="33">
        <v>1</v>
      </c>
      <c r="AG5" s="40">
        <f>SUM(O5+R5+U5+X5+AA5+AD5+AE5+AF5)</f>
        <v>21.152856410256412</v>
      </c>
      <c r="AH5" s="27"/>
      <c r="AI5" s="25" t="s">
        <v>119</v>
      </c>
    </row>
    <row r="6" spans="1:35" s="45" customFormat="1" ht="61.8" customHeight="1">
      <c r="A6" s="4">
        <v>4</v>
      </c>
      <c r="B6" s="6" t="s">
        <v>16</v>
      </c>
      <c r="C6" s="6" t="s">
        <v>100</v>
      </c>
      <c r="D6" s="6" t="s">
        <v>15</v>
      </c>
      <c r="E6" s="4">
        <v>1</v>
      </c>
      <c r="F6" s="4">
        <v>11.59</v>
      </c>
      <c r="G6" s="4">
        <v>29.6</v>
      </c>
      <c r="H6" s="7">
        <f t="shared" si="0"/>
        <v>11.59</v>
      </c>
      <c r="I6" s="7">
        <f t="shared" si="1"/>
        <v>29.6</v>
      </c>
      <c r="J6" s="7">
        <f t="shared" si="2"/>
        <v>18.010000000000002</v>
      </c>
      <c r="K6" s="12">
        <f t="shared" si="3"/>
        <v>1.553925798101812</v>
      </c>
      <c r="L6" s="10" t="s">
        <v>63</v>
      </c>
      <c r="M6" s="4">
        <v>1.595</v>
      </c>
      <c r="N6" s="37">
        <v>9</v>
      </c>
      <c r="O6" s="33">
        <f t="shared" si="4"/>
        <v>14.355</v>
      </c>
      <c r="P6" s="43"/>
      <c r="Q6" s="37"/>
      <c r="R6" s="33"/>
      <c r="S6" s="37"/>
      <c r="T6" s="37"/>
      <c r="U6" s="33"/>
      <c r="V6" s="37"/>
      <c r="W6" s="37"/>
      <c r="X6" s="33"/>
      <c r="Y6" s="37"/>
      <c r="Z6" s="37"/>
      <c r="AA6" s="33">
        <v>2.5</v>
      </c>
      <c r="AB6" s="37"/>
      <c r="AC6" s="37"/>
      <c r="AD6" s="33"/>
      <c r="AE6" s="33"/>
      <c r="AF6" s="33"/>
      <c r="AG6" s="44">
        <f>AG5+AA6</f>
        <v>23.652856410256412</v>
      </c>
      <c r="AH6" s="43" t="s">
        <v>101</v>
      </c>
    </row>
    <row r="7" spans="1:35" s="63" customFormat="1" ht="32.4" customHeight="1">
      <c r="A7" s="20">
        <v>5</v>
      </c>
      <c r="B7" s="21" t="s">
        <v>102</v>
      </c>
      <c r="C7" s="21" t="s">
        <v>102</v>
      </c>
      <c r="D7" s="22" t="s">
        <v>17</v>
      </c>
      <c r="E7" s="20">
        <v>1</v>
      </c>
      <c r="F7" s="20">
        <v>17.8552</v>
      </c>
      <c r="G7" s="20">
        <v>27.68</v>
      </c>
      <c r="H7" s="23">
        <f t="shared" si="0"/>
        <v>17.8552</v>
      </c>
      <c r="I7" s="23">
        <f t="shared" si="1"/>
        <v>27.68</v>
      </c>
      <c r="J7" s="23">
        <f t="shared" si="2"/>
        <v>9.8247999999999998</v>
      </c>
      <c r="K7" s="24">
        <f t="shared" si="3"/>
        <v>0.55024866705497555</v>
      </c>
      <c r="L7" s="11" t="s">
        <v>66</v>
      </c>
      <c r="M7" s="20">
        <f>1.532-0.205-0.207-0.036-0.058</f>
        <v>1.0259999999999998</v>
      </c>
      <c r="N7" s="61">
        <v>9</v>
      </c>
      <c r="O7" s="61">
        <f t="shared" si="4"/>
        <v>9.2339999999999982</v>
      </c>
      <c r="P7" s="61"/>
      <c r="Q7" s="61"/>
      <c r="R7" s="61"/>
      <c r="S7" s="61"/>
      <c r="T7" s="61"/>
      <c r="U7" s="61"/>
      <c r="V7" s="61">
        <v>37.5</v>
      </c>
      <c r="W7" s="61">
        <v>0.05</v>
      </c>
      <c r="X7" s="61">
        <f>V7*W7</f>
        <v>1.875</v>
      </c>
      <c r="Y7" s="61">
        <v>4</v>
      </c>
      <c r="Z7" s="61"/>
      <c r="AA7" s="61">
        <v>6.6</v>
      </c>
      <c r="AB7" s="61"/>
      <c r="AC7" s="61"/>
      <c r="AD7" s="61">
        <v>5.3</v>
      </c>
      <c r="AE7" s="61">
        <f>4000/26/8/3600*30</f>
        <v>0.16025641025641027</v>
      </c>
      <c r="AF7" s="61">
        <v>1</v>
      </c>
      <c r="AG7" s="62">
        <f>SUM(O7+R7+U7+X7+AA7+AD7+AE7+AF7)</f>
        <v>24.169256410256406</v>
      </c>
      <c r="AH7" s="61"/>
    </row>
    <row r="8" spans="1:35" ht="32.4" customHeight="1">
      <c r="A8" s="4">
        <v>6</v>
      </c>
      <c r="B8" s="5" t="s">
        <v>18</v>
      </c>
      <c r="C8" s="5" t="s">
        <v>103</v>
      </c>
      <c r="D8" s="6" t="s">
        <v>17</v>
      </c>
      <c r="E8" s="4">
        <v>1</v>
      </c>
      <c r="F8" s="4">
        <v>16.766999999999999</v>
      </c>
      <c r="G8" s="4">
        <v>25.83</v>
      </c>
      <c r="H8" s="7">
        <f t="shared" si="0"/>
        <v>16.766999999999999</v>
      </c>
      <c r="I8" s="7">
        <f t="shared" si="1"/>
        <v>25.83</v>
      </c>
      <c r="J8" s="7">
        <f t="shared" si="2"/>
        <v>9.0629999999999988</v>
      </c>
      <c r="K8" s="12">
        <f t="shared" si="3"/>
        <v>0.54052603327965643</v>
      </c>
      <c r="L8" s="9" t="s">
        <v>66</v>
      </c>
      <c r="M8" s="4">
        <f>1.2084-0.205-0.209-0.063-0.058</f>
        <v>0.67339999999999978</v>
      </c>
      <c r="N8" s="27">
        <v>9</v>
      </c>
      <c r="O8" s="33">
        <f t="shared" si="4"/>
        <v>6.0605999999999982</v>
      </c>
      <c r="P8" s="37"/>
      <c r="Q8" s="37"/>
      <c r="R8" s="33"/>
      <c r="S8" s="37"/>
      <c r="T8" s="37"/>
      <c r="U8" s="33"/>
      <c r="V8" s="27">
        <v>31.5</v>
      </c>
      <c r="W8" s="27">
        <v>0.05</v>
      </c>
      <c r="X8" s="33">
        <f>V8*W8</f>
        <v>1.5750000000000002</v>
      </c>
      <c r="Y8" s="27">
        <v>4</v>
      </c>
      <c r="Z8" s="27"/>
      <c r="AA8" s="33">
        <v>6.6</v>
      </c>
      <c r="AB8" s="37"/>
      <c r="AC8" s="37"/>
      <c r="AD8" s="33">
        <v>5</v>
      </c>
      <c r="AE8" s="33">
        <f>4000/26/8/3600*30</f>
        <v>0.16025641025641027</v>
      </c>
      <c r="AF8" s="33"/>
      <c r="AG8" s="40">
        <f>SUM(O8+R8+U8+X8+AA8+AD8+AE8+AF8)</f>
        <v>19.395856410256407</v>
      </c>
      <c r="AH8" s="27"/>
    </row>
    <row r="9" spans="1:35" ht="32.4" customHeight="1">
      <c r="A9" s="4">
        <v>7</v>
      </c>
      <c r="B9" s="5" t="s">
        <v>19</v>
      </c>
      <c r="C9" s="5" t="s">
        <v>19</v>
      </c>
      <c r="D9" s="6" t="s">
        <v>20</v>
      </c>
      <c r="E9" s="4">
        <v>1</v>
      </c>
      <c r="F9" s="4">
        <v>3.53</v>
      </c>
      <c r="G9" s="4">
        <v>8.11</v>
      </c>
      <c r="H9" s="7">
        <f t="shared" si="0"/>
        <v>3.53</v>
      </c>
      <c r="I9" s="7">
        <f t="shared" si="1"/>
        <v>8.11</v>
      </c>
      <c r="J9" s="7">
        <f t="shared" si="2"/>
        <v>4.58</v>
      </c>
      <c r="K9" s="12">
        <f t="shared" si="3"/>
        <v>1.2974504249291785</v>
      </c>
      <c r="L9" s="10" t="s">
        <v>64</v>
      </c>
      <c r="M9" s="4">
        <f>0.094+0.453</f>
        <v>0.54700000000000004</v>
      </c>
      <c r="N9" s="27">
        <v>9</v>
      </c>
      <c r="O9" s="33">
        <f t="shared" si="4"/>
        <v>4.923</v>
      </c>
      <c r="P9" s="37"/>
      <c r="Q9" s="37"/>
      <c r="R9" s="33"/>
      <c r="S9" s="37"/>
      <c r="T9" s="37"/>
      <c r="U9" s="33"/>
      <c r="V9" s="27">
        <v>21.2</v>
      </c>
      <c r="W9" s="27">
        <v>0.05</v>
      </c>
      <c r="X9" s="33">
        <f>V9*W9</f>
        <v>1.06</v>
      </c>
      <c r="Y9" s="27">
        <v>2</v>
      </c>
      <c r="Z9" s="27"/>
      <c r="AA9" s="33">
        <v>1.2</v>
      </c>
      <c r="AB9" s="37"/>
      <c r="AC9" s="37"/>
      <c r="AD9" s="33"/>
      <c r="AE9" s="33">
        <f>4000/26/8/3600*30</f>
        <v>0.16025641025641027</v>
      </c>
      <c r="AF9" s="33">
        <v>0.4</v>
      </c>
      <c r="AG9" s="40">
        <f>SUM(O9+R9+U9+X9+AA9+AD9+AE9+AF9)</f>
        <v>7.7432564102564116</v>
      </c>
      <c r="AH9" s="27"/>
    </row>
    <row r="10" spans="1:35" ht="32.4" customHeight="1">
      <c r="A10" s="4">
        <v>8</v>
      </c>
      <c r="B10" s="5" t="s">
        <v>21</v>
      </c>
      <c r="C10" s="5" t="s">
        <v>21</v>
      </c>
      <c r="D10" s="6" t="s">
        <v>22</v>
      </c>
      <c r="E10" s="4">
        <v>2</v>
      </c>
      <c r="F10" s="4">
        <v>0.36</v>
      </c>
      <c r="G10" s="4">
        <v>0.68</v>
      </c>
      <c r="H10" s="7">
        <f t="shared" si="0"/>
        <v>0.72</v>
      </c>
      <c r="I10" s="7">
        <f t="shared" si="1"/>
        <v>1.36</v>
      </c>
      <c r="J10" s="7">
        <f t="shared" si="2"/>
        <v>0.64000000000000012</v>
      </c>
      <c r="K10" s="12">
        <f t="shared" si="3"/>
        <v>0.88888888888888906</v>
      </c>
      <c r="L10" s="9" t="s">
        <v>62</v>
      </c>
      <c r="M10" s="4">
        <v>6.5199999999999994E-2</v>
      </c>
      <c r="N10" s="27">
        <v>9</v>
      </c>
      <c r="O10" s="33">
        <f t="shared" si="4"/>
        <v>0.58679999999999999</v>
      </c>
      <c r="P10" s="37"/>
      <c r="Q10" s="37"/>
      <c r="R10" s="33"/>
      <c r="S10" s="37"/>
      <c r="T10" s="37"/>
      <c r="U10" s="33"/>
      <c r="V10" s="27"/>
      <c r="W10" s="27"/>
      <c r="X10" s="33"/>
      <c r="Y10" s="27"/>
      <c r="Z10" s="27"/>
      <c r="AA10" s="33"/>
      <c r="AB10" s="37"/>
      <c r="AC10" s="37"/>
      <c r="AD10" s="33"/>
      <c r="AE10" s="33"/>
      <c r="AF10" s="33"/>
      <c r="AG10" s="40">
        <f t="shared" ref="AG10:AG30" si="5">SUM(O10+R10+U10+X10+AA10+AD10+AE10+AF10)</f>
        <v>0.58679999999999999</v>
      </c>
      <c r="AH10" s="27"/>
    </row>
    <row r="11" spans="1:35" s="45" customFormat="1" ht="32.4" customHeight="1">
      <c r="A11" s="4">
        <v>9</v>
      </c>
      <c r="B11" s="5" t="s">
        <v>23</v>
      </c>
      <c r="C11" s="5" t="s">
        <v>73</v>
      </c>
      <c r="D11" s="6" t="s">
        <v>24</v>
      </c>
      <c r="E11" s="4">
        <v>2</v>
      </c>
      <c r="F11" s="4">
        <v>0.59199999999999997</v>
      </c>
      <c r="G11" s="4">
        <v>1.05</v>
      </c>
      <c r="H11" s="7">
        <f t="shared" si="0"/>
        <v>1.1839999999999999</v>
      </c>
      <c r="I11" s="7">
        <f t="shared" si="1"/>
        <v>2.1</v>
      </c>
      <c r="J11" s="7">
        <f t="shared" si="2"/>
        <v>0.91600000000000015</v>
      </c>
      <c r="K11" s="12">
        <f t="shared" si="3"/>
        <v>0.7736486486486488</v>
      </c>
      <c r="L11" s="42" t="s">
        <v>62</v>
      </c>
      <c r="M11" s="4">
        <v>0.10299999999999999</v>
      </c>
      <c r="N11" s="37">
        <v>9</v>
      </c>
      <c r="O11" s="33">
        <f t="shared" si="4"/>
        <v>0.92699999999999994</v>
      </c>
      <c r="P11" s="37"/>
      <c r="Q11" s="37"/>
      <c r="R11" s="33"/>
      <c r="S11" s="37"/>
      <c r="T11" s="37"/>
      <c r="U11" s="33"/>
      <c r="V11" s="37"/>
      <c r="W11" s="37"/>
      <c r="X11" s="33"/>
      <c r="Y11" s="37"/>
      <c r="Z11" s="37"/>
      <c r="AA11" s="33"/>
      <c r="AB11" s="37"/>
      <c r="AC11" s="37"/>
      <c r="AD11" s="33"/>
      <c r="AE11" s="33"/>
      <c r="AF11" s="33"/>
      <c r="AG11" s="44">
        <f t="shared" si="5"/>
        <v>0.92699999999999994</v>
      </c>
      <c r="AH11" s="37"/>
    </row>
    <row r="12" spans="1:35" s="45" customFormat="1" ht="32.4" customHeight="1">
      <c r="A12" s="4">
        <v>10</v>
      </c>
      <c r="B12" s="5" t="s">
        <v>25</v>
      </c>
      <c r="C12" s="5" t="s">
        <v>25</v>
      </c>
      <c r="D12" s="6" t="s">
        <v>26</v>
      </c>
      <c r="E12" s="4">
        <v>3</v>
      </c>
      <c r="F12" s="4">
        <v>0.504</v>
      </c>
      <c r="G12" s="4">
        <v>0.65</v>
      </c>
      <c r="H12" s="7">
        <f t="shared" si="0"/>
        <v>1.512</v>
      </c>
      <c r="I12" s="7">
        <f t="shared" si="1"/>
        <v>1.9500000000000002</v>
      </c>
      <c r="J12" s="7">
        <f t="shared" si="2"/>
        <v>0.43800000000000017</v>
      </c>
      <c r="K12" s="12">
        <f t="shared" si="3"/>
        <v>0.28968253968253976</v>
      </c>
      <c r="L12" s="42" t="s">
        <v>62</v>
      </c>
      <c r="M12" s="4">
        <v>6.3E-2</v>
      </c>
      <c r="N12" s="37">
        <v>9</v>
      </c>
      <c r="O12" s="33">
        <f t="shared" si="4"/>
        <v>0.56699999999999995</v>
      </c>
      <c r="P12" s="37"/>
      <c r="Q12" s="37"/>
      <c r="R12" s="33"/>
      <c r="S12" s="37"/>
      <c r="T12" s="37"/>
      <c r="U12" s="33"/>
      <c r="V12" s="37"/>
      <c r="W12" s="37"/>
      <c r="X12" s="33"/>
      <c r="Y12" s="37"/>
      <c r="Z12" s="37"/>
      <c r="AA12" s="33"/>
      <c r="AB12" s="37"/>
      <c r="AC12" s="37"/>
      <c r="AD12" s="33"/>
      <c r="AE12" s="33"/>
      <c r="AF12" s="33"/>
      <c r="AG12" s="44">
        <f t="shared" si="5"/>
        <v>0.56699999999999995</v>
      </c>
      <c r="AH12" s="37"/>
    </row>
    <row r="13" spans="1:35" s="45" customFormat="1" ht="32.4" customHeight="1">
      <c r="A13" s="4">
        <v>11</v>
      </c>
      <c r="B13" s="5" t="s">
        <v>27</v>
      </c>
      <c r="C13" s="5" t="s">
        <v>27</v>
      </c>
      <c r="D13" s="6" t="s">
        <v>28</v>
      </c>
      <c r="E13" s="4">
        <v>2</v>
      </c>
      <c r="F13" s="4">
        <v>0.26400000000000001</v>
      </c>
      <c r="G13" s="4">
        <v>0.5</v>
      </c>
      <c r="H13" s="7">
        <f t="shared" si="0"/>
        <v>0.52800000000000002</v>
      </c>
      <c r="I13" s="7">
        <f t="shared" si="1"/>
        <v>1</v>
      </c>
      <c r="J13" s="7">
        <f t="shared" si="2"/>
        <v>0.47199999999999998</v>
      </c>
      <c r="K13" s="12">
        <f t="shared" si="3"/>
        <v>0.89393939393939381</v>
      </c>
      <c r="L13" s="42" t="s">
        <v>62</v>
      </c>
      <c r="M13" s="4">
        <v>5.3999999999999999E-2</v>
      </c>
      <c r="N13" s="37">
        <v>9</v>
      </c>
      <c r="O13" s="33">
        <f t="shared" si="4"/>
        <v>0.48599999999999999</v>
      </c>
      <c r="P13" s="37"/>
      <c r="Q13" s="37"/>
      <c r="R13" s="33"/>
      <c r="S13" s="37"/>
      <c r="T13" s="37"/>
      <c r="U13" s="33"/>
      <c r="V13" s="37"/>
      <c r="W13" s="37"/>
      <c r="X13" s="33"/>
      <c r="Y13" s="37"/>
      <c r="Z13" s="37"/>
      <c r="AA13" s="33"/>
      <c r="AB13" s="37"/>
      <c r="AC13" s="37"/>
      <c r="AD13" s="33"/>
      <c r="AE13" s="33"/>
      <c r="AF13" s="33"/>
      <c r="AG13" s="44">
        <f t="shared" si="5"/>
        <v>0.48599999999999999</v>
      </c>
      <c r="AH13" s="37"/>
    </row>
    <row r="14" spans="1:35" s="45" customFormat="1" ht="32.4" customHeight="1">
      <c r="A14" s="4">
        <v>12</v>
      </c>
      <c r="B14" s="5" t="s">
        <v>29</v>
      </c>
      <c r="C14" s="5" t="s">
        <v>74</v>
      </c>
      <c r="D14" s="6" t="s">
        <v>30</v>
      </c>
      <c r="E14" s="4">
        <v>1</v>
      </c>
      <c r="F14" s="4">
        <v>0.315</v>
      </c>
      <c r="G14" s="4">
        <v>0.37</v>
      </c>
      <c r="H14" s="7">
        <f t="shared" si="0"/>
        <v>0.315</v>
      </c>
      <c r="I14" s="7">
        <f t="shared" si="1"/>
        <v>0.37</v>
      </c>
      <c r="J14" s="7">
        <f t="shared" si="2"/>
        <v>5.4999999999999993E-2</v>
      </c>
      <c r="K14" s="12">
        <f t="shared" si="3"/>
        <v>0.17460317460317459</v>
      </c>
      <c r="L14" s="42" t="s">
        <v>62</v>
      </c>
      <c r="M14" s="4">
        <v>3.5000000000000003E-2</v>
      </c>
      <c r="N14" s="37">
        <v>9</v>
      </c>
      <c r="O14" s="33">
        <f t="shared" si="4"/>
        <v>0.31500000000000006</v>
      </c>
      <c r="P14" s="37"/>
      <c r="Q14" s="37"/>
      <c r="R14" s="33"/>
      <c r="S14" s="37"/>
      <c r="T14" s="37"/>
      <c r="U14" s="33"/>
      <c r="V14" s="37"/>
      <c r="W14" s="37"/>
      <c r="X14" s="33"/>
      <c r="Y14" s="37"/>
      <c r="Z14" s="37"/>
      <c r="AA14" s="33"/>
      <c r="AB14" s="37"/>
      <c r="AC14" s="37"/>
      <c r="AD14" s="33"/>
      <c r="AE14" s="33"/>
      <c r="AF14" s="33"/>
      <c r="AG14" s="44">
        <f t="shared" si="5"/>
        <v>0.31500000000000006</v>
      </c>
      <c r="AH14" s="37"/>
    </row>
    <row r="15" spans="1:35" s="45" customFormat="1" ht="32.4" customHeight="1">
      <c r="A15" s="4">
        <v>13</v>
      </c>
      <c r="B15" s="5" t="s">
        <v>31</v>
      </c>
      <c r="C15" s="5" t="s">
        <v>31</v>
      </c>
      <c r="D15" s="6" t="s">
        <v>32</v>
      </c>
      <c r="E15" s="4">
        <v>1</v>
      </c>
      <c r="F15" s="4">
        <v>0.315</v>
      </c>
      <c r="G15" s="4">
        <v>0.37</v>
      </c>
      <c r="H15" s="7">
        <f t="shared" si="0"/>
        <v>0.315</v>
      </c>
      <c r="I15" s="7">
        <f t="shared" si="1"/>
        <v>0.37</v>
      </c>
      <c r="J15" s="7">
        <f t="shared" si="2"/>
        <v>5.4999999999999993E-2</v>
      </c>
      <c r="K15" s="12">
        <f t="shared" si="3"/>
        <v>0.17460317460317459</v>
      </c>
      <c r="L15" s="42" t="s">
        <v>62</v>
      </c>
      <c r="M15" s="4">
        <v>3.5000000000000003E-2</v>
      </c>
      <c r="N15" s="37">
        <v>9</v>
      </c>
      <c r="O15" s="33">
        <f t="shared" si="4"/>
        <v>0.31500000000000006</v>
      </c>
      <c r="P15" s="37"/>
      <c r="Q15" s="37"/>
      <c r="R15" s="33"/>
      <c r="S15" s="37"/>
      <c r="T15" s="37"/>
      <c r="U15" s="33"/>
      <c r="V15" s="37"/>
      <c r="W15" s="37"/>
      <c r="X15" s="33"/>
      <c r="Y15" s="37"/>
      <c r="Z15" s="37"/>
      <c r="AA15" s="33"/>
      <c r="AB15" s="37"/>
      <c r="AC15" s="37"/>
      <c r="AD15" s="33"/>
      <c r="AE15" s="33"/>
      <c r="AF15" s="33"/>
      <c r="AG15" s="44">
        <f t="shared" si="5"/>
        <v>0.31500000000000006</v>
      </c>
      <c r="AH15" s="37"/>
    </row>
    <row r="16" spans="1:35" s="45" customFormat="1" ht="32.4" customHeight="1">
      <c r="A16" s="4">
        <v>14</v>
      </c>
      <c r="B16" s="5" t="s">
        <v>33</v>
      </c>
      <c r="C16" s="5" t="s">
        <v>33</v>
      </c>
      <c r="D16" s="6" t="s">
        <v>34</v>
      </c>
      <c r="E16" s="4">
        <v>1</v>
      </c>
      <c r="F16" s="4">
        <v>0.44800000000000001</v>
      </c>
      <c r="G16" s="4">
        <v>0.55000000000000004</v>
      </c>
      <c r="H16" s="7">
        <f t="shared" si="0"/>
        <v>0.44800000000000001</v>
      </c>
      <c r="I16" s="7">
        <f t="shared" si="1"/>
        <v>0.55000000000000004</v>
      </c>
      <c r="J16" s="7">
        <f t="shared" si="2"/>
        <v>0.10200000000000004</v>
      </c>
      <c r="K16" s="12">
        <f t="shared" si="3"/>
        <v>0.22767857142857151</v>
      </c>
      <c r="L16" s="42" t="s">
        <v>62</v>
      </c>
      <c r="M16" s="4">
        <v>5.6000000000000001E-2</v>
      </c>
      <c r="N16" s="37">
        <v>9</v>
      </c>
      <c r="O16" s="33">
        <f t="shared" si="4"/>
        <v>0.504</v>
      </c>
      <c r="P16" s="37"/>
      <c r="Q16" s="37"/>
      <c r="R16" s="33"/>
      <c r="S16" s="37"/>
      <c r="T16" s="37"/>
      <c r="U16" s="33"/>
      <c r="V16" s="37"/>
      <c r="W16" s="37"/>
      <c r="X16" s="33"/>
      <c r="Y16" s="37"/>
      <c r="Z16" s="37"/>
      <c r="AA16" s="33"/>
      <c r="AB16" s="37"/>
      <c r="AC16" s="37"/>
      <c r="AD16" s="33"/>
      <c r="AE16" s="33"/>
      <c r="AF16" s="33"/>
      <c r="AG16" s="44">
        <f t="shared" si="5"/>
        <v>0.504</v>
      </c>
      <c r="AH16" s="37"/>
    </row>
    <row r="17" spans="1:43" s="45" customFormat="1" ht="32.4" customHeight="1">
      <c r="A17" s="4">
        <v>15</v>
      </c>
      <c r="B17" s="5" t="s">
        <v>35</v>
      </c>
      <c r="C17" s="5" t="s">
        <v>75</v>
      </c>
      <c r="D17" s="6" t="s">
        <v>36</v>
      </c>
      <c r="E17" s="4">
        <v>2</v>
      </c>
      <c r="F17" s="4">
        <v>1.62</v>
      </c>
      <c r="G17" s="4">
        <v>1.62</v>
      </c>
      <c r="H17" s="7">
        <f t="shared" si="0"/>
        <v>3.24</v>
      </c>
      <c r="I17" s="7">
        <f t="shared" si="1"/>
        <v>3.24</v>
      </c>
      <c r="J17" s="7">
        <f t="shared" si="2"/>
        <v>0</v>
      </c>
      <c r="K17" s="12">
        <f t="shared" si="3"/>
        <v>0</v>
      </c>
      <c r="L17" s="42" t="s">
        <v>61</v>
      </c>
      <c r="M17" s="4">
        <v>0.10299999999999999</v>
      </c>
      <c r="N17" s="37">
        <v>9</v>
      </c>
      <c r="O17" s="33">
        <f t="shared" si="4"/>
        <v>0.92699999999999994</v>
      </c>
      <c r="P17" s="37"/>
      <c r="Q17" s="37"/>
      <c r="R17" s="33"/>
      <c r="S17" s="37"/>
      <c r="T17" s="37"/>
      <c r="U17" s="33"/>
      <c r="V17" s="37">
        <v>3</v>
      </c>
      <c r="W17" s="37">
        <v>0.05</v>
      </c>
      <c r="X17" s="33">
        <f>V17*W17</f>
        <v>0.15000000000000002</v>
      </c>
      <c r="Y17" s="37"/>
      <c r="Z17" s="37"/>
      <c r="AA17" s="33"/>
      <c r="AB17" s="37"/>
      <c r="AC17" s="37"/>
      <c r="AD17" s="33"/>
      <c r="AE17" s="33"/>
      <c r="AF17" s="33"/>
      <c r="AG17" s="44">
        <f t="shared" si="5"/>
        <v>1.077</v>
      </c>
      <c r="AH17" s="37"/>
    </row>
    <row r="18" spans="1:43" s="45" customFormat="1" ht="32.4" customHeight="1">
      <c r="A18" s="4">
        <v>16</v>
      </c>
      <c r="B18" s="5" t="s">
        <v>37</v>
      </c>
      <c r="C18" s="5" t="s">
        <v>37</v>
      </c>
      <c r="D18" s="6" t="s">
        <v>38</v>
      </c>
      <c r="E18" s="4">
        <v>2</v>
      </c>
      <c r="F18" s="4">
        <v>0.91</v>
      </c>
      <c r="G18" s="4">
        <v>0.91</v>
      </c>
      <c r="H18" s="7">
        <f t="shared" si="0"/>
        <v>1.82</v>
      </c>
      <c r="I18" s="7">
        <f t="shared" si="1"/>
        <v>1.82</v>
      </c>
      <c r="J18" s="7">
        <f t="shared" si="2"/>
        <v>0</v>
      </c>
      <c r="K18" s="12">
        <f t="shared" si="3"/>
        <v>0</v>
      </c>
      <c r="L18" s="42" t="s">
        <v>61</v>
      </c>
      <c r="M18" s="4">
        <v>8.1000000000000003E-2</v>
      </c>
      <c r="N18" s="37">
        <v>9</v>
      </c>
      <c r="O18" s="33">
        <f t="shared" si="4"/>
        <v>0.72899999999999998</v>
      </c>
      <c r="P18" s="37"/>
      <c r="Q18" s="37"/>
      <c r="R18" s="33"/>
      <c r="S18" s="37"/>
      <c r="T18" s="37"/>
      <c r="U18" s="33"/>
      <c r="V18" s="37"/>
      <c r="W18" s="37"/>
      <c r="X18" s="33"/>
      <c r="Y18" s="37"/>
      <c r="Z18" s="37"/>
      <c r="AA18" s="33"/>
      <c r="AB18" s="37"/>
      <c r="AC18" s="37"/>
      <c r="AD18" s="33"/>
      <c r="AE18" s="33"/>
      <c r="AF18" s="33"/>
      <c r="AG18" s="44">
        <f t="shared" si="5"/>
        <v>0.72899999999999998</v>
      </c>
      <c r="AH18" s="37"/>
    </row>
    <row r="19" spans="1:43" s="45" customFormat="1" ht="32.4" customHeight="1">
      <c r="A19" s="4">
        <v>17</v>
      </c>
      <c r="B19" s="5" t="s">
        <v>39</v>
      </c>
      <c r="C19" s="5" t="s">
        <v>76</v>
      </c>
      <c r="D19" s="6" t="s">
        <v>15</v>
      </c>
      <c r="E19" s="4">
        <v>1</v>
      </c>
      <c r="F19" s="4">
        <v>28.8</v>
      </c>
      <c r="G19" s="4">
        <v>28.8</v>
      </c>
      <c r="H19" s="7">
        <f t="shared" si="0"/>
        <v>28.8</v>
      </c>
      <c r="I19" s="7">
        <f t="shared" si="1"/>
        <v>28.8</v>
      </c>
      <c r="J19" s="7">
        <f t="shared" si="2"/>
        <v>0</v>
      </c>
      <c r="K19" s="12">
        <f t="shared" si="3"/>
        <v>0</v>
      </c>
      <c r="L19" s="42" t="s">
        <v>61</v>
      </c>
      <c r="M19" s="4">
        <f>1.392-0.039*2-0.034*2-0.003*2</f>
        <v>1.2399999999999998</v>
      </c>
      <c r="N19" s="37">
        <v>9</v>
      </c>
      <c r="O19" s="33">
        <f t="shared" si="4"/>
        <v>11.159999999999998</v>
      </c>
      <c r="P19" s="37"/>
      <c r="Q19" s="37"/>
      <c r="R19" s="33"/>
      <c r="S19" s="37"/>
      <c r="T19" s="37"/>
      <c r="U19" s="33"/>
      <c r="V19" s="41">
        <f>28*1</f>
        <v>28</v>
      </c>
      <c r="W19" s="37">
        <v>0.05</v>
      </c>
      <c r="X19" s="33">
        <f>V19*W19</f>
        <v>1.4000000000000001</v>
      </c>
      <c r="Y19" s="37"/>
      <c r="Z19" s="37"/>
      <c r="AA19" s="33"/>
      <c r="AB19" s="37"/>
      <c r="AC19" s="37"/>
      <c r="AD19" s="33">
        <v>6.1</v>
      </c>
      <c r="AE19" s="33">
        <f>4000/26/8/3600*30</f>
        <v>0.16025641025641027</v>
      </c>
      <c r="AF19" s="33">
        <v>1</v>
      </c>
      <c r="AG19" s="44">
        <f t="shared" si="5"/>
        <v>19.820256410256405</v>
      </c>
      <c r="AH19" s="37"/>
    </row>
    <row r="20" spans="1:43" s="45" customFormat="1" ht="32.4" customHeight="1">
      <c r="A20" s="4">
        <v>18</v>
      </c>
      <c r="B20" s="5" t="s">
        <v>40</v>
      </c>
      <c r="C20" s="5" t="s">
        <v>40</v>
      </c>
      <c r="D20" s="6" t="s">
        <v>41</v>
      </c>
      <c r="E20" s="4">
        <v>2</v>
      </c>
      <c r="F20" s="4">
        <v>0.52800000000000002</v>
      </c>
      <c r="G20" s="4">
        <v>0.67</v>
      </c>
      <c r="H20" s="7">
        <f t="shared" si="0"/>
        <v>1.056</v>
      </c>
      <c r="I20" s="7">
        <f t="shared" si="1"/>
        <v>1.34</v>
      </c>
      <c r="J20" s="7">
        <f t="shared" si="2"/>
        <v>0.28400000000000003</v>
      </c>
      <c r="K20" s="12">
        <f t="shared" si="3"/>
        <v>0.26893939393939398</v>
      </c>
      <c r="L20" s="42" t="s">
        <v>62</v>
      </c>
      <c r="M20" s="4">
        <v>6.6000000000000003E-2</v>
      </c>
      <c r="N20" s="37">
        <v>9</v>
      </c>
      <c r="O20" s="33">
        <f t="shared" si="4"/>
        <v>0.59400000000000008</v>
      </c>
      <c r="P20" s="37"/>
      <c r="Q20" s="37"/>
      <c r="R20" s="33"/>
      <c r="S20" s="37"/>
      <c r="T20" s="37"/>
      <c r="U20" s="33"/>
      <c r="V20" s="37"/>
      <c r="W20" s="37"/>
      <c r="X20" s="33"/>
      <c r="Y20" s="37"/>
      <c r="Z20" s="37"/>
      <c r="AA20" s="33"/>
      <c r="AB20" s="37"/>
      <c r="AC20" s="37"/>
      <c r="AD20" s="33"/>
      <c r="AE20" s="33"/>
      <c r="AF20" s="33"/>
      <c r="AG20" s="44">
        <f t="shared" si="5"/>
        <v>0.59400000000000008</v>
      </c>
      <c r="AH20" s="37"/>
    </row>
    <row r="21" spans="1:43" s="45" customFormat="1" ht="32.4" customHeight="1">
      <c r="A21" s="4">
        <v>19</v>
      </c>
      <c r="B21" s="5" t="s">
        <v>42</v>
      </c>
      <c r="C21" s="5" t="s">
        <v>42</v>
      </c>
      <c r="D21" s="6" t="s">
        <v>43</v>
      </c>
      <c r="E21" s="4">
        <v>1</v>
      </c>
      <c r="F21" s="4">
        <v>0.39760000000000001</v>
      </c>
      <c r="G21" s="4">
        <v>0.53</v>
      </c>
      <c r="H21" s="7">
        <f t="shared" si="0"/>
        <v>0.39760000000000001</v>
      </c>
      <c r="I21" s="7">
        <f t="shared" si="1"/>
        <v>0.53</v>
      </c>
      <c r="J21" s="7">
        <f t="shared" si="2"/>
        <v>0.13240000000000002</v>
      </c>
      <c r="K21" s="12">
        <f t="shared" si="3"/>
        <v>0.33299798792756541</v>
      </c>
      <c r="L21" s="42" t="s">
        <v>62</v>
      </c>
      <c r="M21" s="4">
        <v>4.9700000000000001E-2</v>
      </c>
      <c r="N21" s="37">
        <v>9</v>
      </c>
      <c r="O21" s="33">
        <f t="shared" si="4"/>
        <v>0.44730000000000003</v>
      </c>
      <c r="P21" s="37"/>
      <c r="Q21" s="37"/>
      <c r="R21" s="33"/>
      <c r="S21" s="37"/>
      <c r="T21" s="37"/>
      <c r="U21" s="33"/>
      <c r="V21" s="37"/>
      <c r="W21" s="37"/>
      <c r="X21" s="33"/>
      <c r="Y21" s="37"/>
      <c r="Z21" s="37"/>
      <c r="AA21" s="33"/>
      <c r="AB21" s="37"/>
      <c r="AC21" s="37"/>
      <c r="AD21" s="33"/>
      <c r="AE21" s="33"/>
      <c r="AF21" s="33"/>
      <c r="AG21" s="44">
        <f t="shared" si="5"/>
        <v>0.44730000000000003</v>
      </c>
      <c r="AH21" s="37"/>
    </row>
    <row r="22" spans="1:43" s="45" customFormat="1" ht="32.4" customHeight="1">
      <c r="A22" s="4">
        <v>20</v>
      </c>
      <c r="B22" s="5" t="s">
        <v>44</v>
      </c>
      <c r="C22" s="5" t="s">
        <v>44</v>
      </c>
      <c r="D22" s="6" t="s">
        <v>45</v>
      </c>
      <c r="E22" s="4">
        <v>2</v>
      </c>
      <c r="F22" s="4">
        <v>0.44800000000000001</v>
      </c>
      <c r="G22" s="4">
        <v>0.79</v>
      </c>
      <c r="H22" s="7">
        <f t="shared" si="0"/>
        <v>0.89600000000000002</v>
      </c>
      <c r="I22" s="7">
        <f t="shared" si="1"/>
        <v>1.58</v>
      </c>
      <c r="J22" s="7">
        <f t="shared" si="2"/>
        <v>0.68400000000000005</v>
      </c>
      <c r="K22" s="12">
        <f t="shared" si="3"/>
        <v>0.76339285714285721</v>
      </c>
      <c r="L22" s="42" t="s">
        <v>62</v>
      </c>
      <c r="M22" s="4">
        <v>7.5999999999999998E-2</v>
      </c>
      <c r="N22" s="37">
        <v>9</v>
      </c>
      <c r="O22" s="33">
        <f t="shared" si="4"/>
        <v>0.68399999999999994</v>
      </c>
      <c r="P22" s="37"/>
      <c r="Q22" s="37"/>
      <c r="R22" s="33"/>
      <c r="S22" s="37"/>
      <c r="T22" s="37"/>
      <c r="U22" s="33"/>
      <c r="V22" s="37"/>
      <c r="W22" s="37"/>
      <c r="X22" s="33"/>
      <c r="Y22" s="37"/>
      <c r="Z22" s="37"/>
      <c r="AA22" s="33"/>
      <c r="AB22" s="37"/>
      <c r="AC22" s="37"/>
      <c r="AD22" s="33"/>
      <c r="AE22" s="33"/>
      <c r="AF22" s="33"/>
      <c r="AG22" s="44">
        <f t="shared" si="5"/>
        <v>0.68399999999999994</v>
      </c>
      <c r="AH22" s="37"/>
    </row>
    <row r="23" spans="1:43" s="45" customFormat="1" ht="32.4" customHeight="1">
      <c r="A23" s="4">
        <v>21</v>
      </c>
      <c r="B23" s="5" t="s">
        <v>46</v>
      </c>
      <c r="C23" s="5" t="s">
        <v>46</v>
      </c>
      <c r="D23" s="6" t="s">
        <v>47</v>
      </c>
      <c r="E23" s="4">
        <v>2</v>
      </c>
      <c r="F23" s="4">
        <v>0.52080000000000004</v>
      </c>
      <c r="G23" s="4">
        <v>0.59</v>
      </c>
      <c r="H23" s="7">
        <f t="shared" si="0"/>
        <v>1.0416000000000001</v>
      </c>
      <c r="I23" s="7">
        <f t="shared" si="1"/>
        <v>1.18</v>
      </c>
      <c r="J23" s="7">
        <f t="shared" si="2"/>
        <v>0.13839999999999986</v>
      </c>
      <c r="K23" s="12">
        <f t="shared" si="3"/>
        <v>0.13287250384024563</v>
      </c>
      <c r="L23" s="42" t="s">
        <v>62</v>
      </c>
      <c r="M23" s="4">
        <v>6.5100000000000005E-2</v>
      </c>
      <c r="N23" s="37">
        <v>9</v>
      </c>
      <c r="O23" s="33">
        <f t="shared" si="4"/>
        <v>0.58590000000000009</v>
      </c>
      <c r="P23" s="37"/>
      <c r="Q23" s="37"/>
      <c r="R23" s="33"/>
      <c r="S23" s="37"/>
      <c r="T23" s="37"/>
      <c r="U23" s="33"/>
      <c r="V23" s="37"/>
      <c r="W23" s="37"/>
      <c r="X23" s="33"/>
      <c r="Y23" s="37"/>
      <c r="Z23" s="37"/>
      <c r="AA23" s="33"/>
      <c r="AB23" s="37"/>
      <c r="AC23" s="37"/>
      <c r="AD23" s="33"/>
      <c r="AE23" s="33"/>
      <c r="AF23" s="33"/>
      <c r="AG23" s="44">
        <f t="shared" si="5"/>
        <v>0.58590000000000009</v>
      </c>
      <c r="AH23" s="37"/>
    </row>
    <row r="24" spans="1:43" s="45" customFormat="1" ht="32.4" customHeight="1">
      <c r="A24" s="4">
        <v>22</v>
      </c>
      <c r="B24" s="5" t="s">
        <v>48</v>
      </c>
      <c r="C24" s="5" t="s">
        <v>48</v>
      </c>
      <c r="D24" s="6" t="s">
        <v>49</v>
      </c>
      <c r="E24" s="4">
        <v>1</v>
      </c>
      <c r="F24" s="4">
        <v>0.432</v>
      </c>
      <c r="G24" s="4">
        <v>0.54</v>
      </c>
      <c r="H24" s="7">
        <f t="shared" si="0"/>
        <v>0.432</v>
      </c>
      <c r="I24" s="7">
        <f t="shared" si="1"/>
        <v>0.54</v>
      </c>
      <c r="J24" s="7">
        <f t="shared" si="2"/>
        <v>0.10800000000000004</v>
      </c>
      <c r="K24" s="12">
        <f t="shared" si="3"/>
        <v>0.25000000000000011</v>
      </c>
      <c r="L24" s="42" t="s">
        <v>62</v>
      </c>
      <c r="M24" s="4">
        <v>4.8000000000000001E-2</v>
      </c>
      <c r="N24" s="37">
        <v>9</v>
      </c>
      <c r="O24" s="33">
        <f t="shared" si="4"/>
        <v>0.432</v>
      </c>
      <c r="P24" s="37"/>
      <c r="Q24" s="37"/>
      <c r="R24" s="33"/>
      <c r="S24" s="37"/>
      <c r="T24" s="37"/>
      <c r="U24" s="33"/>
      <c r="V24" s="37"/>
      <c r="W24" s="37"/>
      <c r="X24" s="33"/>
      <c r="Y24" s="37"/>
      <c r="Z24" s="37"/>
      <c r="AA24" s="33"/>
      <c r="AB24" s="37"/>
      <c r="AC24" s="37"/>
      <c r="AD24" s="33"/>
      <c r="AE24" s="33"/>
      <c r="AF24" s="33"/>
      <c r="AG24" s="44">
        <f t="shared" si="5"/>
        <v>0.432</v>
      </c>
      <c r="AH24" s="37"/>
    </row>
    <row r="25" spans="1:43" s="45" customFormat="1" ht="32.4" customHeight="1">
      <c r="A25" s="4">
        <v>23</v>
      </c>
      <c r="B25" s="5" t="s">
        <v>50</v>
      </c>
      <c r="C25" s="5" t="s">
        <v>50</v>
      </c>
      <c r="D25" s="6" t="s">
        <v>51</v>
      </c>
      <c r="E25" s="4">
        <v>1</v>
      </c>
      <c r="F25" s="4">
        <v>0.53600000000000003</v>
      </c>
      <c r="G25" s="4">
        <v>0.96</v>
      </c>
      <c r="H25" s="7">
        <f t="shared" si="0"/>
        <v>0.53600000000000003</v>
      </c>
      <c r="I25" s="7">
        <f t="shared" si="1"/>
        <v>0.96</v>
      </c>
      <c r="J25" s="7">
        <f t="shared" si="2"/>
        <v>0.42399999999999993</v>
      </c>
      <c r="K25" s="12">
        <f t="shared" si="3"/>
        <v>0.79104477611940283</v>
      </c>
      <c r="L25" s="42" t="s">
        <v>62</v>
      </c>
      <c r="M25" s="4">
        <v>9.0999999999999998E-2</v>
      </c>
      <c r="N25" s="37">
        <v>9</v>
      </c>
      <c r="O25" s="33">
        <f t="shared" si="4"/>
        <v>0.81899999999999995</v>
      </c>
      <c r="P25" s="37"/>
      <c r="Q25" s="37"/>
      <c r="R25" s="33"/>
      <c r="S25" s="37"/>
      <c r="T25" s="37"/>
      <c r="U25" s="33"/>
      <c r="V25" s="37"/>
      <c r="W25" s="37"/>
      <c r="X25" s="33"/>
      <c r="Y25" s="37"/>
      <c r="Z25" s="37"/>
      <c r="AA25" s="33"/>
      <c r="AB25" s="37"/>
      <c r="AC25" s="37"/>
      <c r="AD25" s="33"/>
      <c r="AE25" s="33"/>
      <c r="AF25" s="33"/>
      <c r="AG25" s="44">
        <f t="shared" si="5"/>
        <v>0.81899999999999995</v>
      </c>
      <c r="AH25" s="37"/>
    </row>
    <row r="26" spans="1:43" s="45" customFormat="1" ht="32.4" customHeight="1">
      <c r="A26" s="4">
        <v>24</v>
      </c>
      <c r="B26" s="5" t="s">
        <v>52</v>
      </c>
      <c r="C26" s="5" t="s">
        <v>52</v>
      </c>
      <c r="D26" s="6" t="s">
        <v>53</v>
      </c>
      <c r="E26" s="4">
        <v>1</v>
      </c>
      <c r="F26" s="4">
        <v>2.71</v>
      </c>
      <c r="G26" s="4">
        <v>5</v>
      </c>
      <c r="H26" s="7">
        <f t="shared" si="0"/>
        <v>2.71</v>
      </c>
      <c r="I26" s="7">
        <f t="shared" si="1"/>
        <v>5</v>
      </c>
      <c r="J26" s="7">
        <f t="shared" si="2"/>
        <v>2.29</v>
      </c>
      <c r="K26" s="12">
        <f t="shared" si="3"/>
        <v>0.84501845018450183</v>
      </c>
      <c r="L26" s="10" t="s">
        <v>71</v>
      </c>
      <c r="M26" s="4">
        <v>0.32369999999999999</v>
      </c>
      <c r="N26" s="37">
        <v>9</v>
      </c>
      <c r="O26" s="33">
        <f t="shared" si="4"/>
        <v>2.9133</v>
      </c>
      <c r="P26" s="37"/>
      <c r="Q26" s="37"/>
      <c r="R26" s="33"/>
      <c r="S26" s="37"/>
      <c r="T26" s="37"/>
      <c r="U26" s="33"/>
      <c r="V26" s="41">
        <v>5</v>
      </c>
      <c r="W26" s="37">
        <v>0.05</v>
      </c>
      <c r="X26" s="33">
        <f>V26*W26</f>
        <v>0.25</v>
      </c>
      <c r="Y26" s="37"/>
      <c r="Z26" s="37"/>
      <c r="AA26" s="33"/>
      <c r="AB26" s="37"/>
      <c r="AC26" s="37"/>
      <c r="AD26" s="33"/>
      <c r="AE26" s="33">
        <f>4000/26/8/3600*30</f>
        <v>0.16025641025641027</v>
      </c>
      <c r="AF26" s="33">
        <v>0.3</v>
      </c>
      <c r="AG26" s="44">
        <f t="shared" si="5"/>
        <v>3.62355641025641</v>
      </c>
      <c r="AH26" s="37"/>
    </row>
    <row r="27" spans="1:43" s="45" customFormat="1" ht="32.4" customHeight="1">
      <c r="A27" s="4">
        <v>25</v>
      </c>
      <c r="B27" s="5" t="s">
        <v>54</v>
      </c>
      <c r="C27" s="5" t="s">
        <v>54</v>
      </c>
      <c r="D27" s="6" t="s">
        <v>55</v>
      </c>
      <c r="E27" s="4">
        <v>1</v>
      </c>
      <c r="F27" s="4">
        <v>0.32040000000000002</v>
      </c>
      <c r="G27" s="4">
        <v>0.38</v>
      </c>
      <c r="H27" s="7">
        <f t="shared" si="0"/>
        <v>0.32040000000000002</v>
      </c>
      <c r="I27" s="7">
        <f t="shared" si="1"/>
        <v>0.38</v>
      </c>
      <c r="J27" s="7">
        <f t="shared" si="2"/>
        <v>5.9599999999999986E-2</v>
      </c>
      <c r="K27" s="12">
        <f t="shared" si="3"/>
        <v>0.18601747815230957</v>
      </c>
      <c r="L27" s="42" t="s">
        <v>62</v>
      </c>
      <c r="M27" s="4">
        <v>3.56E-2</v>
      </c>
      <c r="N27" s="37">
        <v>9</v>
      </c>
      <c r="O27" s="33">
        <f t="shared" si="4"/>
        <v>0.32040000000000002</v>
      </c>
      <c r="P27" s="37"/>
      <c r="Q27" s="37"/>
      <c r="R27" s="33"/>
      <c r="S27" s="37"/>
      <c r="T27" s="37"/>
      <c r="U27" s="33"/>
      <c r="V27" s="37"/>
      <c r="W27" s="37"/>
      <c r="X27" s="33"/>
      <c r="Y27" s="37"/>
      <c r="Z27" s="37"/>
      <c r="AA27" s="33"/>
      <c r="AB27" s="37"/>
      <c r="AC27" s="37"/>
      <c r="AD27" s="33"/>
      <c r="AE27" s="33"/>
      <c r="AF27" s="33"/>
      <c r="AG27" s="44">
        <f t="shared" si="5"/>
        <v>0.32040000000000002</v>
      </c>
      <c r="AH27" s="37"/>
    </row>
    <row r="28" spans="1:43" s="45" customFormat="1" ht="32.4" customHeight="1">
      <c r="A28" s="4">
        <v>26</v>
      </c>
      <c r="B28" s="5" t="s">
        <v>56</v>
      </c>
      <c r="C28" s="5" t="s">
        <v>77</v>
      </c>
      <c r="D28" s="6" t="s">
        <v>47</v>
      </c>
      <c r="E28" s="4">
        <v>2</v>
      </c>
      <c r="F28" s="4">
        <v>0.52080000000000004</v>
      </c>
      <c r="G28" s="4">
        <v>0.63</v>
      </c>
      <c r="H28" s="7">
        <f t="shared" si="0"/>
        <v>1.0416000000000001</v>
      </c>
      <c r="I28" s="7">
        <f t="shared" si="1"/>
        <v>1.26</v>
      </c>
      <c r="J28" s="7">
        <f t="shared" si="2"/>
        <v>0.21839999999999993</v>
      </c>
      <c r="K28" s="12">
        <f t="shared" si="3"/>
        <v>0.20967741935483863</v>
      </c>
      <c r="L28" s="42" t="s">
        <v>62</v>
      </c>
      <c r="M28" s="4">
        <v>6.5000000000000002E-2</v>
      </c>
      <c r="N28" s="37">
        <v>9</v>
      </c>
      <c r="O28" s="33">
        <f t="shared" si="4"/>
        <v>0.58499999999999996</v>
      </c>
      <c r="P28" s="37"/>
      <c r="Q28" s="37"/>
      <c r="R28" s="33"/>
      <c r="S28" s="37"/>
      <c r="T28" s="37"/>
      <c r="U28" s="33"/>
      <c r="V28" s="37"/>
      <c r="W28" s="37"/>
      <c r="X28" s="33"/>
      <c r="Y28" s="37"/>
      <c r="Z28" s="37"/>
      <c r="AA28" s="33"/>
      <c r="AB28" s="37"/>
      <c r="AC28" s="37"/>
      <c r="AD28" s="33"/>
      <c r="AE28" s="33"/>
      <c r="AF28" s="33"/>
      <c r="AG28" s="44">
        <f t="shared" si="5"/>
        <v>0.58499999999999996</v>
      </c>
      <c r="AH28" s="37"/>
      <c r="AJ28" s="116" t="s">
        <v>107</v>
      </c>
      <c r="AK28" s="117"/>
      <c r="AL28" s="55" t="s">
        <v>108</v>
      </c>
      <c r="AM28" s="55" t="s">
        <v>109</v>
      </c>
      <c r="AN28" s="55" t="s">
        <v>110</v>
      </c>
      <c r="AO28" s="55" t="s">
        <v>111</v>
      </c>
      <c r="AP28" s="55" t="s">
        <v>112</v>
      </c>
      <c r="AQ28" s="56" t="s">
        <v>113</v>
      </c>
    </row>
    <row r="29" spans="1:43" s="45" customFormat="1" ht="86.4" customHeight="1">
      <c r="A29" s="4">
        <v>27</v>
      </c>
      <c r="B29" s="5" t="s">
        <v>57</v>
      </c>
      <c r="C29" s="5" t="s">
        <v>57</v>
      </c>
      <c r="D29" s="6" t="s">
        <v>58</v>
      </c>
      <c r="E29" s="4">
        <v>1</v>
      </c>
      <c r="F29" s="4">
        <v>0.1</v>
      </c>
      <c r="G29" s="4">
        <v>0.28000000000000003</v>
      </c>
      <c r="H29" s="7">
        <f t="shared" si="0"/>
        <v>0.1</v>
      </c>
      <c r="I29" s="7">
        <f t="shared" si="1"/>
        <v>0.28000000000000003</v>
      </c>
      <c r="J29" s="7">
        <f t="shared" si="2"/>
        <v>0.18000000000000002</v>
      </c>
      <c r="K29" s="12">
        <f t="shared" si="3"/>
        <v>1.8</v>
      </c>
      <c r="L29" s="10" t="s">
        <v>67</v>
      </c>
      <c r="M29" s="4">
        <v>2.2000000000000001E-3</v>
      </c>
      <c r="N29" s="37">
        <v>8</v>
      </c>
      <c r="O29" s="33">
        <f>M29*N29</f>
        <v>1.7600000000000001E-2</v>
      </c>
      <c r="P29" s="37"/>
      <c r="Q29" s="37"/>
      <c r="R29" s="33"/>
      <c r="S29" s="37"/>
      <c r="T29" s="37"/>
      <c r="U29" s="33"/>
      <c r="V29" s="37"/>
      <c r="W29" s="37"/>
      <c r="X29" s="33"/>
      <c r="Y29" s="37"/>
      <c r="Z29" s="37"/>
      <c r="AA29" s="33"/>
      <c r="AB29" s="37"/>
      <c r="AC29" s="37"/>
      <c r="AD29" s="33"/>
      <c r="AE29" s="33"/>
      <c r="AF29" s="33"/>
      <c r="AG29" s="44">
        <f>SUM(O29+R29+U29+X29+AA29+AD29+AE29+AF29)+0.22</f>
        <v>0.23760000000000001</v>
      </c>
      <c r="AH29" s="54" t="s">
        <v>118</v>
      </c>
      <c r="AJ29" s="118" t="s">
        <v>114</v>
      </c>
      <c r="AK29" s="119"/>
      <c r="AL29" s="57"/>
      <c r="AM29" s="58" t="s">
        <v>115</v>
      </c>
      <c r="AN29" s="59">
        <v>8.0000000000000004E-4</v>
      </c>
      <c r="AO29" s="59">
        <v>12</v>
      </c>
      <c r="AP29" s="59">
        <v>15</v>
      </c>
      <c r="AQ29" s="60">
        <f>AN29*(AO29+AP29)</f>
        <v>2.1600000000000001E-2</v>
      </c>
    </row>
    <row r="30" spans="1:43" s="49" customFormat="1" ht="27.75" customHeight="1">
      <c r="A30" s="13"/>
      <c r="B30" s="47"/>
      <c r="C30" s="47"/>
      <c r="D30" s="38" t="s">
        <v>59</v>
      </c>
      <c r="E30" s="13"/>
      <c r="F30" s="13"/>
      <c r="G30" s="13"/>
      <c r="H30" s="14">
        <f>SUM(H3:H29)</f>
        <v>109.01339999999998</v>
      </c>
      <c r="I30" s="14">
        <f>SUM(I3:I29)</f>
        <v>174.01000000000002</v>
      </c>
      <c r="J30" s="14">
        <f>SUM(J3:J29)</f>
        <v>64.996600000000001</v>
      </c>
      <c r="K30" s="15">
        <f>J30/H30</f>
        <v>0.59622578508697111</v>
      </c>
      <c r="L30" s="48"/>
      <c r="M30" s="13"/>
      <c r="N30" s="37">
        <v>9</v>
      </c>
      <c r="O30" s="33"/>
      <c r="P30" s="38"/>
      <c r="Q30" s="38"/>
      <c r="R30" s="34"/>
      <c r="S30" s="38"/>
      <c r="T30" s="38"/>
      <c r="U30" s="34"/>
      <c r="V30" s="38"/>
      <c r="W30" s="38"/>
      <c r="X30" s="34"/>
      <c r="Y30" s="38"/>
      <c r="Z30" s="38"/>
      <c r="AA30" s="34"/>
      <c r="AB30" s="38"/>
      <c r="AC30" s="38"/>
      <c r="AD30" s="34"/>
      <c r="AE30" s="34"/>
      <c r="AF30" s="34"/>
      <c r="AG30" s="44">
        <f t="shared" si="5"/>
        <v>0</v>
      </c>
      <c r="AH30" s="54"/>
      <c r="AJ30" s="118" t="s">
        <v>116</v>
      </c>
      <c r="AK30" s="119"/>
      <c r="AL30" s="57"/>
      <c r="AM30" s="58" t="s">
        <v>117</v>
      </c>
      <c r="AN30" s="59">
        <v>8.0000000000000004E-4</v>
      </c>
      <c r="AO30" s="59">
        <v>12</v>
      </c>
      <c r="AP30" s="59">
        <v>10</v>
      </c>
      <c r="AQ30" s="60">
        <f>AN30*(AO30+AP30)</f>
        <v>1.7600000000000001E-2</v>
      </c>
    </row>
    <row r="31" spans="1:43" s="45" customFormat="1">
      <c r="B31" s="50"/>
      <c r="C31" s="50"/>
      <c r="D31" s="50"/>
      <c r="H31" s="51"/>
      <c r="I31" s="51"/>
      <c r="J31" s="51"/>
      <c r="K31" s="52"/>
      <c r="L31" s="53"/>
      <c r="O31" s="31"/>
      <c r="P31" s="35"/>
      <c r="Q31" s="35"/>
      <c r="R31" s="31"/>
      <c r="S31" s="35"/>
      <c r="T31" s="35"/>
      <c r="U31" s="31"/>
      <c r="V31" s="35"/>
      <c r="W31" s="35"/>
      <c r="X31" s="31"/>
      <c r="Y31" s="35"/>
      <c r="Z31" s="35"/>
      <c r="AA31" s="31"/>
      <c r="AB31" s="35"/>
      <c r="AC31" s="35"/>
      <c r="AD31" s="31"/>
      <c r="AE31" s="31"/>
      <c r="AF31" s="31"/>
      <c r="AG31" s="35"/>
      <c r="AH31" s="35"/>
    </row>
    <row r="32" spans="1:43" s="45" customFormat="1">
      <c r="B32" s="50"/>
      <c r="C32" s="50"/>
      <c r="D32" s="50"/>
      <c r="H32" s="51"/>
      <c r="I32" s="51"/>
      <c r="J32" s="51"/>
      <c r="K32" s="52"/>
      <c r="L32" s="53"/>
      <c r="O32" s="31"/>
      <c r="P32" s="35"/>
      <c r="Q32" s="35"/>
      <c r="R32" s="31"/>
      <c r="S32" s="35"/>
      <c r="T32" s="35"/>
      <c r="U32" s="31"/>
      <c r="V32" s="35"/>
      <c r="W32" s="35"/>
      <c r="X32" s="31"/>
      <c r="Y32" s="35"/>
      <c r="Z32" s="35"/>
      <c r="AA32" s="31"/>
      <c r="AB32" s="35"/>
      <c r="AC32" s="35"/>
      <c r="AD32" s="31"/>
      <c r="AE32" s="31"/>
      <c r="AF32" s="31"/>
      <c r="AG32" s="35"/>
      <c r="AH32" s="35"/>
    </row>
    <row r="33" spans="2:34" s="45" customFormat="1">
      <c r="B33" s="50"/>
      <c r="C33" s="50"/>
      <c r="D33" s="50"/>
      <c r="H33" s="51"/>
      <c r="I33" s="51"/>
      <c r="J33" s="51"/>
      <c r="K33" s="52"/>
      <c r="L33" s="53"/>
      <c r="O33" s="31"/>
      <c r="P33" s="35"/>
      <c r="Q33" s="35"/>
      <c r="R33" s="31"/>
      <c r="S33" s="35"/>
      <c r="T33" s="35"/>
      <c r="U33" s="31"/>
      <c r="V33" s="35"/>
      <c r="W33" s="35"/>
      <c r="X33" s="31"/>
      <c r="Y33" s="35"/>
      <c r="Z33" s="35"/>
      <c r="AA33" s="31"/>
      <c r="AB33" s="35"/>
      <c r="AC33" s="35"/>
      <c r="AD33" s="31"/>
      <c r="AE33" s="31"/>
      <c r="AF33" s="31"/>
      <c r="AG33" s="35"/>
      <c r="AH33" s="35"/>
    </row>
    <row r="34" spans="2:34" s="45" customFormat="1">
      <c r="B34" s="50"/>
      <c r="C34" s="50"/>
      <c r="D34" s="50"/>
      <c r="H34" s="51"/>
      <c r="I34" s="51"/>
      <c r="J34" s="51"/>
      <c r="K34" s="52"/>
      <c r="L34" s="53"/>
      <c r="O34" s="31"/>
      <c r="P34" s="35"/>
      <c r="Q34" s="35"/>
      <c r="R34" s="31"/>
      <c r="S34" s="35"/>
      <c r="T34" s="35"/>
      <c r="U34" s="31"/>
      <c r="V34" s="35"/>
      <c r="W34" s="35"/>
      <c r="X34" s="31"/>
      <c r="Y34" s="35"/>
      <c r="Z34" s="35"/>
      <c r="AA34" s="31"/>
      <c r="AB34" s="35"/>
      <c r="AC34" s="35"/>
      <c r="AD34" s="31"/>
      <c r="AE34" s="31"/>
      <c r="AF34" s="31"/>
      <c r="AG34" s="35"/>
      <c r="AH34" s="35"/>
    </row>
    <row r="35" spans="2:34" s="45" customFormat="1">
      <c r="B35" s="50"/>
      <c r="C35" s="50"/>
      <c r="D35" s="50"/>
      <c r="H35" s="51"/>
      <c r="I35" s="51"/>
      <c r="J35" s="51"/>
      <c r="K35" s="52"/>
      <c r="L35" s="53"/>
      <c r="O35" s="31"/>
      <c r="P35" s="35"/>
      <c r="Q35" s="35"/>
      <c r="R35" s="31"/>
      <c r="S35" s="35"/>
      <c r="T35" s="35"/>
      <c r="U35" s="31"/>
      <c r="V35" s="35"/>
      <c r="W35" s="35"/>
      <c r="X35" s="31"/>
      <c r="Y35" s="35"/>
      <c r="Z35" s="35"/>
      <c r="AA35" s="31"/>
      <c r="AB35" s="35"/>
      <c r="AC35" s="35"/>
      <c r="AD35" s="31"/>
      <c r="AE35" s="31"/>
      <c r="AF35" s="31"/>
      <c r="AG35" s="35"/>
      <c r="AH35" s="35"/>
    </row>
    <row r="36" spans="2:34" s="45" customFormat="1">
      <c r="B36" s="50"/>
      <c r="C36" s="50"/>
      <c r="D36" s="50"/>
      <c r="H36" s="51"/>
      <c r="I36" s="51"/>
      <c r="J36" s="51"/>
      <c r="K36" s="52"/>
      <c r="L36" s="53"/>
      <c r="O36" s="31"/>
      <c r="P36" s="35"/>
      <c r="Q36" s="35"/>
      <c r="R36" s="31"/>
      <c r="S36" s="35"/>
      <c r="T36" s="35"/>
      <c r="U36" s="31"/>
      <c r="V36" s="35"/>
      <c r="W36" s="35"/>
      <c r="X36" s="31"/>
      <c r="Y36" s="35"/>
      <c r="Z36" s="35"/>
      <c r="AA36" s="31"/>
      <c r="AB36" s="35"/>
      <c r="AC36" s="35"/>
      <c r="AD36" s="31"/>
      <c r="AE36" s="31"/>
      <c r="AF36" s="31"/>
      <c r="AG36" s="35"/>
      <c r="AH36" s="35"/>
    </row>
    <row r="37" spans="2:34" s="45" customFormat="1">
      <c r="B37" s="50"/>
      <c r="C37" s="50"/>
      <c r="D37" s="50"/>
      <c r="H37" s="51"/>
      <c r="I37" s="51"/>
      <c r="J37" s="51"/>
      <c r="K37" s="52"/>
      <c r="L37" s="53"/>
      <c r="O37" s="31"/>
      <c r="P37" s="35"/>
      <c r="Q37" s="35"/>
      <c r="R37" s="31"/>
      <c r="S37" s="35"/>
      <c r="T37" s="35"/>
      <c r="U37" s="31"/>
      <c r="V37" s="35"/>
      <c r="W37" s="35"/>
      <c r="X37" s="31"/>
      <c r="Y37" s="35"/>
      <c r="Z37" s="35"/>
      <c r="AA37" s="31"/>
      <c r="AB37" s="35"/>
      <c r="AC37" s="35"/>
      <c r="AD37" s="31"/>
      <c r="AE37" s="31"/>
      <c r="AF37" s="31"/>
      <c r="AG37" s="35"/>
      <c r="AH37" s="35"/>
    </row>
    <row r="38" spans="2:34" s="45" customFormat="1">
      <c r="B38" s="50"/>
      <c r="C38" s="50"/>
      <c r="D38" s="50"/>
      <c r="H38" s="51"/>
      <c r="I38" s="51"/>
      <c r="J38" s="51"/>
      <c r="K38" s="52"/>
      <c r="L38" s="53"/>
      <c r="O38" s="31"/>
      <c r="P38" s="35"/>
      <c r="Q38" s="35"/>
      <c r="R38" s="31"/>
      <c r="S38" s="35"/>
      <c r="T38" s="35"/>
      <c r="U38" s="31"/>
      <c r="V38" s="35"/>
      <c r="W38" s="35"/>
      <c r="X38" s="31"/>
      <c r="Y38" s="35"/>
      <c r="Z38" s="35"/>
      <c r="AA38" s="31"/>
      <c r="AB38" s="35"/>
      <c r="AC38" s="35"/>
      <c r="AD38" s="31"/>
      <c r="AE38" s="31"/>
      <c r="AF38" s="31"/>
      <c r="AG38" s="35"/>
      <c r="AH38" s="35"/>
    </row>
    <row r="39" spans="2:34" s="45" customFormat="1">
      <c r="B39" s="50"/>
      <c r="C39" s="50"/>
      <c r="D39" s="50"/>
      <c r="H39" s="51"/>
      <c r="I39" s="51"/>
      <c r="J39" s="51"/>
      <c r="K39" s="52"/>
      <c r="L39" s="53"/>
      <c r="O39" s="31"/>
      <c r="P39" s="35"/>
      <c r="Q39" s="35"/>
      <c r="R39" s="31"/>
      <c r="S39" s="35"/>
      <c r="T39" s="35"/>
      <c r="U39" s="31"/>
      <c r="V39" s="35"/>
      <c r="W39" s="35"/>
      <c r="X39" s="31"/>
      <c r="Y39" s="35"/>
      <c r="Z39" s="35"/>
      <c r="AA39" s="31"/>
      <c r="AB39" s="35"/>
      <c r="AC39" s="35"/>
      <c r="AD39" s="31"/>
      <c r="AE39" s="31"/>
      <c r="AF39" s="31"/>
      <c r="AG39" s="35"/>
      <c r="AH39" s="35"/>
    </row>
    <row r="40" spans="2:34" s="45" customFormat="1">
      <c r="B40" s="50"/>
      <c r="C40" s="50"/>
      <c r="D40" s="50"/>
      <c r="H40" s="51"/>
      <c r="I40" s="51"/>
      <c r="J40" s="51"/>
      <c r="K40" s="52"/>
      <c r="L40" s="53"/>
      <c r="O40" s="31"/>
      <c r="P40" s="35"/>
      <c r="Q40" s="35"/>
      <c r="R40" s="31"/>
      <c r="S40" s="35"/>
      <c r="T40" s="35"/>
      <c r="U40" s="31"/>
      <c r="V40" s="35"/>
      <c r="W40" s="35"/>
      <c r="X40" s="31"/>
      <c r="Y40" s="35"/>
      <c r="Z40" s="35"/>
      <c r="AA40" s="31"/>
      <c r="AB40" s="35"/>
      <c r="AC40" s="35"/>
      <c r="AD40" s="31"/>
      <c r="AE40" s="31"/>
      <c r="AF40" s="31"/>
      <c r="AG40" s="35"/>
      <c r="AH40" s="35"/>
    </row>
    <row r="41" spans="2:34" s="45" customFormat="1">
      <c r="B41" s="50"/>
      <c r="C41" s="50"/>
      <c r="D41" s="50"/>
      <c r="H41" s="51"/>
      <c r="I41" s="51"/>
      <c r="J41" s="51"/>
      <c r="K41" s="52"/>
      <c r="L41" s="53"/>
      <c r="O41" s="31"/>
      <c r="P41" s="35"/>
      <c r="Q41" s="35"/>
      <c r="R41" s="31"/>
      <c r="S41" s="35"/>
      <c r="T41" s="35"/>
      <c r="U41" s="31"/>
      <c r="V41" s="35"/>
      <c r="W41" s="35"/>
      <c r="X41" s="31"/>
      <c r="Y41" s="35"/>
      <c r="Z41" s="35"/>
      <c r="AA41" s="31"/>
      <c r="AB41" s="35"/>
      <c r="AC41" s="35"/>
      <c r="AD41" s="31"/>
      <c r="AE41" s="31"/>
      <c r="AF41" s="31"/>
      <c r="AG41" s="35"/>
      <c r="AH41" s="35"/>
    </row>
    <row r="42" spans="2:34" s="45" customFormat="1">
      <c r="B42" s="50"/>
      <c r="C42" s="50"/>
      <c r="D42" s="50"/>
      <c r="H42" s="51"/>
      <c r="I42" s="51"/>
      <c r="J42" s="51"/>
      <c r="K42" s="52"/>
      <c r="L42" s="53"/>
      <c r="O42" s="31"/>
      <c r="P42" s="35"/>
      <c r="Q42" s="35"/>
      <c r="R42" s="31"/>
      <c r="S42" s="35"/>
      <c r="T42" s="35"/>
      <c r="U42" s="31"/>
      <c r="V42" s="35"/>
      <c r="W42" s="35"/>
      <c r="X42" s="31"/>
      <c r="Y42" s="35"/>
      <c r="Z42" s="35"/>
      <c r="AA42" s="31"/>
      <c r="AB42" s="35"/>
      <c r="AC42" s="35"/>
      <c r="AD42" s="31"/>
      <c r="AE42" s="31"/>
      <c r="AF42" s="31"/>
      <c r="AG42" s="35"/>
      <c r="AH42" s="35"/>
    </row>
    <row r="43" spans="2:34" s="45" customFormat="1">
      <c r="B43" s="50"/>
      <c r="C43" s="50"/>
      <c r="D43" s="50"/>
      <c r="H43" s="51"/>
      <c r="I43" s="51"/>
      <c r="J43" s="51"/>
      <c r="K43" s="52"/>
      <c r="L43" s="53"/>
      <c r="O43" s="31"/>
      <c r="P43" s="35"/>
      <c r="Q43" s="35"/>
      <c r="R43" s="31"/>
      <c r="S43" s="35"/>
      <c r="T43" s="35"/>
      <c r="U43" s="31"/>
      <c r="V43" s="35"/>
      <c r="W43" s="35"/>
      <c r="X43" s="31"/>
      <c r="Y43" s="35"/>
      <c r="Z43" s="35"/>
      <c r="AA43" s="31"/>
      <c r="AB43" s="35"/>
      <c r="AC43" s="35"/>
      <c r="AD43" s="31"/>
      <c r="AE43" s="31"/>
      <c r="AF43" s="31"/>
      <c r="AG43" s="35"/>
      <c r="AH43" s="35"/>
    </row>
    <row r="44" spans="2:34" s="45" customFormat="1">
      <c r="B44" s="50"/>
      <c r="C44" s="50"/>
      <c r="D44" s="50"/>
      <c r="H44" s="51"/>
      <c r="I44" s="51"/>
      <c r="J44" s="51"/>
      <c r="K44" s="52"/>
      <c r="L44" s="53"/>
      <c r="O44" s="31"/>
      <c r="P44" s="35"/>
      <c r="Q44" s="35"/>
      <c r="R44" s="31"/>
      <c r="S44" s="35"/>
      <c r="T44" s="35"/>
      <c r="U44" s="31"/>
      <c r="V44" s="35"/>
      <c r="W44" s="35"/>
      <c r="X44" s="31"/>
      <c r="Y44" s="35"/>
      <c r="Z44" s="35"/>
      <c r="AA44" s="31"/>
      <c r="AB44" s="35"/>
      <c r="AC44" s="35"/>
      <c r="AD44" s="31"/>
      <c r="AE44" s="31"/>
      <c r="AF44" s="31"/>
      <c r="AG44" s="35"/>
      <c r="AH44" s="35"/>
    </row>
    <row r="45" spans="2:34" s="45" customFormat="1">
      <c r="B45" s="50"/>
      <c r="C45" s="50"/>
      <c r="D45" s="50"/>
      <c r="H45" s="51"/>
      <c r="I45" s="51"/>
      <c r="J45" s="51"/>
      <c r="K45" s="52"/>
      <c r="L45" s="53"/>
      <c r="O45" s="31"/>
      <c r="P45" s="35"/>
      <c r="Q45" s="35"/>
      <c r="R45" s="31"/>
      <c r="S45" s="35"/>
      <c r="T45" s="35"/>
      <c r="U45" s="31"/>
      <c r="V45" s="35"/>
      <c r="W45" s="35"/>
      <c r="X45" s="31"/>
      <c r="Y45" s="35"/>
      <c r="Z45" s="35"/>
      <c r="AA45" s="31"/>
      <c r="AB45" s="35"/>
      <c r="AC45" s="35"/>
      <c r="AD45" s="31"/>
      <c r="AE45" s="31"/>
      <c r="AF45" s="31"/>
      <c r="AG45" s="35"/>
      <c r="AH45" s="35"/>
    </row>
    <row r="46" spans="2:34" s="45" customFormat="1">
      <c r="B46" s="50"/>
      <c r="C46" s="50"/>
      <c r="D46" s="50"/>
      <c r="H46" s="51"/>
      <c r="I46" s="51"/>
      <c r="J46" s="51"/>
      <c r="K46" s="52"/>
      <c r="L46" s="53"/>
      <c r="O46" s="31"/>
      <c r="P46" s="35"/>
      <c r="Q46" s="35"/>
      <c r="R46" s="31"/>
      <c r="S46" s="35"/>
      <c r="T46" s="35"/>
      <c r="U46" s="31"/>
      <c r="V46" s="35"/>
      <c r="W46" s="35"/>
      <c r="X46" s="31"/>
      <c r="Y46" s="35"/>
      <c r="Z46" s="35"/>
      <c r="AA46" s="31"/>
      <c r="AB46" s="35"/>
      <c r="AC46" s="35"/>
      <c r="AD46" s="31"/>
      <c r="AE46" s="31"/>
      <c r="AF46" s="31"/>
      <c r="AG46" s="35"/>
      <c r="AH46" s="35"/>
    </row>
    <row r="47" spans="2:34" s="45" customFormat="1">
      <c r="B47" s="50"/>
      <c r="C47" s="50"/>
      <c r="D47" s="50"/>
      <c r="H47" s="51"/>
      <c r="I47" s="51"/>
      <c r="J47" s="51"/>
      <c r="K47" s="52"/>
      <c r="L47" s="53"/>
      <c r="O47" s="31"/>
      <c r="P47" s="35"/>
      <c r="Q47" s="35"/>
      <c r="R47" s="31"/>
      <c r="S47" s="35"/>
      <c r="T47" s="35"/>
      <c r="U47" s="31"/>
      <c r="V47" s="35"/>
      <c r="W47" s="35"/>
      <c r="X47" s="31"/>
      <c r="Y47" s="35"/>
      <c r="Z47" s="35"/>
      <c r="AA47" s="31"/>
      <c r="AB47" s="35"/>
      <c r="AC47" s="35"/>
      <c r="AD47" s="31"/>
      <c r="AE47" s="31"/>
      <c r="AF47" s="31"/>
      <c r="AG47" s="35"/>
      <c r="AH47" s="35"/>
    </row>
    <row r="48" spans="2:34" s="45" customFormat="1">
      <c r="B48" s="50"/>
      <c r="C48" s="50"/>
      <c r="D48" s="50"/>
      <c r="H48" s="51"/>
      <c r="I48" s="51"/>
      <c r="J48" s="51"/>
      <c r="K48" s="52"/>
      <c r="L48" s="53"/>
      <c r="O48" s="31"/>
      <c r="P48" s="35"/>
      <c r="Q48" s="35"/>
      <c r="R48" s="31"/>
      <c r="S48" s="35"/>
      <c r="T48" s="35"/>
      <c r="U48" s="31"/>
      <c r="V48" s="35"/>
      <c r="W48" s="35"/>
      <c r="X48" s="31"/>
      <c r="Y48" s="35"/>
      <c r="Z48" s="35"/>
      <c r="AA48" s="31"/>
      <c r="AB48" s="35"/>
      <c r="AC48" s="35"/>
      <c r="AD48" s="31"/>
      <c r="AE48" s="31"/>
      <c r="AF48" s="31"/>
      <c r="AG48" s="35"/>
      <c r="AH48" s="35"/>
    </row>
    <row r="49" spans="2:34" s="45" customFormat="1">
      <c r="B49" s="50"/>
      <c r="C49" s="50"/>
      <c r="D49" s="50"/>
      <c r="H49" s="51"/>
      <c r="I49" s="51"/>
      <c r="J49" s="51"/>
      <c r="K49" s="52"/>
      <c r="L49" s="53"/>
      <c r="O49" s="31"/>
      <c r="P49" s="35"/>
      <c r="Q49" s="35"/>
      <c r="R49" s="31"/>
      <c r="S49" s="35"/>
      <c r="T49" s="35"/>
      <c r="U49" s="31"/>
      <c r="V49" s="35"/>
      <c r="W49" s="35"/>
      <c r="X49" s="31"/>
      <c r="Y49" s="35"/>
      <c r="Z49" s="35"/>
      <c r="AA49" s="31"/>
      <c r="AB49" s="35"/>
      <c r="AC49" s="35"/>
      <c r="AD49" s="31"/>
      <c r="AE49" s="31"/>
      <c r="AF49" s="31"/>
      <c r="AG49" s="35"/>
      <c r="AH49" s="35"/>
    </row>
    <row r="50" spans="2:34" s="45" customFormat="1">
      <c r="B50" s="50"/>
      <c r="C50" s="50"/>
      <c r="D50" s="50"/>
      <c r="H50" s="51"/>
      <c r="I50" s="51"/>
      <c r="J50" s="51"/>
      <c r="K50" s="52"/>
      <c r="L50" s="53"/>
      <c r="O50" s="31"/>
      <c r="P50" s="35"/>
      <c r="Q50" s="35"/>
      <c r="R50" s="31"/>
      <c r="S50" s="35"/>
      <c r="T50" s="35"/>
      <c r="U50" s="31"/>
      <c r="V50" s="35"/>
      <c r="W50" s="35"/>
      <c r="X50" s="31"/>
      <c r="Y50" s="35"/>
      <c r="Z50" s="35"/>
      <c r="AA50" s="31"/>
      <c r="AB50" s="35"/>
      <c r="AC50" s="35"/>
      <c r="AD50" s="31"/>
      <c r="AE50" s="31"/>
      <c r="AF50" s="31"/>
      <c r="AG50" s="35"/>
      <c r="AH50" s="35"/>
    </row>
    <row r="51" spans="2:34" s="45" customFormat="1">
      <c r="B51" s="50"/>
      <c r="C51" s="50"/>
      <c r="D51" s="50"/>
      <c r="H51" s="51"/>
      <c r="I51" s="51"/>
      <c r="J51" s="51"/>
      <c r="K51" s="52"/>
      <c r="L51" s="53"/>
      <c r="O51" s="31"/>
      <c r="P51" s="35"/>
      <c r="Q51" s="35"/>
      <c r="R51" s="31"/>
      <c r="S51" s="35"/>
      <c r="T51" s="35"/>
      <c r="U51" s="31"/>
      <c r="V51" s="35"/>
      <c r="W51" s="35"/>
      <c r="X51" s="31"/>
      <c r="Y51" s="35"/>
      <c r="Z51" s="35"/>
      <c r="AA51" s="31"/>
      <c r="AB51" s="35"/>
      <c r="AC51" s="35"/>
      <c r="AD51" s="31"/>
      <c r="AE51" s="31"/>
      <c r="AF51" s="31"/>
      <c r="AG51" s="35"/>
      <c r="AH51" s="35"/>
    </row>
  </sheetData>
  <mergeCells count="4">
    <mergeCell ref="A1:K1"/>
    <mergeCell ref="AJ28:AK28"/>
    <mergeCell ref="AJ29:AK29"/>
    <mergeCell ref="AJ30:AK30"/>
  </mergeCells>
  <phoneticPr fontId="3" type="noConversion"/>
  <pageMargins left="0.75" right="0.75" top="1" bottom="1" header="0.5" footer="0.5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F46E9-9950-49BF-8803-ADB907A4D879}">
  <dimension ref="A1:AI33"/>
  <sheetViews>
    <sheetView tabSelected="1" zoomScale="70" zoomScaleNormal="70" workbookViewId="0">
      <pane xSplit="13" ySplit="2" topLeftCell="Q3" activePane="bottomRight" state="frozen"/>
      <selection pane="topRight" activeCell="N1" sqref="N1"/>
      <selection pane="bottomLeft" activeCell="A3" sqref="A3"/>
      <selection pane="bottomRight" activeCell="J6" sqref="J6"/>
    </sheetView>
  </sheetViews>
  <sheetFormatPr defaultColWidth="9" defaultRowHeight="14.4"/>
  <cols>
    <col min="1" max="1" width="9" style="71"/>
    <col min="2" max="2" width="13.6640625" style="71" customWidth="1"/>
    <col min="3" max="3" width="12.33203125" style="71" customWidth="1"/>
    <col min="4" max="4" width="6.88671875" style="71" customWidth="1"/>
    <col min="5" max="5" width="18" style="71" customWidth="1"/>
    <col min="6" max="6" width="9" style="71"/>
    <col min="7" max="7" width="7.77734375" style="71" customWidth="1"/>
    <col min="8" max="8" width="6.44140625" style="71" customWidth="1"/>
    <col min="9" max="9" width="8.6640625" style="71" customWidth="1"/>
    <col min="10" max="10" width="9" style="71" customWidth="1"/>
    <col min="11" max="13" width="10.77734375" style="71" customWidth="1"/>
    <col min="14" max="15" width="15.5546875" style="71" customWidth="1"/>
    <col min="16" max="19" width="13.21875" style="71" customWidth="1"/>
    <col min="20" max="20" width="12.6640625" style="71" customWidth="1"/>
    <col min="21" max="21" width="13" style="71" customWidth="1"/>
    <col min="22" max="26" width="12.6640625" style="71" customWidth="1"/>
    <col min="27" max="27" width="15.6640625" style="71" customWidth="1"/>
    <col min="28" max="29" width="12.6640625" style="71" customWidth="1"/>
    <col min="30" max="31" width="10.6640625" style="71" customWidth="1"/>
    <col min="32" max="32" width="10.6640625" style="71" hidden="1" customWidth="1"/>
    <col min="33" max="34" width="9.77734375" style="71" customWidth="1"/>
    <col min="35" max="35" width="9.77734375" style="71" hidden="1" customWidth="1"/>
    <col min="36" max="16384" width="9" style="71"/>
  </cols>
  <sheetData>
    <row r="1" spans="1:35" ht="28.8" customHeight="1">
      <c r="K1" s="120" t="s">
        <v>206</v>
      </c>
      <c r="L1" s="120"/>
      <c r="M1" s="120"/>
      <c r="N1" s="120" t="s">
        <v>183</v>
      </c>
      <c r="O1" s="120"/>
      <c r="P1" s="120" t="s">
        <v>205</v>
      </c>
      <c r="Q1" s="120"/>
      <c r="R1" s="120"/>
      <c r="S1" s="120"/>
      <c r="T1" s="120"/>
      <c r="U1" s="120" t="s">
        <v>196</v>
      </c>
      <c r="V1" s="120"/>
      <c r="W1" s="120"/>
      <c r="X1" s="120"/>
      <c r="Y1" s="120"/>
      <c r="Z1" s="120"/>
      <c r="AA1" s="120"/>
      <c r="AB1" s="120"/>
      <c r="AC1" s="120"/>
      <c r="AD1" s="120" t="s">
        <v>184</v>
      </c>
      <c r="AE1" s="120"/>
      <c r="AF1" s="120"/>
      <c r="AG1" s="120" t="s">
        <v>184</v>
      </c>
      <c r="AH1" s="120"/>
      <c r="AI1" s="120"/>
    </row>
    <row r="2" spans="1:35" ht="67.2" customHeight="1">
      <c r="A2" s="64" t="s">
        <v>120</v>
      </c>
      <c r="B2" s="64" t="s">
        <v>3</v>
      </c>
      <c r="C2" s="64" t="s">
        <v>121</v>
      </c>
      <c r="D2" s="64" t="s">
        <v>122</v>
      </c>
      <c r="E2" s="64" t="s">
        <v>123</v>
      </c>
      <c r="F2" s="64" t="s">
        <v>124</v>
      </c>
      <c r="G2" s="64" t="s">
        <v>125</v>
      </c>
      <c r="H2" s="65" t="s">
        <v>126</v>
      </c>
      <c r="I2" s="64" t="s">
        <v>127</v>
      </c>
      <c r="J2" s="66" t="s">
        <v>94</v>
      </c>
      <c r="K2" s="67" t="s">
        <v>128</v>
      </c>
      <c r="L2" s="67" t="s">
        <v>130</v>
      </c>
      <c r="M2" s="67" t="s">
        <v>131</v>
      </c>
      <c r="N2" s="68" t="s">
        <v>204</v>
      </c>
      <c r="O2" s="68" t="s">
        <v>129</v>
      </c>
      <c r="P2" s="97" t="s">
        <v>185</v>
      </c>
      <c r="Q2" s="97" t="s">
        <v>186</v>
      </c>
      <c r="R2" s="98" t="s">
        <v>187</v>
      </c>
      <c r="S2" s="98" t="s">
        <v>188</v>
      </c>
      <c r="T2" s="97" t="s">
        <v>133</v>
      </c>
      <c r="U2" s="70" t="s">
        <v>197</v>
      </c>
      <c r="V2" s="70" t="s">
        <v>189</v>
      </c>
      <c r="W2" s="70" t="s">
        <v>190</v>
      </c>
      <c r="X2" s="70" t="s">
        <v>191</v>
      </c>
      <c r="Y2" s="70" t="s">
        <v>192</v>
      </c>
      <c r="Z2" s="103" t="s">
        <v>193</v>
      </c>
      <c r="AA2" s="70" t="s">
        <v>132</v>
      </c>
      <c r="AB2" s="70" t="s">
        <v>194</v>
      </c>
      <c r="AC2" s="103" t="s">
        <v>195</v>
      </c>
      <c r="AD2" s="65" t="s">
        <v>199</v>
      </c>
      <c r="AE2" s="65" t="s">
        <v>200</v>
      </c>
      <c r="AF2" s="65" t="s">
        <v>201</v>
      </c>
      <c r="AG2" s="65" t="s">
        <v>198</v>
      </c>
      <c r="AH2" s="65" t="s">
        <v>202</v>
      </c>
      <c r="AI2" s="65" t="s">
        <v>203</v>
      </c>
    </row>
    <row r="3" spans="1:35" ht="31.05" customHeight="1">
      <c r="A3" s="64">
        <v>1</v>
      </c>
      <c r="B3" s="72" t="s">
        <v>10</v>
      </c>
      <c r="C3" s="73" t="s">
        <v>134</v>
      </c>
      <c r="D3" s="64" t="s">
        <v>135</v>
      </c>
      <c r="E3" s="64"/>
      <c r="F3" s="64" t="s">
        <v>136</v>
      </c>
      <c r="G3" s="74" t="s">
        <v>137</v>
      </c>
      <c r="H3" s="64">
        <v>1</v>
      </c>
      <c r="I3" s="64">
        <v>30000</v>
      </c>
      <c r="J3" s="75">
        <f>VLOOKUP(B3,价值工程部!$C$3:$M$29,11,0)</f>
        <v>6.0999999999999999E-2</v>
      </c>
      <c r="K3" s="75">
        <v>0.504</v>
      </c>
      <c r="L3" s="75">
        <f>VLOOKUP(B3,价值工程部!$C$3:$F$29,4,0)</f>
        <v>0.504</v>
      </c>
      <c r="M3" s="77">
        <f>VLOOKUP(B3,价值工程部!$C$3:$AG$30,31,0)</f>
        <v>0.70899999999999985</v>
      </c>
      <c r="N3" s="76">
        <v>0.95</v>
      </c>
      <c r="O3" s="76">
        <f t="shared" ref="O3:O22" si="0">N3+T3</f>
        <v>1.0049999999999999</v>
      </c>
      <c r="P3" s="97">
        <v>0.73</v>
      </c>
      <c r="Q3" s="99">
        <f t="shared" ref="Q3:Q15" si="1">P3+T3</f>
        <v>0.78500000000000003</v>
      </c>
      <c r="R3" s="99" t="s">
        <v>138</v>
      </c>
      <c r="S3" s="99" t="s">
        <v>139</v>
      </c>
      <c r="T3" s="98">
        <f>5500/100000</f>
        <v>5.5E-2</v>
      </c>
      <c r="U3" s="70">
        <f>VLOOKUP(B3,'[1]核算量产最低价2022.5.20'!$C$3:$N$29,12,0)</f>
        <v>0</v>
      </c>
      <c r="V3" s="70">
        <f>VLOOKUP(B3,'[1]核算量产最低价2022.5.20'!$C$3:$O$29,13,0)</f>
        <v>0.37819999999999998</v>
      </c>
      <c r="W3" s="70">
        <f>VLOOKUP(B3,'[1]核算量产最低价2022.5.20'!$C$3:$P$29,14,0)</f>
        <v>0.17080000000000001</v>
      </c>
      <c r="X3" s="70" t="str">
        <f>VLOOKUP(B3,'[1]核算量产最低价2022.5.20'!$C$3:$Q$29,15,0)</f>
        <v>/</v>
      </c>
      <c r="Y3" s="70" t="str">
        <f>VLOOKUP(B3,'[1]核算量产最低价2022.5.20'!$C$3:$R$29,16,0)</f>
        <v>两端冲孔压扁0.15元</v>
      </c>
      <c r="Z3" s="104">
        <f>VLOOKUP(B3,'[1]核算量产最低价2022.5.20'!$C$3:$S$29,17,0)</f>
        <v>0.69899999999999995</v>
      </c>
      <c r="AA3" s="70" t="str">
        <f>VLOOKUP(B3,'[1]核算量产最低价2022.5.20'!$C$3:$T$29,18,0)</f>
        <v>检具：2000元；冲压模具3500元；合计5500元</v>
      </c>
      <c r="AB3" s="69">
        <f>VLOOKUP(B3,'[1]核算量产最低价2022.5.20'!$C$3:$U$29,19,0)</f>
        <v>5.5E-2</v>
      </c>
      <c r="AC3" s="104">
        <f>VLOOKUP(B3,'[1]核算量产最低价2022.5.20'!$C$3:$V$29,20,0)</f>
        <v>0.754</v>
      </c>
      <c r="AD3" s="78">
        <f t="shared" ref="AD3:AD8" si="2">(P3-K3)/K3</f>
        <v>0.44841269841269837</v>
      </c>
      <c r="AE3" s="78">
        <f t="shared" ref="AE3:AE22" si="3">(P3-L3)/L3</f>
        <v>0.44841269841269837</v>
      </c>
      <c r="AF3" s="79">
        <f t="shared" ref="AF3:AF22" si="4">(P3-M3)/M3</f>
        <v>2.9619181946403575E-2</v>
      </c>
      <c r="AG3" s="96">
        <f t="shared" ref="AG3:AG22" si="5">(Z3-K3)/K3</f>
        <v>0.38690476190476181</v>
      </c>
      <c r="AH3" s="78">
        <f t="shared" ref="AH3:AH29" si="6">(Z3-L3)/L3</f>
        <v>0.38690476190476181</v>
      </c>
      <c r="AI3" s="79">
        <f t="shared" ref="AI3:AI29" si="7">(Z3-M3)/M3</f>
        <v>-1.4104372355430042E-2</v>
      </c>
    </row>
    <row r="4" spans="1:35" ht="31.05" customHeight="1">
      <c r="A4" s="64">
        <v>2</v>
      </c>
      <c r="B4" s="72" t="s">
        <v>12</v>
      </c>
      <c r="C4" s="73" t="s">
        <v>13</v>
      </c>
      <c r="D4" s="64" t="s">
        <v>135</v>
      </c>
      <c r="E4" s="64"/>
      <c r="F4" s="64" t="s">
        <v>136</v>
      </c>
      <c r="G4" s="74" t="s">
        <v>137</v>
      </c>
      <c r="H4" s="64">
        <v>1</v>
      </c>
      <c r="I4" s="64">
        <v>30000</v>
      </c>
      <c r="J4" s="75">
        <f>VLOOKUP(B4,价值工程部!$C$3:$M$29,11,0)</f>
        <v>0.06</v>
      </c>
      <c r="K4" s="75">
        <v>0.46400000000000002</v>
      </c>
      <c r="L4" s="75">
        <f>VLOOKUP(B4,价值工程部!$C$3:$F$29,4,0)</f>
        <v>0.46400000000000002</v>
      </c>
      <c r="M4" s="77">
        <f>VLOOKUP(B4,价值工程部!$C$3:$AG$30,31,0)</f>
        <v>0.7</v>
      </c>
      <c r="N4" s="76">
        <v>0.93</v>
      </c>
      <c r="O4" s="76">
        <f t="shared" si="0"/>
        <v>0.9850000000000001</v>
      </c>
      <c r="P4" s="97">
        <v>0.72</v>
      </c>
      <c r="Q4" s="99">
        <f t="shared" si="1"/>
        <v>0.77500000000000002</v>
      </c>
      <c r="R4" s="99" t="s">
        <v>140</v>
      </c>
      <c r="S4" s="99" t="s">
        <v>139</v>
      </c>
      <c r="T4" s="98">
        <f>5500/100000</f>
        <v>5.5E-2</v>
      </c>
      <c r="U4" s="70">
        <f>VLOOKUP(B4,'[1]核算量产最低价2022.5.20'!$C$3:$N$29,12,0)</f>
        <v>0</v>
      </c>
      <c r="V4" s="70">
        <f>VLOOKUP(B4,'[1]核算量产最低价2022.5.20'!$C$3:$O$29,13,0)</f>
        <v>0.372</v>
      </c>
      <c r="W4" s="70">
        <f>VLOOKUP(B4,'[1]核算量产最低价2022.5.20'!$C$3:$P$29,14,0)</f>
        <v>0.16800000000000001</v>
      </c>
      <c r="X4" s="70" t="str">
        <f>VLOOKUP(B4,'[1]核算量产最低价2022.5.20'!$C$3:$Q$29,15,0)</f>
        <v>/</v>
      </c>
      <c r="Y4" s="70" t="str">
        <f>VLOOKUP(B4,'[1]核算量产最低价2022.5.20'!$C$3:$R$29,16,0)</f>
        <v>两端冲孔压扁0.15元</v>
      </c>
      <c r="Z4" s="104">
        <f>VLOOKUP(B4,'[1]核算量产最低价2022.5.20'!$C$3:$S$29,17,0)</f>
        <v>0.69000000000000006</v>
      </c>
      <c r="AA4" s="70" t="str">
        <f>VLOOKUP(B4,'[1]核算量产最低价2022.5.20'!$C$3:$T$29,18,0)</f>
        <v>检具：2000元；冲压模具3500元；合计5500元</v>
      </c>
      <c r="AB4" s="69">
        <f>VLOOKUP(B4,'[1]核算量产最低价2022.5.20'!$C$3:$U$29,19,0)</f>
        <v>5.5E-2</v>
      </c>
      <c r="AC4" s="104">
        <f>VLOOKUP(B4,'[1]核算量产最低价2022.5.20'!$C$3:$V$29,20,0)</f>
        <v>0.74500000000000011</v>
      </c>
      <c r="AD4" s="78">
        <f t="shared" si="2"/>
        <v>0.55172413793103436</v>
      </c>
      <c r="AE4" s="78">
        <f t="shared" si="3"/>
        <v>0.55172413793103436</v>
      </c>
      <c r="AF4" s="79">
        <f t="shared" si="4"/>
        <v>2.8571428571428598E-2</v>
      </c>
      <c r="AG4" s="96">
        <f t="shared" si="5"/>
        <v>0.48706896551724144</v>
      </c>
      <c r="AH4" s="78">
        <f t="shared" si="6"/>
        <v>0.48706896551724144</v>
      </c>
      <c r="AI4" s="79">
        <f t="shared" si="7"/>
        <v>-1.4285714285714141E-2</v>
      </c>
    </row>
    <row r="5" spans="1:35" ht="48" customHeight="1">
      <c r="A5" s="64">
        <v>3</v>
      </c>
      <c r="B5" s="72" t="s">
        <v>16</v>
      </c>
      <c r="C5" s="73" t="s">
        <v>15</v>
      </c>
      <c r="D5" s="64" t="s">
        <v>135</v>
      </c>
      <c r="E5" s="64"/>
      <c r="F5" s="64" t="s">
        <v>141</v>
      </c>
      <c r="G5" s="64" t="s">
        <v>142</v>
      </c>
      <c r="H5" s="64">
        <v>1</v>
      </c>
      <c r="I5" s="64">
        <v>30000</v>
      </c>
      <c r="J5" s="75">
        <f>VLOOKUP(B5,价值工程部!$C$3:$M$29,11,0)</f>
        <v>1.595</v>
      </c>
      <c r="K5" s="75">
        <v>28.89</v>
      </c>
      <c r="L5" s="75">
        <f>VLOOKUP(B5,价值工程部!$C$3:$F$29,4,0)</f>
        <v>11.59</v>
      </c>
      <c r="M5" s="77">
        <f>VLOOKUP(B5,价值工程部!$C$3:$AG$30,31,0)</f>
        <v>23.652856410256412</v>
      </c>
      <c r="N5" s="76">
        <v>29.6</v>
      </c>
      <c r="O5" s="76">
        <f t="shared" si="0"/>
        <v>30</v>
      </c>
      <c r="P5" s="98">
        <v>28.89</v>
      </c>
      <c r="Q5" s="99">
        <f t="shared" si="1"/>
        <v>29.29</v>
      </c>
      <c r="R5" s="100" t="s">
        <v>143</v>
      </c>
      <c r="S5" s="99" t="s">
        <v>144</v>
      </c>
      <c r="T5" s="98">
        <f>40000/100000</f>
        <v>0.4</v>
      </c>
      <c r="U5" s="70" t="str">
        <f>VLOOKUP(B5,'[1]核算量产最低价2022.5.20'!$C$3:$N$29,12,0)</f>
        <v>SLT0010949+风扇坐垫安装板构成
钢丝重量：1.361Kg</v>
      </c>
      <c r="V5" s="70">
        <f>VLOOKUP(B5,'[1]核算量产最低价2022.5.20'!$C$3:$O$29,13,0)</f>
        <v>8.4382000000000001</v>
      </c>
      <c r="W5" s="70">
        <f>VLOOKUP(B5,'[1]核算量产最低价2022.5.20'!$C$3:$P$29,14,0)</f>
        <v>4.0830000000000002</v>
      </c>
      <c r="X5" s="70" t="str">
        <f>VLOOKUP(B5,'[1]核算量产最低价2022.5.20'!$C$3:$Q$29,15,0)</f>
        <v>4个螺栓0.6元，4个冲压件0.8元风扇安装板2.5元</v>
      </c>
      <c r="Y5" s="70" t="str">
        <f>VLOOKUP(B5,'[1]核算量产最低价2022.5.20'!$C$3:$R$29,16,0)</f>
        <v>焊接费：5.4
电泳：5.4
检验整形：0.3
包装运输：1</v>
      </c>
      <c r="Z5" s="104">
        <f>VLOOKUP(B5,'[1]核算量产最低价2022.5.20'!$C$3:$S$29,17,0)</f>
        <v>28.521199999999997</v>
      </c>
      <c r="AA5" s="70" t="str">
        <f>VLOOKUP(B5,'[1]核算量产最低价2022.5.20'!$C$3:$T$29,18,0)</f>
        <v>钢丝检具19000元，总成检具6000元，焊胎8000元，冲压件模具7000元共计：40000元</v>
      </c>
      <c r="AB5" s="69">
        <f>VLOOKUP(B5,'[1]核算量产最低价2022.5.20'!$C$3:$U$29,19,0)</f>
        <v>0.4</v>
      </c>
      <c r="AC5" s="104">
        <f>VLOOKUP(B5,'[1]核算量产最低价2022.5.20'!$C$3:$V$29,20,0)</f>
        <v>28.921199999999995</v>
      </c>
      <c r="AD5" s="78">
        <f t="shared" si="2"/>
        <v>0</v>
      </c>
      <c r="AE5" s="78">
        <f t="shared" si="3"/>
        <v>1.4926660914581538</v>
      </c>
      <c r="AF5" s="78">
        <f t="shared" si="4"/>
        <v>0.22141696118666856</v>
      </c>
      <c r="AG5" s="96">
        <f t="shared" si="5"/>
        <v>-1.2765662859120935E-2</v>
      </c>
      <c r="AH5" s="78">
        <f t="shared" si="6"/>
        <v>1.4608455565142362</v>
      </c>
      <c r="AI5" s="79">
        <f t="shared" si="7"/>
        <v>0.20582476404974756</v>
      </c>
    </row>
    <row r="6" spans="1:35" ht="55.95" customHeight="1">
      <c r="A6" s="64">
        <v>4</v>
      </c>
      <c r="B6" s="64" t="s">
        <v>102</v>
      </c>
      <c r="C6" s="65" t="s">
        <v>17</v>
      </c>
      <c r="D6" s="64" t="s">
        <v>135</v>
      </c>
      <c r="E6" s="64"/>
      <c r="F6" s="64" t="s">
        <v>141</v>
      </c>
      <c r="G6" s="64" t="s">
        <v>142</v>
      </c>
      <c r="H6" s="64">
        <v>1</v>
      </c>
      <c r="I6" s="64">
        <v>30000</v>
      </c>
      <c r="J6" s="75">
        <f>VLOOKUP(B6,价值工程部!$C$3:$M$29,11,0)</f>
        <v>1.0259999999999998</v>
      </c>
      <c r="K6" s="75">
        <v>20.180599999999998</v>
      </c>
      <c r="L6" s="75">
        <f>VLOOKUP(B6,价值工程部!$C$3:$F$29,4,0)</f>
        <v>17.8552</v>
      </c>
      <c r="M6" s="77">
        <f>VLOOKUP(B6,价值工程部!$C$3:$AG$30,31,0)</f>
        <v>24.169256410256406</v>
      </c>
      <c r="N6" s="76">
        <v>27.68</v>
      </c>
      <c r="O6" s="76">
        <f t="shared" si="0"/>
        <v>28.15</v>
      </c>
      <c r="P6" s="97">
        <v>22.481000000000002</v>
      </c>
      <c r="Q6" s="99" t="s">
        <v>145</v>
      </c>
      <c r="R6" s="99" t="s">
        <v>146</v>
      </c>
      <c r="S6" s="99" t="s">
        <v>147</v>
      </c>
      <c r="T6" s="98">
        <f>47000/100000</f>
        <v>0.47</v>
      </c>
      <c r="U6" s="70" t="str">
        <f>VLOOKUP(B6,'[1]核算量产最低价2022.5.20'!$C$3:$N$29,12,0)</f>
        <v>钢丝重量：0.998Kg</v>
      </c>
      <c r="V6" s="70">
        <f>VLOOKUP(B6,'[1]核算量产最低价2022.5.20'!$C$3:$O$29,13,0)</f>
        <v>6.1875999999999998</v>
      </c>
      <c r="W6" s="70">
        <f>VLOOKUP(B6,'[1]核算量产最低价2022.5.20'!$C$3:$P$29,14,0)</f>
        <v>2.7944</v>
      </c>
      <c r="X6" s="70" t="str">
        <f>VLOOKUP(B6,'[1]核算量产最低价2022.5.20'!$C$3:$Q$29,15,0)</f>
        <v>4个冲压件6.6元</v>
      </c>
      <c r="Y6" s="70" t="str">
        <f>VLOOKUP(B6,'[1]核算量产最低价2022.5.20'!$C$3:$R$29,16,0)</f>
        <v>摆件焊接费（51个焊点）5.1元，检验整形0.3元，运费1元，电泳：5.3</v>
      </c>
      <c r="Z6" s="104">
        <f>VLOOKUP(B6,'[1]核算量产最低价2022.5.20'!$C$3:$S$29,17,0)</f>
        <v>27.282</v>
      </c>
      <c r="AA6" s="70" t="str">
        <f>VLOOKUP(B6,'[1]核算量产最低价2022.5.20'!$C$3:$T$29,18,0)</f>
        <v>钢丝检具16000元，总成检具7000元，焊胎8000元，冲压件模具16000元，共计：47000元</v>
      </c>
      <c r="AB6" s="69">
        <f>VLOOKUP(B6,'[1]核算量产最低价2022.5.20'!$C$3:$U$29,19,0)</f>
        <v>0.47</v>
      </c>
      <c r="AC6" s="104">
        <f>VLOOKUP(B6,'[1]核算量产最低价2022.5.20'!$C$3:$V$29,20,0)</f>
        <v>27.751999999999999</v>
      </c>
      <c r="AD6" s="78">
        <f t="shared" si="2"/>
        <v>0.1139906643013589</v>
      </c>
      <c r="AE6" s="78">
        <f t="shared" si="3"/>
        <v>0.25907298714100102</v>
      </c>
      <c r="AF6" s="79">
        <f t="shared" si="4"/>
        <v>-6.9851400539570577E-2</v>
      </c>
      <c r="AG6" s="96">
        <f t="shared" si="5"/>
        <v>0.35189241152393896</v>
      </c>
      <c r="AH6" s="78">
        <f t="shared" si="6"/>
        <v>0.52795824185671403</v>
      </c>
      <c r="AI6" s="79">
        <f t="shared" si="7"/>
        <v>0.12878938172142848</v>
      </c>
    </row>
    <row r="7" spans="1:35" ht="51" customHeight="1">
      <c r="A7" s="64">
        <v>5</v>
      </c>
      <c r="B7" s="72" t="s">
        <v>18</v>
      </c>
      <c r="C7" s="73" t="s">
        <v>17</v>
      </c>
      <c r="D7" s="64" t="s">
        <v>135</v>
      </c>
      <c r="E7" s="64"/>
      <c r="F7" s="64" t="s">
        <v>141</v>
      </c>
      <c r="G7" s="64" t="s">
        <v>142</v>
      </c>
      <c r="H7" s="64">
        <v>1</v>
      </c>
      <c r="I7" s="64">
        <v>30000</v>
      </c>
      <c r="J7" s="75">
        <f>VLOOKUP(B7,价值工程部!$C$3:$M$29,11,0)</f>
        <v>0.67339999999999978</v>
      </c>
      <c r="K7" s="75">
        <v>16.521000000000001</v>
      </c>
      <c r="L7" s="75">
        <f>VLOOKUP(B7,价值工程部!$C$3:$F$29,4,0)</f>
        <v>16.766999999999999</v>
      </c>
      <c r="M7" s="77">
        <f>VLOOKUP(B7,价值工程部!$C$3:$AG$30,31,0)</f>
        <v>19.395856410256407</v>
      </c>
      <c r="N7" s="76">
        <v>25.83</v>
      </c>
      <c r="O7" s="76">
        <f t="shared" si="0"/>
        <v>26.284999999999997</v>
      </c>
      <c r="P7" s="97">
        <v>20.725999999999999</v>
      </c>
      <c r="Q7" s="99" t="s">
        <v>148</v>
      </c>
      <c r="R7" s="99" t="s">
        <v>149</v>
      </c>
      <c r="S7" s="99" t="s">
        <v>150</v>
      </c>
      <c r="T7" s="98">
        <f>45500/100000</f>
        <v>0.45500000000000002</v>
      </c>
      <c r="U7" s="70" t="str">
        <f>VLOOKUP(B7,'[1]核算量产最低价2022.5.20'!$C$3:$N$29,12,0)</f>
        <v>钢丝重量：0.908Kg</v>
      </c>
      <c r="V7" s="70">
        <f>VLOOKUP(B7,'[1]核算量产最低价2022.5.20'!$C$3:$O$29,13,0)</f>
        <v>5.6295999999999999</v>
      </c>
      <c r="W7" s="70">
        <f>VLOOKUP(B7,'[1]核算量产最低价2022.5.20'!$C$3:$P$29,14,0)</f>
        <v>2.5423999999999998</v>
      </c>
      <c r="X7" s="70" t="str">
        <f>VLOOKUP(B7,'[1]核算量产最低价2022.5.20'!$C$3:$Q$29,15,0)</f>
        <v>4个冲压件6.6元</v>
      </c>
      <c r="Y7" s="70" t="str">
        <f>VLOOKUP(B7,'[1]核算量产最低价2022.5.20'!$C$3:$R$29,16,0)</f>
        <v>焊接费（42个焊点）4.2元，检验整形0.3元，运费1元，电泳5元</v>
      </c>
      <c r="Z7" s="104">
        <f>VLOOKUP(B7,'[1]核算量产最低价2022.5.20'!$C$3:$S$29,17,0)</f>
        <v>25.272000000000002</v>
      </c>
      <c r="AA7" s="70" t="str">
        <f>VLOOKUP(B7,'[1]核算量产最低价2022.5.20'!$C$3:$T$29,18,0)</f>
        <v>钢丝检具14000元，总成检具6500元，焊胎8000元，冲压件模具16000元共计：45500元</v>
      </c>
      <c r="AB7" s="69">
        <f>VLOOKUP(B7,'[1]核算量产最低价2022.5.20'!$C$3:$U$29,19,0)</f>
        <v>0.45500000000000002</v>
      </c>
      <c r="AC7" s="104">
        <f>VLOOKUP(B7,'[1]核算量产最低价2022.5.20'!$C$3:$V$29,20,0)</f>
        <v>25.727</v>
      </c>
      <c r="AD7" s="78">
        <f t="shared" si="2"/>
        <v>0.25452454451909678</v>
      </c>
      <c r="AE7" s="78">
        <f t="shared" si="3"/>
        <v>0.23611856623128763</v>
      </c>
      <c r="AF7" s="78">
        <f t="shared" si="4"/>
        <v>6.8578750100470987E-2</v>
      </c>
      <c r="AG7" s="96">
        <f t="shared" si="5"/>
        <v>0.52968948610858912</v>
      </c>
      <c r="AH7" s="78">
        <f t="shared" si="6"/>
        <v>0.50724637681159435</v>
      </c>
      <c r="AI7" s="79">
        <f t="shared" si="7"/>
        <v>0.30295870754313936</v>
      </c>
    </row>
    <row r="8" spans="1:35" ht="66" customHeight="1">
      <c r="A8" s="64">
        <v>6</v>
      </c>
      <c r="B8" s="72" t="s">
        <v>19</v>
      </c>
      <c r="C8" s="73" t="s">
        <v>20</v>
      </c>
      <c r="D8" s="64" t="s">
        <v>135</v>
      </c>
      <c r="E8" s="64"/>
      <c r="F8" s="64" t="s">
        <v>141</v>
      </c>
      <c r="G8" s="64" t="s">
        <v>142</v>
      </c>
      <c r="H8" s="64">
        <v>1</v>
      </c>
      <c r="I8" s="64">
        <v>30000</v>
      </c>
      <c r="J8" s="75">
        <f>VLOOKUP(B8,价值工程部!$C$3:$M$29,11,0)</f>
        <v>0.54700000000000004</v>
      </c>
      <c r="K8" s="75">
        <v>4.3052999999999999</v>
      </c>
      <c r="L8" s="75">
        <f>VLOOKUP(B8,价值工程部!$C$3:$F$29,4,0)</f>
        <v>3.53</v>
      </c>
      <c r="M8" s="77">
        <f>VLOOKUP(B8,价值工程部!$C$3:$AG$30,31,0)</f>
        <v>7.7432564102564116</v>
      </c>
      <c r="N8" s="76">
        <v>8.11</v>
      </c>
      <c r="O8" s="76">
        <f t="shared" si="0"/>
        <v>8.27</v>
      </c>
      <c r="P8" s="97">
        <v>7.7080000000000002</v>
      </c>
      <c r="Q8" s="99">
        <f t="shared" si="1"/>
        <v>7.8680000000000003</v>
      </c>
      <c r="R8" s="99" t="s">
        <v>151</v>
      </c>
      <c r="S8" s="99" t="s">
        <v>152</v>
      </c>
      <c r="T8" s="98">
        <f>16000/100000</f>
        <v>0.16</v>
      </c>
      <c r="U8" s="70" t="str">
        <f>VLOOKUP(B8,'[1]核算量产最低价2022.5.20'!$C$3:$N$29,12,0)</f>
        <v>钢丝重量：0.065Kg
弯管重量：0.453Kg</v>
      </c>
      <c r="V8" s="70" t="str">
        <f>VLOOKUP(B8,'[1]核算量产最低价2022.5.20'!$C$3:$O$29,13,0)</f>
        <v>钢丝材料费0.403元，弯管材料费2.94元</v>
      </c>
      <c r="W8" s="70" t="str">
        <f>VLOOKUP(B8,'[1]核算量产最低价2022.5.20'!$C$3:$P$29,14,0)</f>
        <v>钢丝成型：0.1792元；弯管成型和冲压：1.4元</v>
      </c>
      <c r="X8" s="70" t="str">
        <f>VLOOKUP(B8,'[1]核算量产最低价2022.5.20'!$C$3:$Q$29,15,0)</f>
        <v>2个冲压件1.2元</v>
      </c>
      <c r="Y8" s="70" t="str">
        <f>VLOOKUP(B8,'[1]核算量产最低价2022.5.20'!$C$3:$R$29,16,0)</f>
        <v>焊接费（10个焊点）1元，检验整形0.2元，包装运输0.35元</v>
      </c>
      <c r="Z8" s="104">
        <f>VLOOKUP(B8,'[1]核算量产最低价2022.5.20'!$C$3:$S$29,17,0)</f>
        <v>7.6722000000000001</v>
      </c>
      <c r="AA8" s="70" t="str">
        <f>VLOOKUP(B8,'[1]核算量产最低价2022.5.20'!$C$3:$T$29,18,0)</f>
        <v>钢丝检具1000元，弯管检具2000元，总成检具3500元，焊胎4000元，冲压机模具6500元，共计：16000元</v>
      </c>
      <c r="AB8" s="69">
        <f>VLOOKUP(B8,'[1]核算量产最低价2022.5.20'!$C$3:$U$29,19,0)</f>
        <v>0.16</v>
      </c>
      <c r="AC8" s="104">
        <f>VLOOKUP(B8,'[1]核算量产最低价2022.5.20'!$C$3:$V$29,20,0)</f>
        <v>7.8322000000000003</v>
      </c>
      <c r="AD8" s="78">
        <f t="shared" si="2"/>
        <v>0.79035142731052432</v>
      </c>
      <c r="AE8" s="78">
        <f t="shared" si="3"/>
        <v>1.1835694050991505</v>
      </c>
      <c r="AF8" s="79">
        <f t="shared" si="4"/>
        <v>-4.553176130098471E-3</v>
      </c>
      <c r="AG8" s="96">
        <f t="shared" si="5"/>
        <v>0.78203609504564153</v>
      </c>
      <c r="AH8" s="78">
        <f t="shared" si="6"/>
        <v>1.1734277620396603</v>
      </c>
      <c r="AI8" s="79">
        <f t="shared" si="7"/>
        <v>-9.1765539576208529E-3</v>
      </c>
    </row>
    <row r="9" spans="1:35" ht="31.05" customHeight="1">
      <c r="A9" s="64">
        <v>7</v>
      </c>
      <c r="B9" s="72" t="s">
        <v>23</v>
      </c>
      <c r="C9" s="73" t="s">
        <v>24</v>
      </c>
      <c r="D9" s="64" t="s">
        <v>135</v>
      </c>
      <c r="E9" s="64"/>
      <c r="F9" s="64" t="s">
        <v>136</v>
      </c>
      <c r="G9" s="74" t="s">
        <v>153</v>
      </c>
      <c r="H9" s="64">
        <v>2</v>
      </c>
      <c r="I9" s="64">
        <v>60000</v>
      </c>
      <c r="J9" s="75">
        <f>VLOOKUP(B9,价值工程部!$C$3:$M$29,11,0)</f>
        <v>0.10299999999999999</v>
      </c>
      <c r="K9" s="75">
        <v>0.68</v>
      </c>
      <c r="L9" s="75">
        <f>VLOOKUP(B9,价值工程部!$C$3:$F$29,4,0)</f>
        <v>0.59199999999999997</v>
      </c>
      <c r="M9" s="77">
        <f>VLOOKUP(B9,价值工程部!$C$3:$AG$30,31,0)</f>
        <v>0.92699999999999994</v>
      </c>
      <c r="N9" s="76">
        <v>1.05</v>
      </c>
      <c r="O9" s="76">
        <f t="shared" si="0"/>
        <v>1.0649999999999999</v>
      </c>
      <c r="P9" s="97">
        <v>0.95</v>
      </c>
      <c r="Q9" s="99">
        <f t="shared" si="1"/>
        <v>0.96499999999999997</v>
      </c>
      <c r="R9" s="99" t="s">
        <v>154</v>
      </c>
      <c r="S9" s="100" t="s">
        <v>155</v>
      </c>
      <c r="T9" s="98">
        <f t="shared" ref="T9:T13" si="8">1500/100000</f>
        <v>1.4999999999999999E-2</v>
      </c>
      <c r="U9" s="70">
        <f>VLOOKUP(B9,'[1]核算量产最低价2022.5.20'!$C$3:$N$29,12,0)</f>
        <v>0</v>
      </c>
      <c r="V9" s="70">
        <f>VLOOKUP(B9,'[1]核算量产最低价2022.5.20'!$C$3:$O$29,13,0)</f>
        <v>0.63859999999999995</v>
      </c>
      <c r="W9" s="70">
        <f>VLOOKUP(B9,'[1]核算量产最低价2022.5.20'!$C$3:$P$29,14,0)</f>
        <v>0.28799999999999998</v>
      </c>
      <c r="X9" s="70" t="str">
        <f>VLOOKUP(B9,'[1]核算量产最低价2022.5.20'!$C$3:$Q$29,15,0)</f>
        <v>/</v>
      </c>
      <c r="Y9" s="70" t="str">
        <f>VLOOKUP(B9,'[1]核算量产最低价2022.5.20'!$C$3:$R$29,16,0)</f>
        <v>/</v>
      </c>
      <c r="Z9" s="104">
        <f>VLOOKUP(B9,'[1]核算量产最低价2022.5.20'!$C$3:$S$29,17,0)</f>
        <v>0.92659999999999987</v>
      </c>
      <c r="AA9" s="70" t="str">
        <f>VLOOKUP(B9,'[1]核算量产最低价2022.5.20'!$C$3:$T$29,18,0)</f>
        <v>检具：1500元</v>
      </c>
      <c r="AB9" s="69">
        <f>VLOOKUP(B9,'[1]核算量产最低价2022.5.20'!$C$3:$U$29,19,0)</f>
        <v>1.4999999999999999E-2</v>
      </c>
      <c r="AC9" s="104">
        <f>VLOOKUP(B9,'[1]核算量产最低价2022.5.20'!$C$3:$V$29,20,0)</f>
        <v>0.94159999999999988</v>
      </c>
      <c r="AD9" s="78">
        <f t="shared" ref="AD9:AD29" si="9">(N9-K9)/K9</f>
        <v>0.54411764705882348</v>
      </c>
      <c r="AE9" s="78">
        <f t="shared" si="3"/>
        <v>0.60472972972972971</v>
      </c>
      <c r="AF9" s="79">
        <f t="shared" si="4"/>
        <v>2.481121898597629E-2</v>
      </c>
      <c r="AG9" s="96">
        <f t="shared" si="5"/>
        <v>0.3626470588235291</v>
      </c>
      <c r="AH9" s="78">
        <f t="shared" si="6"/>
        <v>0.56520270270270256</v>
      </c>
      <c r="AI9" s="79">
        <f t="shared" si="7"/>
        <v>-4.3149946062574649E-4</v>
      </c>
    </row>
    <row r="10" spans="1:35" ht="31.05" customHeight="1">
      <c r="A10" s="64">
        <v>8</v>
      </c>
      <c r="B10" s="72" t="s">
        <v>25</v>
      </c>
      <c r="C10" s="73" t="s">
        <v>26</v>
      </c>
      <c r="D10" s="64" t="s">
        <v>135</v>
      </c>
      <c r="E10" s="64"/>
      <c r="F10" s="64" t="s">
        <v>136</v>
      </c>
      <c r="G10" s="74" t="s">
        <v>156</v>
      </c>
      <c r="H10" s="64">
        <v>3</v>
      </c>
      <c r="I10" s="64">
        <v>90000</v>
      </c>
      <c r="J10" s="75">
        <f>VLOOKUP(B10,价值工程部!$C$3:$M$29,11,0)</f>
        <v>6.3E-2</v>
      </c>
      <c r="K10" s="75">
        <v>0.504</v>
      </c>
      <c r="L10" s="75">
        <f>VLOOKUP(B10,价值工程部!$C$3:$F$29,4,0)</f>
        <v>0.504</v>
      </c>
      <c r="M10" s="77">
        <f>VLOOKUP(B10,价值工程部!$C$3:$AG$30,31,0)</f>
        <v>0.56699999999999995</v>
      </c>
      <c r="N10" s="76">
        <v>0.65</v>
      </c>
      <c r="O10" s="76">
        <f t="shared" si="0"/>
        <v>0.66500000000000004</v>
      </c>
      <c r="P10" s="97">
        <f>0.372+0.217</f>
        <v>0.58899999999999997</v>
      </c>
      <c r="Q10" s="99">
        <f t="shared" si="1"/>
        <v>0.60399999999999998</v>
      </c>
      <c r="R10" s="99" t="s">
        <v>157</v>
      </c>
      <c r="S10" s="100" t="s">
        <v>155</v>
      </c>
      <c r="T10" s="98">
        <f t="shared" si="8"/>
        <v>1.4999999999999999E-2</v>
      </c>
      <c r="U10" s="70">
        <f>VLOOKUP(B10,'[1]核算量产最低价2022.5.20'!$C$3:$N$29,12,0)</f>
        <v>0</v>
      </c>
      <c r="V10" s="70">
        <f>VLOOKUP(B10,'[1]核算量产最低价2022.5.20'!$C$3:$O$29,13,0)</f>
        <v>0.3906</v>
      </c>
      <c r="W10" s="70">
        <f>VLOOKUP(B10,'[1]核算量产最低价2022.5.20'!$C$3:$P$29,14,0)</f>
        <v>0.17599999999999999</v>
      </c>
      <c r="X10" s="70" t="str">
        <f>VLOOKUP(B10,'[1]核算量产最低价2022.5.20'!$C$3:$Q$29,15,0)</f>
        <v>/</v>
      </c>
      <c r="Y10" s="70" t="str">
        <f>VLOOKUP(B10,'[1]核算量产最低价2022.5.20'!$C$3:$R$29,16,0)</f>
        <v>/</v>
      </c>
      <c r="Z10" s="104">
        <f>VLOOKUP(B10,'[1]核算量产最低价2022.5.20'!$C$3:$S$29,17,0)</f>
        <v>0.56659999999999999</v>
      </c>
      <c r="AA10" s="70" t="str">
        <f>VLOOKUP(B10,'[1]核算量产最低价2022.5.20'!$C$3:$T$29,18,0)</f>
        <v>检具：1500元</v>
      </c>
      <c r="AB10" s="69">
        <f>VLOOKUP(B10,'[1]核算量产最低价2022.5.20'!$C$3:$U$29,19,0)</f>
        <v>1.4999999999999999E-2</v>
      </c>
      <c r="AC10" s="104">
        <f>VLOOKUP(B10,'[1]核算量产最低价2022.5.20'!$C$3:$V$29,20,0)</f>
        <v>0.58160000000000001</v>
      </c>
      <c r="AD10" s="78">
        <f t="shared" si="9"/>
        <v>0.28968253968253971</v>
      </c>
      <c r="AE10" s="78">
        <f t="shared" si="3"/>
        <v>0.16865079365079358</v>
      </c>
      <c r="AF10" s="79">
        <f t="shared" si="4"/>
        <v>3.8800705467372174E-2</v>
      </c>
      <c r="AG10" s="96">
        <f t="shared" si="5"/>
        <v>0.12420634920634918</v>
      </c>
      <c r="AH10" s="78">
        <f t="shared" si="6"/>
        <v>0.12420634920634918</v>
      </c>
      <c r="AI10" s="79">
        <f t="shared" si="7"/>
        <v>-7.0546737213396122E-4</v>
      </c>
    </row>
    <row r="11" spans="1:35" ht="31.05" customHeight="1">
      <c r="A11" s="64">
        <v>9</v>
      </c>
      <c r="B11" s="72" t="s">
        <v>29</v>
      </c>
      <c r="C11" s="73" t="s">
        <v>30</v>
      </c>
      <c r="D11" s="64" t="s">
        <v>135</v>
      </c>
      <c r="E11" s="64"/>
      <c r="F11" s="64" t="s">
        <v>136</v>
      </c>
      <c r="G11" s="74" t="s">
        <v>156</v>
      </c>
      <c r="H11" s="64">
        <v>1</v>
      </c>
      <c r="I11" s="64">
        <v>30000</v>
      </c>
      <c r="J11" s="75">
        <f>VLOOKUP(B11,价值工程部!$C$3:$M$29,11,0)</f>
        <v>3.5000000000000003E-2</v>
      </c>
      <c r="K11" s="75">
        <v>0.315</v>
      </c>
      <c r="L11" s="75">
        <f>VLOOKUP(B11,价值工程部!$C$3:$F$29,4,0)</f>
        <v>0.315</v>
      </c>
      <c r="M11" s="77">
        <f>VLOOKUP(B11,价值工程部!$C$3:$AG$30,31,0)</f>
        <v>0.31500000000000006</v>
      </c>
      <c r="N11" s="76">
        <v>0.37</v>
      </c>
      <c r="O11" s="76">
        <f t="shared" si="0"/>
        <v>0.38</v>
      </c>
      <c r="P11" s="97">
        <f>0.21+0.123</f>
        <v>0.33299999999999996</v>
      </c>
      <c r="Q11" s="99">
        <f t="shared" si="1"/>
        <v>0.34299999999999997</v>
      </c>
      <c r="R11" s="99" t="s">
        <v>158</v>
      </c>
      <c r="S11" s="100" t="s">
        <v>159</v>
      </c>
      <c r="T11" s="98">
        <f>1000/100000</f>
        <v>0.01</v>
      </c>
      <c r="U11" s="70">
        <f>VLOOKUP(B11,'[1]核算量产最低价2022.5.20'!$C$3:$N$29,12,0)</f>
        <v>0</v>
      </c>
      <c r="V11" s="70">
        <f>VLOOKUP(B11,'[1]核算量产最低价2022.5.20'!$C$3:$O$29,13,0)</f>
        <v>0.21700000000000003</v>
      </c>
      <c r="W11" s="70">
        <f>VLOOKUP(B11,'[1]核算量产最低价2022.5.20'!$C$3:$P$29,14,0)</f>
        <v>9.8000000000000004E-2</v>
      </c>
      <c r="X11" s="70" t="str">
        <f>VLOOKUP(B11,'[1]核算量产最低价2022.5.20'!$C$3:$Q$29,15,0)</f>
        <v>/</v>
      </c>
      <c r="Y11" s="70" t="str">
        <f>VLOOKUP(B11,'[1]核算量产最低价2022.5.20'!$C$3:$R$29,16,0)</f>
        <v>/</v>
      </c>
      <c r="Z11" s="104">
        <f>VLOOKUP(B11,'[1]核算量产最低价2022.5.20'!$C$3:$S$29,17,0)</f>
        <v>0.31500000000000006</v>
      </c>
      <c r="AA11" s="70" t="str">
        <f>VLOOKUP(B11,'[1]核算量产最低价2022.5.20'!$C$3:$T$29,18,0)</f>
        <v>检具：1000元</v>
      </c>
      <c r="AB11" s="69">
        <f>VLOOKUP(B11,'[1]核算量产最低价2022.5.20'!$C$3:$U$29,19,0)</f>
        <v>0.01</v>
      </c>
      <c r="AC11" s="104">
        <f>VLOOKUP(B11,'[1]核算量产最低价2022.5.20'!$C$3:$V$29,20,0)</f>
        <v>0.32500000000000007</v>
      </c>
      <c r="AD11" s="78">
        <f t="shared" si="9"/>
        <v>0.17460317460317459</v>
      </c>
      <c r="AE11" s="78">
        <f t="shared" si="3"/>
        <v>5.7142857142857016E-2</v>
      </c>
      <c r="AF11" s="78">
        <f t="shared" si="4"/>
        <v>5.7142857142856829E-2</v>
      </c>
      <c r="AG11" s="96">
        <f t="shared" si="5"/>
        <v>1.7622587692462801E-16</v>
      </c>
      <c r="AH11" s="78">
        <f t="shared" si="6"/>
        <v>1.7622587692462801E-16</v>
      </c>
      <c r="AI11" s="79">
        <f t="shared" si="7"/>
        <v>0</v>
      </c>
    </row>
    <row r="12" spans="1:35" ht="31.05" customHeight="1">
      <c r="A12" s="64">
        <v>10</v>
      </c>
      <c r="B12" s="72" t="s">
        <v>31</v>
      </c>
      <c r="C12" s="73" t="s">
        <v>32</v>
      </c>
      <c r="D12" s="64" t="s">
        <v>135</v>
      </c>
      <c r="E12" s="64"/>
      <c r="F12" s="64" t="s">
        <v>136</v>
      </c>
      <c r="G12" s="74" t="s">
        <v>156</v>
      </c>
      <c r="H12" s="64">
        <v>1</v>
      </c>
      <c r="I12" s="64">
        <v>30000</v>
      </c>
      <c r="J12" s="75">
        <f>VLOOKUP(B12,价值工程部!$C$3:$M$29,11,0)</f>
        <v>3.5000000000000003E-2</v>
      </c>
      <c r="K12" s="75">
        <v>0.315</v>
      </c>
      <c r="L12" s="75">
        <f>VLOOKUP(B12,价值工程部!$C$3:$F$29,4,0)</f>
        <v>0.315</v>
      </c>
      <c r="M12" s="77">
        <f>VLOOKUP(B12,价值工程部!$C$3:$AG$30,31,0)</f>
        <v>0.31500000000000006</v>
      </c>
      <c r="N12" s="76">
        <v>0.37</v>
      </c>
      <c r="O12" s="76">
        <f t="shared" si="0"/>
        <v>0.38</v>
      </c>
      <c r="P12" s="97">
        <f>0.21+0.123</f>
        <v>0.33299999999999996</v>
      </c>
      <c r="Q12" s="99">
        <f t="shared" si="1"/>
        <v>0.34299999999999997</v>
      </c>
      <c r="R12" s="99" t="s">
        <v>158</v>
      </c>
      <c r="S12" s="100" t="s">
        <v>159</v>
      </c>
      <c r="T12" s="98">
        <f>1000/100000</f>
        <v>0.01</v>
      </c>
      <c r="U12" s="70">
        <f>VLOOKUP(B12,'[1]核算量产最低价2022.5.20'!$C$3:$N$29,12,0)</f>
        <v>0</v>
      </c>
      <c r="V12" s="70">
        <f>VLOOKUP(B12,'[1]核算量产最低价2022.5.20'!$C$3:$O$29,13,0)</f>
        <v>0.21700000000000003</v>
      </c>
      <c r="W12" s="70">
        <f>VLOOKUP(B12,'[1]核算量产最低价2022.5.20'!$C$3:$P$29,14,0)</f>
        <v>9.8000000000000004E-2</v>
      </c>
      <c r="X12" s="70" t="str">
        <f>VLOOKUP(B12,'[1]核算量产最低价2022.5.20'!$C$3:$Q$29,15,0)</f>
        <v>/</v>
      </c>
      <c r="Y12" s="70" t="str">
        <f>VLOOKUP(B12,'[1]核算量产最低价2022.5.20'!$C$3:$R$29,16,0)</f>
        <v>/</v>
      </c>
      <c r="Z12" s="104">
        <f>VLOOKUP(B12,'[1]核算量产最低价2022.5.20'!$C$3:$S$29,17,0)</f>
        <v>0.31500000000000006</v>
      </c>
      <c r="AA12" s="70" t="str">
        <f>VLOOKUP(B12,'[1]核算量产最低价2022.5.20'!$C$3:$T$29,18,0)</f>
        <v>检具：1000元</v>
      </c>
      <c r="AB12" s="69">
        <f>VLOOKUP(B12,'[1]核算量产最低价2022.5.20'!$C$3:$U$29,19,0)</f>
        <v>0.01</v>
      </c>
      <c r="AC12" s="104">
        <f>VLOOKUP(B12,'[1]核算量产最低价2022.5.20'!$C$3:$V$29,20,0)</f>
        <v>0.32500000000000007</v>
      </c>
      <c r="AD12" s="78">
        <f t="shared" si="9"/>
        <v>0.17460317460317459</v>
      </c>
      <c r="AE12" s="78">
        <f t="shared" si="3"/>
        <v>5.7142857142857016E-2</v>
      </c>
      <c r="AF12" s="78">
        <f t="shared" si="4"/>
        <v>5.7142857142856829E-2</v>
      </c>
      <c r="AG12" s="96">
        <f t="shared" si="5"/>
        <v>1.7622587692462801E-16</v>
      </c>
      <c r="AH12" s="78">
        <f t="shared" si="6"/>
        <v>1.7622587692462801E-16</v>
      </c>
      <c r="AI12" s="79">
        <f t="shared" si="7"/>
        <v>0</v>
      </c>
    </row>
    <row r="13" spans="1:35" ht="31.05" customHeight="1">
      <c r="A13" s="64">
        <v>11</v>
      </c>
      <c r="B13" s="72" t="s">
        <v>33</v>
      </c>
      <c r="C13" s="73" t="s">
        <v>34</v>
      </c>
      <c r="D13" s="64" t="s">
        <v>135</v>
      </c>
      <c r="E13" s="64"/>
      <c r="F13" s="64" t="s">
        <v>136</v>
      </c>
      <c r="G13" s="74" t="s">
        <v>156</v>
      </c>
      <c r="H13" s="64">
        <v>1</v>
      </c>
      <c r="I13" s="64">
        <v>30000</v>
      </c>
      <c r="J13" s="75">
        <f>VLOOKUP(B13,价值工程部!$C$3:$M$29,11,0)</f>
        <v>5.6000000000000001E-2</v>
      </c>
      <c r="K13" s="75">
        <v>0.44800000000000001</v>
      </c>
      <c r="L13" s="75">
        <f>VLOOKUP(B13,价值工程部!$C$3:$F$29,4,0)</f>
        <v>0.44800000000000001</v>
      </c>
      <c r="M13" s="77">
        <f>VLOOKUP(B13,价值工程部!$C$3:$AG$30,31,0)</f>
        <v>0.504</v>
      </c>
      <c r="N13" s="76">
        <v>0.55000000000000004</v>
      </c>
      <c r="O13" s="76">
        <f t="shared" si="0"/>
        <v>0.56500000000000006</v>
      </c>
      <c r="P13" s="97">
        <f>0.312+0.182</f>
        <v>0.49399999999999999</v>
      </c>
      <c r="Q13" s="99">
        <f t="shared" si="1"/>
        <v>0.50900000000000001</v>
      </c>
      <c r="R13" s="99" t="s">
        <v>160</v>
      </c>
      <c r="S13" s="100" t="s">
        <v>155</v>
      </c>
      <c r="T13" s="98">
        <f t="shared" si="8"/>
        <v>1.4999999999999999E-2</v>
      </c>
      <c r="U13" s="70">
        <f>VLOOKUP(B13,'[1]核算量产最低价2022.5.20'!$C$3:$N$29,12,0)</f>
        <v>0</v>
      </c>
      <c r="V13" s="70">
        <f>VLOOKUP(B13,'[1]核算量产最低价2022.5.20'!$C$3:$O$29,13,0)</f>
        <v>0.34720000000000001</v>
      </c>
      <c r="W13" s="70">
        <f>VLOOKUP(B13,'[1]核算量产最低价2022.5.20'!$C$3:$P$29,14,0)</f>
        <v>9.8000000000000004E-2</v>
      </c>
      <c r="X13" s="70" t="str">
        <f>VLOOKUP(B13,'[1]核算量产最低价2022.5.20'!$C$3:$Q$29,15,0)</f>
        <v>/</v>
      </c>
      <c r="Y13" s="70" t="str">
        <f>VLOOKUP(B13,'[1]核算量产最低价2022.5.20'!$C$3:$R$29,16,0)</f>
        <v>/</v>
      </c>
      <c r="Z13" s="104">
        <f>VLOOKUP(B13,'[1]核算量产最低价2022.5.20'!$C$3:$S$29,17,0)</f>
        <v>0.44520000000000004</v>
      </c>
      <c r="AA13" s="70" t="str">
        <f>VLOOKUP(B13,'[1]核算量产最低价2022.5.20'!$C$3:$T$29,18,0)</f>
        <v>检具：1000元</v>
      </c>
      <c r="AB13" s="69">
        <f>VLOOKUP(B13,'[1]核算量产最低价2022.5.20'!$C$3:$U$29,19,0)</f>
        <v>0.01</v>
      </c>
      <c r="AC13" s="104">
        <f>VLOOKUP(B13,'[1]核算量产最低价2022.5.20'!$C$3:$V$29,20,0)</f>
        <v>0.45520000000000005</v>
      </c>
      <c r="AD13" s="78">
        <f t="shared" si="9"/>
        <v>0.22767857142857151</v>
      </c>
      <c r="AE13" s="78">
        <f t="shared" si="3"/>
        <v>0.1026785714285714</v>
      </c>
      <c r="AF13" s="79">
        <f t="shared" si="4"/>
        <v>-1.9841269841269858E-2</v>
      </c>
      <c r="AG13" s="96">
        <f t="shared" si="5"/>
        <v>-6.249999999999931E-3</v>
      </c>
      <c r="AH13" s="78">
        <f t="shared" si="6"/>
        <v>-6.249999999999931E-3</v>
      </c>
      <c r="AI13" s="79">
        <f t="shared" si="7"/>
        <v>-0.1166666666666666</v>
      </c>
    </row>
    <row r="14" spans="1:35" ht="51" customHeight="1">
      <c r="A14" s="64">
        <v>12</v>
      </c>
      <c r="B14" s="72" t="s">
        <v>39</v>
      </c>
      <c r="C14" s="73" t="s">
        <v>15</v>
      </c>
      <c r="D14" s="64" t="s">
        <v>135</v>
      </c>
      <c r="E14" s="64"/>
      <c r="F14" s="64" t="s">
        <v>141</v>
      </c>
      <c r="G14" s="64" t="s">
        <v>142</v>
      </c>
      <c r="H14" s="64">
        <v>1</v>
      </c>
      <c r="I14" s="64">
        <v>30000</v>
      </c>
      <c r="J14" s="75">
        <f>VLOOKUP(B14,价值工程部!$C$3:$M$29,11,0)</f>
        <v>1.2399999999999998</v>
      </c>
      <c r="K14" s="75">
        <v>26.62</v>
      </c>
      <c r="L14" s="75">
        <f>VLOOKUP(B14,价值工程部!$C$3:$F$29,4,0)</f>
        <v>28.8</v>
      </c>
      <c r="M14" s="77">
        <f>VLOOKUP(B14,价值工程部!$C$3:$AG$30,31,0)</f>
        <v>19.820256410256405</v>
      </c>
      <c r="N14" s="76">
        <v>28.8</v>
      </c>
      <c r="O14" s="76">
        <f t="shared" si="0"/>
        <v>29.25</v>
      </c>
      <c r="P14" s="97">
        <v>26.62</v>
      </c>
      <c r="Q14" s="99">
        <f t="shared" si="1"/>
        <v>27.07</v>
      </c>
      <c r="R14" s="100" t="s">
        <v>143</v>
      </c>
      <c r="S14" s="99" t="s">
        <v>161</v>
      </c>
      <c r="T14" s="98">
        <f>45000/100000</f>
        <v>0.45</v>
      </c>
      <c r="U14" s="70" t="str">
        <f>VLOOKUP(B14,'[1]核算量产最低价2022.5.20'!$C$3:$N$29,12,0)</f>
        <v>钢丝重量：1.231Kg</v>
      </c>
      <c r="V14" s="70">
        <f>VLOOKUP(B14,'[1]核算量产最低价2022.5.20'!$C$3:$O$29,13,0)</f>
        <v>7.632200000000001</v>
      </c>
      <c r="W14" s="70">
        <f>VLOOKUP(B14,'[1]核算量产最低价2022.5.20'!$C$3:$P$29,14,0)</f>
        <v>3.4470000000000001</v>
      </c>
      <c r="X14" s="70" t="str">
        <f>VLOOKUP(B14,'[1]核算量产最低价2022.5.20'!$C$3:$Q$29,15,0)</f>
        <v>4个冲压件：3.6元，焊接螺母2个0.3元，</v>
      </c>
      <c r="Y14" s="70" t="str">
        <f>VLOOKUP(B14,'[1]核算量产最低价2022.5.20'!$C$3:$R$29,16,0)</f>
        <v>摆件焊接费（28个焊点）：2.8
电泳：6.1
检验整形：0.3
包装运输：1</v>
      </c>
      <c r="Z14" s="104">
        <f>VLOOKUP(B14,'[1]核算量产最低价2022.5.20'!$C$3:$S$29,17,0)</f>
        <v>25.179199999999998</v>
      </c>
      <c r="AA14" s="70" t="str">
        <f>VLOOKUP(B14,'[1]核算量产最低价2022.5.20'!$C$3:$T$29,18,0)</f>
        <v>钢丝检具19000元，总成检具6000元，焊胎8000元，冲压件模具7000元共计：40000元</v>
      </c>
      <c r="AB14" s="69">
        <f>VLOOKUP(B14,'[1]核算量产最低价2022.5.20'!$C$3:$U$29,19,0)</f>
        <v>0.4</v>
      </c>
      <c r="AC14" s="104">
        <f>VLOOKUP(B14,'[1]核算量产最低价2022.5.20'!$C$3:$V$29,20,0)</f>
        <v>25.579199999999997</v>
      </c>
      <c r="AD14" s="78">
        <f t="shared" si="9"/>
        <v>8.1893313298271958E-2</v>
      </c>
      <c r="AE14" s="79">
        <f t="shared" si="3"/>
        <v>-7.5694444444444439E-2</v>
      </c>
      <c r="AF14" s="78">
        <f t="shared" si="4"/>
        <v>0.34307041488246975</v>
      </c>
      <c r="AG14" s="96">
        <f t="shared" si="5"/>
        <v>-5.4124718256949769E-2</v>
      </c>
      <c r="AH14" s="78">
        <f t="shared" si="6"/>
        <v>-0.12572222222222232</v>
      </c>
      <c r="AI14" s="79">
        <f t="shared" si="7"/>
        <v>0.27037710707771145</v>
      </c>
    </row>
    <row r="15" spans="1:35" ht="31.05" customHeight="1">
      <c r="A15" s="64">
        <v>13</v>
      </c>
      <c r="B15" s="72" t="s">
        <v>46</v>
      </c>
      <c r="C15" s="73" t="s">
        <v>47</v>
      </c>
      <c r="D15" s="64" t="s">
        <v>135</v>
      </c>
      <c r="E15" s="64"/>
      <c r="F15" s="64" t="s">
        <v>136</v>
      </c>
      <c r="G15" s="74" t="s">
        <v>156</v>
      </c>
      <c r="H15" s="64">
        <v>2</v>
      </c>
      <c r="I15" s="64">
        <v>60000</v>
      </c>
      <c r="J15" s="75">
        <f>VLOOKUP(B15,价值工程部!$C$3:$M$29,11,0)</f>
        <v>6.5100000000000005E-2</v>
      </c>
      <c r="K15" s="75">
        <v>0.52080000000000004</v>
      </c>
      <c r="L15" s="75">
        <f>VLOOKUP(B15,价值工程部!$C$3:$F$29,4,0)</f>
        <v>0.52080000000000004</v>
      </c>
      <c r="M15" s="77">
        <f>VLOOKUP(B15,价值工程部!$C$3:$AG$30,31,0)</f>
        <v>0.58590000000000009</v>
      </c>
      <c r="N15" s="76">
        <v>0.59</v>
      </c>
      <c r="O15" s="76">
        <f t="shared" si="0"/>
        <v>0.60499999999999998</v>
      </c>
      <c r="P15" s="97">
        <f>0.336+0.196</f>
        <v>0.53200000000000003</v>
      </c>
      <c r="Q15" s="99">
        <f t="shared" si="1"/>
        <v>0.54700000000000004</v>
      </c>
      <c r="R15" s="99" t="s">
        <v>162</v>
      </c>
      <c r="S15" s="100" t="s">
        <v>155</v>
      </c>
      <c r="T15" s="98">
        <f t="shared" ref="T15:T19" si="10">1500/100000</f>
        <v>1.4999999999999999E-2</v>
      </c>
      <c r="U15" s="70">
        <f>VLOOKUP(B15,'[1]核算量产最低价2022.5.20'!$C$3:$N$29,12,0)</f>
        <v>0</v>
      </c>
      <c r="V15" s="70">
        <f>VLOOKUP(B15,'[1]核算量产最低价2022.5.20'!$C$3:$O$29,13,0)</f>
        <v>0.40362000000000003</v>
      </c>
      <c r="W15" s="70">
        <f>VLOOKUP(B15,'[1]核算量产最低价2022.5.20'!$C$3:$P$29,14,0)</f>
        <v>0.182</v>
      </c>
      <c r="X15" s="70" t="str">
        <f>VLOOKUP(B15,'[1]核算量产最低价2022.5.20'!$C$3:$Q$29,15,0)</f>
        <v>/</v>
      </c>
      <c r="Y15" s="70" t="str">
        <f>VLOOKUP(B15,'[1]核算量产最低价2022.5.20'!$C$3:$R$29,16,0)</f>
        <v>/</v>
      </c>
      <c r="Z15" s="104">
        <f>VLOOKUP(B15,'[1]核算量产最低价2022.5.20'!$C$3:$S$29,17,0)</f>
        <v>0.58562000000000003</v>
      </c>
      <c r="AA15" s="70" t="str">
        <f>VLOOKUP(B15,'[1]核算量产最低价2022.5.20'!$C$3:$T$29,18,0)</f>
        <v>检具：1500元</v>
      </c>
      <c r="AB15" s="69">
        <f>VLOOKUP(B15,'[1]核算量产最低价2022.5.20'!$C$3:$U$29,19,0)</f>
        <v>1.4999999999999999E-2</v>
      </c>
      <c r="AC15" s="104">
        <f>VLOOKUP(B15,'[1]核算量产最低价2022.5.20'!$C$3:$V$29,20,0)</f>
        <v>0.60062000000000004</v>
      </c>
      <c r="AD15" s="78">
        <f t="shared" si="9"/>
        <v>0.13287250384024563</v>
      </c>
      <c r="AE15" s="78">
        <f t="shared" si="3"/>
        <v>2.1505376344085995E-2</v>
      </c>
      <c r="AF15" s="79">
        <f t="shared" si="4"/>
        <v>-9.1995221027479174E-2</v>
      </c>
      <c r="AG15" s="96">
        <f t="shared" si="5"/>
        <v>0.12446236559139782</v>
      </c>
      <c r="AH15" s="78">
        <f t="shared" si="6"/>
        <v>0.12446236559139782</v>
      </c>
      <c r="AI15" s="79">
        <f t="shared" si="7"/>
        <v>-4.7789725209089939E-4</v>
      </c>
    </row>
    <row r="16" spans="1:35" ht="31.05" customHeight="1">
      <c r="A16" s="64">
        <v>14</v>
      </c>
      <c r="B16" s="72" t="s">
        <v>48</v>
      </c>
      <c r="C16" s="73" t="s">
        <v>49</v>
      </c>
      <c r="D16" s="64" t="s">
        <v>135</v>
      </c>
      <c r="E16" s="64"/>
      <c r="F16" s="64" t="s">
        <v>136</v>
      </c>
      <c r="G16" s="74" t="s">
        <v>156</v>
      </c>
      <c r="H16" s="64">
        <v>1</v>
      </c>
      <c r="I16" s="64">
        <v>30000</v>
      </c>
      <c r="J16" s="75">
        <f>VLOOKUP(B16,价值工程部!$C$3:$M$29,11,0)</f>
        <v>4.8000000000000001E-2</v>
      </c>
      <c r="K16" s="75">
        <v>0.86399999999999999</v>
      </c>
      <c r="L16" s="75">
        <f>VLOOKUP(B16,价值工程部!$C$3:$F$29,4,0)</f>
        <v>0.432</v>
      </c>
      <c r="M16" s="77">
        <f>VLOOKUP(B16,价值工程部!$C$3:$AG$30,31,0)</f>
        <v>0.432</v>
      </c>
      <c r="N16" s="76">
        <v>0.54</v>
      </c>
      <c r="O16" s="76">
        <f t="shared" si="0"/>
        <v>0.55500000000000005</v>
      </c>
      <c r="P16" s="97">
        <v>0.55500000000000005</v>
      </c>
      <c r="Q16" s="99">
        <f>O16</f>
        <v>0.55500000000000005</v>
      </c>
      <c r="R16" s="100" t="s">
        <v>163</v>
      </c>
      <c r="S16" s="100" t="s">
        <v>155</v>
      </c>
      <c r="T16" s="98">
        <f t="shared" si="10"/>
        <v>1.4999999999999999E-2</v>
      </c>
      <c r="U16" s="70">
        <f>VLOOKUP(B16,'[1]核算量产最低价2022.5.20'!$C$3:$N$29,12,0)</f>
        <v>0</v>
      </c>
      <c r="V16" s="70">
        <f>VLOOKUP(B16,'[1]核算量产最低价2022.5.20'!$C$3:$O$29,13,0)</f>
        <v>0.29760000000000003</v>
      </c>
      <c r="W16" s="70">
        <f>VLOOKUP(B16,'[1]核算量产最低价2022.5.20'!$C$3:$P$29,14,0)</f>
        <v>0.13400000000000001</v>
      </c>
      <c r="X16" s="70" t="str">
        <f>VLOOKUP(B16,'[1]核算量产最低价2022.5.20'!$C$3:$Q$29,15,0)</f>
        <v>/</v>
      </c>
      <c r="Y16" s="70" t="str">
        <f>VLOOKUP(B16,'[1]核算量产最低价2022.5.20'!$C$3:$R$29,16,0)</f>
        <v>/</v>
      </c>
      <c r="Z16" s="104">
        <f>VLOOKUP(B16,'[1]核算量产最低价2022.5.20'!$C$3:$S$29,17,0)</f>
        <v>0.43160000000000004</v>
      </c>
      <c r="AA16" s="70" t="str">
        <f>VLOOKUP(B16,'[1]核算量产最低价2022.5.20'!$C$3:$T$29,18,0)</f>
        <v>检具：1500元</v>
      </c>
      <c r="AB16" s="69">
        <f>VLOOKUP(B16,'[1]核算量产最低价2022.5.20'!$C$3:$U$29,19,0)</f>
        <v>1.4999999999999999E-2</v>
      </c>
      <c r="AC16" s="104">
        <f>VLOOKUP(B16,'[1]核算量产最低价2022.5.20'!$C$3:$V$29,20,0)</f>
        <v>0.44660000000000005</v>
      </c>
      <c r="AD16" s="78">
        <f t="shared" si="9"/>
        <v>-0.37499999999999994</v>
      </c>
      <c r="AE16" s="78">
        <f t="shared" si="3"/>
        <v>0.28472222222222238</v>
      </c>
      <c r="AF16" s="78">
        <f t="shared" si="4"/>
        <v>0.28472222222222238</v>
      </c>
      <c r="AG16" s="96">
        <f t="shared" si="5"/>
        <v>-0.50046296296296289</v>
      </c>
      <c r="AH16" s="78">
        <f t="shared" si="6"/>
        <v>-9.2592592592582394E-4</v>
      </c>
      <c r="AI16" s="79">
        <f t="shared" si="7"/>
        <v>-9.2592592592582394E-4</v>
      </c>
    </row>
    <row r="17" spans="1:35" ht="55.05" customHeight="1">
      <c r="A17" s="64">
        <v>15</v>
      </c>
      <c r="B17" s="72" t="s">
        <v>52</v>
      </c>
      <c r="C17" s="73" t="s">
        <v>53</v>
      </c>
      <c r="D17" s="64" t="s">
        <v>135</v>
      </c>
      <c r="E17" s="64"/>
      <c r="F17" s="64" t="s">
        <v>141</v>
      </c>
      <c r="G17" s="64" t="s">
        <v>142</v>
      </c>
      <c r="H17" s="64">
        <v>1</v>
      </c>
      <c r="I17" s="64">
        <v>30000</v>
      </c>
      <c r="J17" s="75">
        <f>VLOOKUP(B17,价值工程部!$C$3:$M$29,11,0)</f>
        <v>0.32369999999999999</v>
      </c>
      <c r="K17" s="75">
        <v>2.71</v>
      </c>
      <c r="L17" s="75">
        <f>VLOOKUP(B17,价值工程部!$C$3:$F$29,4,0)</f>
        <v>2.71</v>
      </c>
      <c r="M17" s="77">
        <f>VLOOKUP(B17,价值工程部!$C$3:$AG$30,31,0)</f>
        <v>3.62355641025641</v>
      </c>
      <c r="N17" s="76">
        <v>5</v>
      </c>
      <c r="O17" s="76">
        <f t="shared" si="0"/>
        <v>5.0549999999999997</v>
      </c>
      <c r="P17" s="97">
        <v>4.1180000000000003</v>
      </c>
      <c r="Q17" s="99">
        <f t="shared" ref="Q17:Q22" si="11">P17+T17</f>
        <v>4.173</v>
      </c>
      <c r="R17" s="99" t="s">
        <v>164</v>
      </c>
      <c r="S17" s="99" t="s">
        <v>165</v>
      </c>
      <c r="T17" s="98">
        <f>5500/100000</f>
        <v>5.5E-2</v>
      </c>
      <c r="U17" s="70">
        <f>VLOOKUP(B17,'[1]核算量产最低价2022.5.20'!$C$3:$N$29,12,0)</f>
        <v>0</v>
      </c>
      <c r="V17" s="70">
        <f>VLOOKUP(B17,'[1]核算量产最低价2022.5.20'!$C$3:$O$29,13,0)</f>
        <v>2.0069400000000002</v>
      </c>
      <c r="W17" s="70">
        <f>VLOOKUP(B17,'[1]核算量产最低价2022.5.20'!$C$3:$P$29,14,0)</f>
        <v>0.90600000000000003</v>
      </c>
      <c r="X17" s="70" t="str">
        <f>VLOOKUP(B17,'[1]核算量产最低价2022.5.20'!$C$3:$Q$29,15,0)</f>
        <v>/</v>
      </c>
      <c r="Y17" s="70" t="str">
        <f>VLOOKUP(B17,'[1]核算量产最低价2022.5.20'!$C$3:$R$29,16,0)</f>
        <v>焊接费（6个焊点）0.6元，检验整形0.2元，包装运输0.25元</v>
      </c>
      <c r="Z17" s="104">
        <f>VLOOKUP(B17,'[1]核算量产最低价2022.5.20'!$C$3:$S$29,17,0)</f>
        <v>3.9629400000000006</v>
      </c>
      <c r="AA17" s="70" t="str">
        <f>VLOOKUP(B17,'[1]核算量产最低价2022.5.20'!$C$3:$T$29,18,0)</f>
        <v>钢丝检具1500元；总成检具2000元；焊胎：2000元，共计5500元</v>
      </c>
      <c r="AB17" s="69">
        <f>VLOOKUP(B17,'[1]核算量产最低价2022.5.20'!$C$3:$U$29,19,0)</f>
        <v>5.5E-2</v>
      </c>
      <c r="AC17" s="104">
        <f>VLOOKUP(B17,'[1]核算量产最低价2022.5.20'!$C$3:$V$29,20,0)</f>
        <v>4.0179400000000003</v>
      </c>
      <c r="AD17" s="78">
        <f t="shared" si="9"/>
        <v>0.84501845018450183</v>
      </c>
      <c r="AE17" s="78">
        <f t="shared" si="3"/>
        <v>0.5195571955719559</v>
      </c>
      <c r="AF17" s="78">
        <f t="shared" si="4"/>
        <v>0.13645257138651873</v>
      </c>
      <c r="AG17" s="96">
        <f t="shared" si="5"/>
        <v>0.46233948339483416</v>
      </c>
      <c r="AH17" s="78">
        <f t="shared" si="6"/>
        <v>0.46233948339483416</v>
      </c>
      <c r="AI17" s="79">
        <f t="shared" si="7"/>
        <v>9.366035775873989E-2</v>
      </c>
    </row>
    <row r="18" spans="1:35" ht="31.05" customHeight="1">
      <c r="A18" s="64">
        <v>16</v>
      </c>
      <c r="B18" s="72" t="s">
        <v>54</v>
      </c>
      <c r="C18" s="73" t="s">
        <v>55</v>
      </c>
      <c r="D18" s="64" t="s">
        <v>135</v>
      </c>
      <c r="E18" s="64"/>
      <c r="F18" s="64" t="s">
        <v>136</v>
      </c>
      <c r="G18" s="74" t="s">
        <v>156</v>
      </c>
      <c r="H18" s="64">
        <v>1</v>
      </c>
      <c r="I18" s="64">
        <v>30000</v>
      </c>
      <c r="J18" s="75">
        <f>VLOOKUP(B18,价值工程部!$C$3:$M$29,11,0)</f>
        <v>3.56E-2</v>
      </c>
      <c r="K18" s="75">
        <v>0.64080000000000004</v>
      </c>
      <c r="L18" s="75">
        <f>VLOOKUP(B18,价值工程部!$C$3:$F$29,4,0)</f>
        <v>0.32040000000000002</v>
      </c>
      <c r="M18" s="77">
        <f>VLOOKUP(B18,价值工程部!$C$3:$AG$30,31,0)</f>
        <v>0.32040000000000002</v>
      </c>
      <c r="N18" s="76">
        <v>0.38</v>
      </c>
      <c r="O18" s="76">
        <f t="shared" si="0"/>
        <v>0.39</v>
      </c>
      <c r="P18" s="97">
        <v>0.39</v>
      </c>
      <c r="Q18" s="100">
        <f>O18</f>
        <v>0.39</v>
      </c>
      <c r="R18" s="100" t="s">
        <v>163</v>
      </c>
      <c r="S18" s="100" t="s">
        <v>159</v>
      </c>
      <c r="T18" s="98">
        <f>1000/100000</f>
        <v>0.01</v>
      </c>
      <c r="U18" s="70">
        <f>VLOOKUP(B18,'[1]核算量产最低价2022.5.20'!$C$3:$N$29,12,0)</f>
        <v>0</v>
      </c>
      <c r="V18" s="70">
        <f>VLOOKUP(B18,'[1]核算量产最低价2022.5.20'!$C$3:$O$29,13,0)</f>
        <v>0.22072</v>
      </c>
      <c r="W18" s="70">
        <f>VLOOKUP(B18,'[1]核算量产最低价2022.5.20'!$C$3:$P$29,14,0)</f>
        <v>0.14000000000000001</v>
      </c>
      <c r="X18" s="70" t="str">
        <f>VLOOKUP(B18,'[1]核算量产最低价2022.5.20'!$C$3:$Q$29,15,0)</f>
        <v>/</v>
      </c>
      <c r="Y18" s="70" t="str">
        <f>VLOOKUP(B18,'[1]核算量产最低价2022.5.20'!$C$3:$R$29,16,0)</f>
        <v>/</v>
      </c>
      <c r="Z18" s="104">
        <f>VLOOKUP(B18,'[1]核算量产最低价2022.5.20'!$C$3:$S$29,17,0)</f>
        <v>0.36072000000000004</v>
      </c>
      <c r="AA18" s="70" t="str">
        <f>VLOOKUP(B18,'[1]核算量产最低价2022.5.20'!$C$3:$T$29,18,0)</f>
        <v>检具：1000元</v>
      </c>
      <c r="AB18" s="69">
        <f>VLOOKUP(B18,'[1]核算量产最低价2022.5.20'!$C$3:$U$29,19,0)</f>
        <v>0.01</v>
      </c>
      <c r="AC18" s="104">
        <f>VLOOKUP(B18,'[1]核算量产最低价2022.5.20'!$C$3:$V$29,20,0)</f>
        <v>0.37072000000000005</v>
      </c>
      <c r="AD18" s="78">
        <f t="shared" si="9"/>
        <v>-0.40699126092384524</v>
      </c>
      <c r="AE18" s="78">
        <f t="shared" si="3"/>
        <v>0.21722846441947563</v>
      </c>
      <c r="AF18" s="78">
        <f t="shared" si="4"/>
        <v>0.21722846441947563</v>
      </c>
      <c r="AG18" s="96">
        <f t="shared" si="5"/>
        <v>-0.43707865168539323</v>
      </c>
      <c r="AH18" s="78">
        <f t="shared" si="6"/>
        <v>0.12584269662921355</v>
      </c>
      <c r="AI18" s="79">
        <f t="shared" si="7"/>
        <v>0.12584269662921355</v>
      </c>
    </row>
    <row r="19" spans="1:35" ht="43.2">
      <c r="A19" s="64">
        <v>17</v>
      </c>
      <c r="B19" s="72" t="s">
        <v>56</v>
      </c>
      <c r="C19" s="73" t="s">
        <v>47</v>
      </c>
      <c r="D19" s="64" t="s">
        <v>135</v>
      </c>
      <c r="F19" s="64" t="s">
        <v>136</v>
      </c>
      <c r="G19" s="74" t="s">
        <v>156</v>
      </c>
      <c r="H19" s="64">
        <v>2</v>
      </c>
      <c r="I19" s="64">
        <v>60000</v>
      </c>
      <c r="J19" s="75">
        <f>VLOOKUP(B19,价值工程部!$C$3:$M$29,11,0)</f>
        <v>6.5000000000000002E-2</v>
      </c>
      <c r="K19" s="75">
        <v>0.52080000000000004</v>
      </c>
      <c r="L19" s="75">
        <f>VLOOKUP(B19,价值工程部!$C$3:$F$29,4,0)</f>
        <v>0.52080000000000004</v>
      </c>
      <c r="M19" s="77">
        <f>VLOOKUP(B19,价值工程部!$C$3:$AG$30,31,0)</f>
        <v>0.58499999999999996</v>
      </c>
      <c r="N19" s="76">
        <v>0.63</v>
      </c>
      <c r="O19" s="76">
        <f t="shared" si="0"/>
        <v>0.64500000000000002</v>
      </c>
      <c r="P19" s="98">
        <f>0.36+0.21</f>
        <v>0.56999999999999995</v>
      </c>
      <c r="Q19" s="99">
        <f t="shared" si="11"/>
        <v>0.58499999999999996</v>
      </c>
      <c r="R19" s="99" t="s">
        <v>166</v>
      </c>
      <c r="S19" s="100" t="s">
        <v>155</v>
      </c>
      <c r="T19" s="98">
        <f t="shared" si="10"/>
        <v>1.4999999999999999E-2</v>
      </c>
      <c r="U19" s="70">
        <f>VLOOKUP(B19,'[1]核算量产最低价2022.5.20'!$C$3:$N$29,12,0)</f>
        <v>0</v>
      </c>
      <c r="V19" s="70">
        <f>VLOOKUP(B19,'[1]核算量产最低价2022.5.20'!$C$3:$O$29,13,0)</f>
        <v>0.40300000000000002</v>
      </c>
      <c r="W19" s="70">
        <f>VLOOKUP(B19,'[1]核算量产最低价2022.5.20'!$C$3:$P$29,14,0)</f>
        <v>0.182</v>
      </c>
      <c r="X19" s="70" t="str">
        <f>VLOOKUP(B19,'[1]核算量产最低价2022.5.20'!$C$3:$Q$29,15,0)</f>
        <v>/</v>
      </c>
      <c r="Y19" s="70" t="str">
        <f>VLOOKUP(B19,'[1]核算量产最低价2022.5.20'!$C$3:$R$29,16,0)</f>
        <v>/</v>
      </c>
      <c r="Z19" s="104">
        <f>VLOOKUP(B19,'[1]核算量产最低价2022.5.20'!$C$3:$S$29,17,0)</f>
        <v>0.58499999999999996</v>
      </c>
      <c r="AA19" s="70" t="str">
        <f>VLOOKUP(B19,'[1]核算量产最低价2022.5.20'!$C$3:$T$29,18,0)</f>
        <v>检具：1500元</v>
      </c>
      <c r="AB19" s="69">
        <f>VLOOKUP(B19,'[1]核算量产最低价2022.5.20'!$C$3:$U$29,19,0)</f>
        <v>1.4999999999999999E-2</v>
      </c>
      <c r="AC19" s="104">
        <f>VLOOKUP(B19,'[1]核算量产最低价2022.5.20'!$C$3:$V$29,20,0)</f>
        <v>0.6</v>
      </c>
      <c r="AD19" s="78">
        <f t="shared" si="9"/>
        <v>0.20967741935483863</v>
      </c>
      <c r="AE19" s="78">
        <f t="shared" si="3"/>
        <v>9.4470046082949136E-2</v>
      </c>
      <c r="AF19" s="79">
        <f t="shared" si="4"/>
        <v>-2.5641025641025664E-2</v>
      </c>
      <c r="AG19" s="96">
        <f t="shared" si="5"/>
        <v>0.1232718894009215</v>
      </c>
      <c r="AH19" s="78">
        <f t="shared" si="6"/>
        <v>0.1232718894009215</v>
      </c>
      <c r="AI19" s="79">
        <f t="shared" si="7"/>
        <v>0</v>
      </c>
    </row>
    <row r="20" spans="1:35" ht="108">
      <c r="A20" s="64">
        <v>18</v>
      </c>
      <c r="B20" s="72" t="s">
        <v>35</v>
      </c>
      <c r="C20" s="80" t="s">
        <v>36</v>
      </c>
      <c r="D20" s="81" t="s">
        <v>135</v>
      </c>
      <c r="E20" s="64"/>
      <c r="F20" s="81" t="s">
        <v>141</v>
      </c>
      <c r="G20" s="81" t="s">
        <v>142</v>
      </c>
      <c r="H20" s="81">
        <v>2</v>
      </c>
      <c r="I20" s="81">
        <v>60000</v>
      </c>
      <c r="J20" s="75">
        <f>VLOOKUP(B20,价值工程部!$C$3:$M$29,11,0)</f>
        <v>0.10299999999999999</v>
      </c>
      <c r="K20" s="82">
        <v>1.45</v>
      </c>
      <c r="L20" s="75">
        <f>VLOOKUP(B20,价值工程部!$C$3:$F$29,4,0)</f>
        <v>1.62</v>
      </c>
      <c r="M20" s="77">
        <f>VLOOKUP(B20,价值工程部!$C$3:$AG$30,31,0)</f>
        <v>1.077</v>
      </c>
      <c r="N20" s="83">
        <v>1.62</v>
      </c>
      <c r="O20" s="76">
        <f t="shared" si="0"/>
        <v>1.665</v>
      </c>
      <c r="P20" s="101">
        <v>1.5009999999999999</v>
      </c>
      <c r="Q20" s="99">
        <f t="shared" si="11"/>
        <v>1.5459999999999998</v>
      </c>
      <c r="R20" s="102" t="s">
        <v>167</v>
      </c>
      <c r="S20" s="99" t="s">
        <v>168</v>
      </c>
      <c r="T20" s="98">
        <f>4500/100000</f>
        <v>4.4999999999999998E-2</v>
      </c>
      <c r="U20" s="70">
        <f>VLOOKUP(B20,'[1]核算量产最低价2022.5.20'!$C$3:$N$29,12,0)</f>
        <v>0</v>
      </c>
      <c r="V20" s="70">
        <f>VLOOKUP(B20,'[1]核算量产最低价2022.5.20'!$C$3:$O$29,13,0)</f>
        <v>0.73160000000000003</v>
      </c>
      <c r="W20" s="70">
        <f>VLOOKUP(B20,'[1]核算量产最低价2022.5.20'!$C$3:$P$29,14,0)</f>
        <v>0.33</v>
      </c>
      <c r="X20" s="70" t="str">
        <f>VLOOKUP(B20,'[1]核算量产最低价2022.5.20'!$C$3:$Q$29,15,0)</f>
        <v>/</v>
      </c>
      <c r="Y20" s="70" t="str">
        <f>VLOOKUP(B20,'[1]核算量产最低价2022.5.20'!$C$3:$R$29,16,0)</f>
        <v>焊接费（2个焊点）：0.2元，检验整形0.1元，包装运输：0.05元</v>
      </c>
      <c r="Z20" s="104">
        <f>VLOOKUP(B20,'[1]核算量产最低价2022.5.20'!$C$3:$S$29,17,0)</f>
        <v>1.4116000000000002</v>
      </c>
      <c r="AA20" s="70" t="str">
        <f>VLOOKUP(B20,'[1]核算量产最低价2022.5.20'!$C$3:$T$29,18,0)</f>
        <v>钢丝检具1500元；总成检具1500元；焊胎：1500元，共计4500元</v>
      </c>
      <c r="AB20" s="69">
        <f>VLOOKUP(B20,'[1]核算量产最低价2022.5.20'!$C$3:$U$29,19,0)</f>
        <v>4.4999999999999998E-2</v>
      </c>
      <c r="AC20" s="104">
        <f>VLOOKUP(B20,'[1]核算量产最低价2022.5.20'!$C$3:$V$29,20,0)</f>
        <v>1.4566000000000001</v>
      </c>
      <c r="AD20" s="78">
        <f t="shared" si="9"/>
        <v>0.11724137931034494</v>
      </c>
      <c r="AE20" s="79">
        <f t="shared" si="3"/>
        <v>-7.3456790123456919E-2</v>
      </c>
      <c r="AF20" s="78">
        <f t="shared" si="4"/>
        <v>0.39368616527390898</v>
      </c>
      <c r="AG20" s="96">
        <f t="shared" si="5"/>
        <v>-2.6482758620689495E-2</v>
      </c>
      <c r="AH20" s="78">
        <f t="shared" si="6"/>
        <v>-0.12864197530864191</v>
      </c>
      <c r="AI20" s="79">
        <f t="shared" si="7"/>
        <v>0.31067780872794826</v>
      </c>
    </row>
    <row r="21" spans="1:35" ht="43.2">
      <c r="A21" s="64">
        <v>19</v>
      </c>
      <c r="B21" s="72" t="s">
        <v>37</v>
      </c>
      <c r="C21" s="73" t="s">
        <v>38</v>
      </c>
      <c r="D21" s="64" t="s">
        <v>135</v>
      </c>
      <c r="E21" s="64"/>
      <c r="F21" s="64" t="s">
        <v>136</v>
      </c>
      <c r="G21" s="74" t="s">
        <v>137</v>
      </c>
      <c r="H21" s="64">
        <v>2</v>
      </c>
      <c r="I21" s="64">
        <v>60000</v>
      </c>
      <c r="J21" s="75">
        <f>VLOOKUP(B21,价值工程部!$C$3:$M$29,11,0)</f>
        <v>8.1000000000000003E-2</v>
      </c>
      <c r="K21" s="75">
        <v>0.65</v>
      </c>
      <c r="L21" s="75">
        <f>VLOOKUP(B21,价值工程部!$C$3:$F$29,4,0)</f>
        <v>0.91</v>
      </c>
      <c r="M21" s="77">
        <f>VLOOKUP(B21,价值工程部!$C$3:$AG$30,31,0)</f>
        <v>0.72899999999999998</v>
      </c>
      <c r="N21" s="76">
        <v>0.91</v>
      </c>
      <c r="O21" s="76">
        <f t="shared" si="0"/>
        <v>0.92500000000000004</v>
      </c>
      <c r="P21" s="98">
        <v>0.82199999999999995</v>
      </c>
      <c r="Q21" s="99">
        <f t="shared" si="11"/>
        <v>0.83699999999999997</v>
      </c>
      <c r="R21" s="99" t="s">
        <v>169</v>
      </c>
      <c r="S21" s="100" t="s">
        <v>155</v>
      </c>
      <c r="T21" s="98">
        <f>1500/100000</f>
        <v>1.4999999999999999E-2</v>
      </c>
      <c r="U21" s="70">
        <f>VLOOKUP(B21,'[1]核算量产最低价2022.5.20'!$C$3:$N$29,12,0)</f>
        <v>0</v>
      </c>
      <c r="V21" s="70">
        <f>VLOOKUP(B21,'[1]核算量产最低价2022.5.20'!$C$3:$O$29,13,0)</f>
        <v>0.50219999999999998</v>
      </c>
      <c r="W21" s="70">
        <f>VLOOKUP(B21,'[1]核算量产最低价2022.5.20'!$C$3:$P$29,14,0)</f>
        <v>9.8000000000000004E-2</v>
      </c>
      <c r="X21" s="70" t="str">
        <f>VLOOKUP(B21,'[1]核算量产最低价2022.5.20'!$C$3:$Q$29,15,0)</f>
        <v>/</v>
      </c>
      <c r="Y21" s="70" t="str">
        <f>VLOOKUP(B21,'[1]核算量产最低价2022.5.20'!$C$3:$R$29,16,0)</f>
        <v>/</v>
      </c>
      <c r="Z21" s="104">
        <f>VLOOKUP(B21,'[1]核算量产最低价2022.5.20'!$C$3:$S$29,17,0)</f>
        <v>0.60019999999999996</v>
      </c>
      <c r="AA21" s="70" t="str">
        <f>VLOOKUP(B21,'[1]核算量产最低价2022.5.20'!$C$3:$T$29,18,0)</f>
        <v>检具：1000元</v>
      </c>
      <c r="AB21" s="69">
        <f>VLOOKUP(B21,'[1]核算量产最低价2022.5.20'!$C$3:$U$29,19,0)</f>
        <v>0.01</v>
      </c>
      <c r="AC21" s="104">
        <f>VLOOKUP(B21,'[1]核算量产最低价2022.5.20'!$C$3:$V$29,20,0)</f>
        <v>0.61019999999999996</v>
      </c>
      <c r="AD21" s="78">
        <f t="shared" si="9"/>
        <v>0.4</v>
      </c>
      <c r="AE21" s="79">
        <f t="shared" si="3"/>
        <v>-9.670329670329679E-2</v>
      </c>
      <c r="AF21" s="78">
        <f t="shared" si="4"/>
        <v>0.12757201646090532</v>
      </c>
      <c r="AG21" s="96">
        <f t="shared" si="5"/>
        <v>-7.661538461538471E-2</v>
      </c>
      <c r="AH21" s="78">
        <f t="shared" si="6"/>
        <v>-0.34043956043956053</v>
      </c>
      <c r="AI21" s="79">
        <f t="shared" si="7"/>
        <v>-0.17668038408779155</v>
      </c>
    </row>
    <row r="22" spans="1:35" ht="36" customHeight="1">
      <c r="A22" s="64">
        <v>20</v>
      </c>
      <c r="B22" s="72" t="s">
        <v>57</v>
      </c>
      <c r="C22" s="73" t="s">
        <v>58</v>
      </c>
      <c r="D22" s="64" t="s">
        <v>135</v>
      </c>
      <c r="E22" s="64"/>
      <c r="F22" s="64" t="s">
        <v>136</v>
      </c>
      <c r="G22" s="64" t="s">
        <v>170</v>
      </c>
      <c r="H22" s="64">
        <v>1</v>
      </c>
      <c r="I22" s="64">
        <v>30000</v>
      </c>
      <c r="J22" s="75">
        <f>VLOOKUP(B22,价值工程部!$C$3:$M$29,11,0)</f>
        <v>2.2000000000000001E-3</v>
      </c>
      <c r="K22" s="75">
        <v>0.1</v>
      </c>
      <c r="L22" s="75">
        <f>VLOOKUP(B22,价值工程部!$C$3:$F$29,4,0)</f>
        <v>0.1</v>
      </c>
      <c r="M22" s="77">
        <f>VLOOKUP(B22,价值工程部!$C$3:$AG$30,31,0)</f>
        <v>0.23760000000000001</v>
      </c>
      <c r="N22" s="76">
        <v>0.28000000000000003</v>
      </c>
      <c r="O22" s="76">
        <f t="shared" si="0"/>
        <v>0.28000000000000003</v>
      </c>
      <c r="P22" s="98">
        <v>0.26</v>
      </c>
      <c r="Q22" s="99">
        <f t="shared" si="11"/>
        <v>0.26</v>
      </c>
      <c r="R22" s="99" t="s">
        <v>171</v>
      </c>
      <c r="S22" s="100"/>
      <c r="T22" s="98"/>
      <c r="U22" s="70">
        <f>VLOOKUP(B22,'[1]核算量产最低价2022.5.20'!$C$3:$N$29,12,0)</f>
        <v>0</v>
      </c>
      <c r="V22" s="70">
        <f>VLOOKUP(B22,'[1]核算量产最低价2022.5.20'!$C$3:$O$29,13,0)</f>
        <v>2.2000000000000002E-2</v>
      </c>
      <c r="W22" s="70">
        <f>VLOOKUP(B22,'[1]核算量产最低价2022.5.20'!$C$3:$P$29,14,0)</f>
        <v>0.12</v>
      </c>
      <c r="X22" s="70" t="str">
        <f>VLOOKUP(B22,'[1]核算量产最低价2022.5.20'!$C$3:$Q$29,15,0)</f>
        <v>/</v>
      </c>
      <c r="Y22" s="70" t="str">
        <f>VLOOKUP(B22,'[1]核算量产最低价2022.5.20'!$C$3:$R$29,16,0)</f>
        <v>回火：0.04元，电泳：0.06元</v>
      </c>
      <c r="Z22" s="104">
        <f>VLOOKUP(B22,'[1]核算量产最低价2022.5.20'!$C$3:$S$29,17,0)</f>
        <v>0.24199999999999999</v>
      </c>
      <c r="AA22" s="70" t="str">
        <f>VLOOKUP(B22,'[1]核算量产最低价2022.5.20'!$C$3:$T$29,18,0)</f>
        <v>/</v>
      </c>
      <c r="AB22" s="69" t="str">
        <f>VLOOKUP(B22,'[1]核算量产最低价2022.5.20'!$C$3:$U$29,19,0)</f>
        <v>/</v>
      </c>
      <c r="AC22" s="104">
        <v>0.24199999999999999</v>
      </c>
      <c r="AD22" s="78">
        <f t="shared" si="9"/>
        <v>1.8</v>
      </c>
      <c r="AE22" s="78">
        <f t="shared" si="3"/>
        <v>1.5999999999999999</v>
      </c>
      <c r="AF22" s="78">
        <f t="shared" si="4"/>
        <v>9.4276094276094291E-2</v>
      </c>
      <c r="AG22" s="96">
        <f t="shared" si="5"/>
        <v>1.4199999999999997</v>
      </c>
      <c r="AH22" s="78">
        <f t="shared" si="6"/>
        <v>1.4199999999999997</v>
      </c>
      <c r="AI22" s="79">
        <f t="shared" si="7"/>
        <v>1.8518518518518465E-2</v>
      </c>
    </row>
    <row r="23" spans="1:35" s="93" customFormat="1" ht="36" customHeight="1">
      <c r="A23" s="84">
        <v>21</v>
      </c>
      <c r="B23" s="85" t="s">
        <v>96</v>
      </c>
      <c r="C23" s="86" t="s">
        <v>15</v>
      </c>
      <c r="D23" s="84" t="s">
        <v>135</v>
      </c>
      <c r="E23" s="84"/>
      <c r="F23" s="84" t="s">
        <v>141</v>
      </c>
      <c r="G23" s="84" t="s">
        <v>142</v>
      </c>
      <c r="H23" s="84">
        <v>1</v>
      </c>
      <c r="I23" s="84">
        <f>30000*H23</f>
        <v>30000</v>
      </c>
      <c r="J23" s="84">
        <f>VLOOKUP(B23,价值工程部!$C$3:$M$29,11,0)</f>
        <v>1.2714000000000001</v>
      </c>
      <c r="K23" s="84">
        <f>VLOOKUP(B23,'[2]外购件开发申请单-刘志富开'!$C$7:$T$112,18,0)</f>
        <v>26.622</v>
      </c>
      <c r="L23" s="84">
        <f>VLOOKUP(B23,价值工程部!$C$3:$F$29,4,0)</f>
        <v>10.89</v>
      </c>
      <c r="M23" s="88">
        <f>VLOOKUP(B23,价值工程部!$C$3:$AG$30,31,0)</f>
        <v>21.152856410256412</v>
      </c>
      <c r="N23" s="87">
        <v>26.3</v>
      </c>
      <c r="O23" s="84">
        <v>26.3</v>
      </c>
      <c r="P23" s="122">
        <f>Q23-AB23</f>
        <v>25.900000000000002</v>
      </c>
      <c r="Q23" s="90">
        <v>26.3</v>
      </c>
      <c r="R23" s="90"/>
      <c r="S23" s="90" t="s">
        <v>144</v>
      </c>
      <c r="T23" s="89">
        <v>0.4</v>
      </c>
      <c r="U23" s="70" t="str">
        <f>VLOOKUP(B23,'[1]核算量产最低价2022.5.20'!$C$3:$N$29,12,0)</f>
        <v>钢丝重量：1.361Kg</v>
      </c>
      <c r="V23" s="70">
        <f>VLOOKUP(B23,'[1]核算量产最低价2022.5.20'!$C$3:$O$29,13,0)</f>
        <v>8.4382000000000001</v>
      </c>
      <c r="W23" s="70">
        <f>VLOOKUP(B23,'[1]核算量产最低价2022.5.20'!$C$3:$P$29,14,0)</f>
        <v>4.0830000000000002</v>
      </c>
      <c r="X23" s="70" t="str">
        <f>VLOOKUP(B23,'[1]核算量产最低价2022.5.20'!$C$3:$Q$29,15,0)</f>
        <v>4个螺栓0.6元，4个冲压件0.8元</v>
      </c>
      <c r="Y23" s="70" t="str">
        <f>VLOOKUP(B23,'[1]核算量产最低价2022.5.20'!$C$3:$R$29,16,0)</f>
        <v>摆件焊接费：5
电泳：5
检验整形：0.3
包装运输：1</v>
      </c>
      <c r="Z23" s="104">
        <f>VLOOKUP(B23,'[1]核算量产最低价2022.5.20'!$C$3:$S$29,17,0)</f>
        <v>25.2212</v>
      </c>
      <c r="AA23" s="70" t="str">
        <f>VLOOKUP(B23,'[1]核算量产最低价2022.5.20'!$C$3:$T$29,18,0)</f>
        <v>钢丝检具19000元，总成检具6000元，焊胎8000元，冲压件模具7000元共计：40000元</v>
      </c>
      <c r="AB23" s="69">
        <f>VLOOKUP(B23,'[1]核算量产最低价2022.5.20'!$C$3:$U$29,19,0)</f>
        <v>0.4</v>
      </c>
      <c r="AC23" s="104">
        <f>VLOOKUP(B23,'[1]核算量产最低价2022.5.20'!$C$3:$V$29,20,0)</f>
        <v>25.621199999999998</v>
      </c>
      <c r="AD23" s="78">
        <f t="shared" si="9"/>
        <v>-1.2095259559762572E-2</v>
      </c>
      <c r="AE23" s="92"/>
      <c r="AF23" s="92"/>
      <c r="AG23" s="96"/>
      <c r="AH23" s="78">
        <f t="shared" si="6"/>
        <v>1.3159963269054176</v>
      </c>
      <c r="AI23" s="79">
        <f t="shared" si="7"/>
        <v>0.19233069571497516</v>
      </c>
    </row>
    <row r="24" spans="1:35" s="93" customFormat="1" ht="36" customHeight="1">
      <c r="A24" s="84">
        <v>22</v>
      </c>
      <c r="B24" s="85" t="s">
        <v>172</v>
      </c>
      <c r="C24" s="94" t="s">
        <v>173</v>
      </c>
      <c r="D24" s="84" t="s">
        <v>135</v>
      </c>
      <c r="E24" s="84"/>
      <c r="F24" s="84" t="s">
        <v>136</v>
      </c>
      <c r="G24" s="84" t="s">
        <v>174</v>
      </c>
      <c r="H24" s="84">
        <f>VLOOKUP(B24,'[2]外购件开发申请单-刘志富开'!$C$7:$O$112,13,0)</f>
        <v>2</v>
      </c>
      <c r="I24" s="84">
        <f t="shared" ref="I24:I29" si="12">30000*H24</f>
        <v>60000</v>
      </c>
      <c r="J24" s="84">
        <f>VLOOKUP(B24,价值工程部!$C$3:$M$29,11,0)</f>
        <v>6.5199999999999994E-2</v>
      </c>
      <c r="K24" s="84">
        <f>VLOOKUP(B24,'[2]外购件开发申请单-刘志富开'!$C$7:$T$112,18,0)</f>
        <v>1.5648</v>
      </c>
      <c r="L24" s="84">
        <f>VLOOKUP(B24,价值工程部!$C$3:$F$29,4,0)</f>
        <v>0.36</v>
      </c>
      <c r="M24" s="88">
        <f>VLOOKUP(B24,价值工程部!$C$3:$AG$30,31,0)</f>
        <v>0.58679999999999999</v>
      </c>
      <c r="N24" s="89">
        <v>0.68</v>
      </c>
      <c r="O24" s="84">
        <v>0.68</v>
      </c>
      <c r="P24" s="122">
        <f t="shared" ref="P24:P29" si="13">Q24-AB24</f>
        <v>0.66500000000000004</v>
      </c>
      <c r="Q24" s="90">
        <v>0.68</v>
      </c>
      <c r="R24" s="90"/>
      <c r="S24" s="91" t="s">
        <v>155</v>
      </c>
      <c r="T24" s="89">
        <v>1.4999999999999999E-2</v>
      </c>
      <c r="U24" s="70">
        <f>VLOOKUP(B24,'[1]核算量产最低价2022.5.20'!$C$3:$N$29,12,0)</f>
        <v>0</v>
      </c>
      <c r="V24" s="70">
        <f>VLOOKUP(B24,'[1]核算量产最低价2022.5.20'!$C$3:$O$29,13,0)</f>
        <v>0.40423999999999999</v>
      </c>
      <c r="W24" s="70">
        <f>VLOOKUP(B24,'[1]核算量产最低价2022.5.20'!$C$3:$P$29,14,0)</f>
        <v>0.183</v>
      </c>
      <c r="X24" s="70" t="str">
        <f>VLOOKUP(B24,'[1]核算量产最低价2022.5.20'!$C$3:$Q$29,15,0)</f>
        <v>/</v>
      </c>
      <c r="Y24" s="70" t="str">
        <f>VLOOKUP(B24,'[1]核算量产最低价2022.5.20'!$C$3:$R$29,16,0)</f>
        <v>/</v>
      </c>
      <c r="Z24" s="104">
        <f>VLOOKUP(B24,'[1]核算量产最低价2022.5.20'!$C$3:$S$29,17,0)</f>
        <v>0.58723999999999998</v>
      </c>
      <c r="AA24" s="70" t="str">
        <f>VLOOKUP(B24,'[1]核算量产最低价2022.5.20'!$C$3:$T$29,18,0)</f>
        <v>检具：1500元</v>
      </c>
      <c r="AB24" s="69">
        <f>VLOOKUP(B24,'[1]核算量产最低价2022.5.20'!$C$3:$U$29,19,0)</f>
        <v>1.4999999999999999E-2</v>
      </c>
      <c r="AC24" s="104">
        <f>VLOOKUP(B24,'[1]核算量产最低价2022.5.20'!$C$3:$V$29,20,0)</f>
        <v>0.60224</v>
      </c>
      <c r="AD24" s="78">
        <f t="shared" si="9"/>
        <v>-0.56543967280163598</v>
      </c>
      <c r="AE24" s="92"/>
      <c r="AF24" s="92"/>
      <c r="AG24" s="96"/>
      <c r="AH24" s="78">
        <f t="shared" si="6"/>
        <v>0.63122222222222224</v>
      </c>
      <c r="AI24" s="79">
        <f t="shared" si="7"/>
        <v>7.4982958418540549E-4</v>
      </c>
    </row>
    <row r="25" spans="1:35" s="93" customFormat="1" ht="36" customHeight="1">
      <c r="A25" s="84">
        <v>23</v>
      </c>
      <c r="B25" s="85" t="s">
        <v>175</v>
      </c>
      <c r="C25" s="94" t="s">
        <v>28</v>
      </c>
      <c r="D25" s="84" t="s">
        <v>135</v>
      </c>
      <c r="E25" s="84"/>
      <c r="F25" s="84" t="s">
        <v>136</v>
      </c>
      <c r="G25" s="84" t="s">
        <v>174</v>
      </c>
      <c r="H25" s="84">
        <f>VLOOKUP(B25,'[2]外购件开发申请单-刘志富开'!$C$7:$O$112,13,0)</f>
        <v>2</v>
      </c>
      <c r="I25" s="84">
        <f t="shared" si="12"/>
        <v>60000</v>
      </c>
      <c r="J25" s="84">
        <f>VLOOKUP(B25,价值工程部!$C$3:$M$29,11,0)</f>
        <v>5.3999999999999999E-2</v>
      </c>
      <c r="K25" s="84">
        <f>VLOOKUP(B25,'[2]外购件开发申请单-刘志富开'!$C$7:$T$112,18,0)</f>
        <v>1.296</v>
      </c>
      <c r="L25" s="84">
        <f>VLOOKUP(B25,价值工程部!$C$3:$F$29,4,0)</f>
        <v>0.26400000000000001</v>
      </c>
      <c r="M25" s="88">
        <f>VLOOKUP(B25,价值工程部!$C$3:$AG$30,31,0)</f>
        <v>0.48599999999999999</v>
      </c>
      <c r="N25" s="89">
        <v>0.5</v>
      </c>
      <c r="O25" s="84">
        <v>0.5</v>
      </c>
      <c r="P25" s="122">
        <f t="shared" si="13"/>
        <v>0.48499999999999999</v>
      </c>
      <c r="Q25" s="90">
        <v>0.5</v>
      </c>
      <c r="R25" s="90"/>
      <c r="S25" s="91" t="s">
        <v>155</v>
      </c>
      <c r="T25" s="89">
        <v>1.4999999999999999E-2</v>
      </c>
      <c r="U25" s="70">
        <f>VLOOKUP(B25,'[1]核算量产最低价2022.5.20'!$C$3:$N$29,12,0)</f>
        <v>0</v>
      </c>
      <c r="V25" s="70">
        <f>VLOOKUP(B25,'[1]核算量产最低价2022.5.20'!$C$3:$O$29,13,0)</f>
        <v>0.33479999999999999</v>
      </c>
      <c r="W25" s="70">
        <f>VLOOKUP(B25,'[1]核算量产最低价2022.5.20'!$C$3:$P$29,14,0)</f>
        <v>0.151</v>
      </c>
      <c r="X25" s="70" t="str">
        <f>VLOOKUP(B25,'[1]核算量产最低价2022.5.20'!$C$3:$Q$29,15,0)</f>
        <v>/</v>
      </c>
      <c r="Y25" s="70" t="str">
        <f>VLOOKUP(B25,'[1]核算量产最低价2022.5.20'!$C$3:$R$29,16,0)</f>
        <v>/</v>
      </c>
      <c r="Z25" s="104">
        <f>VLOOKUP(B25,'[1]核算量产最低价2022.5.20'!$C$3:$S$29,17,0)</f>
        <v>0.48580000000000001</v>
      </c>
      <c r="AA25" s="70" t="str">
        <f>VLOOKUP(B25,'[1]核算量产最低价2022.5.20'!$C$3:$T$29,18,0)</f>
        <v>检具：1500元</v>
      </c>
      <c r="AB25" s="69">
        <f>VLOOKUP(B25,'[1]核算量产最低价2022.5.20'!$C$3:$U$29,19,0)</f>
        <v>1.4999999999999999E-2</v>
      </c>
      <c r="AC25" s="104">
        <f>VLOOKUP(B25,'[1]核算量产最低价2022.5.20'!$C$3:$V$29,20,0)</f>
        <v>0.50080000000000002</v>
      </c>
      <c r="AD25" s="78">
        <f t="shared" si="9"/>
        <v>-0.61419753086419759</v>
      </c>
      <c r="AE25" s="92"/>
      <c r="AF25" s="92"/>
      <c r="AG25" s="96"/>
      <c r="AH25" s="78">
        <f t="shared" si="6"/>
        <v>0.84015151515151509</v>
      </c>
      <c r="AI25" s="79">
        <f t="shared" si="7"/>
        <v>-4.1152263374481064E-4</v>
      </c>
    </row>
    <row r="26" spans="1:35" s="93" customFormat="1" ht="36" customHeight="1">
      <c r="A26" s="84">
        <v>24</v>
      </c>
      <c r="B26" s="86" t="s">
        <v>176</v>
      </c>
      <c r="C26" s="94" t="s">
        <v>41</v>
      </c>
      <c r="D26" s="84" t="s">
        <v>135</v>
      </c>
      <c r="E26" s="84"/>
      <c r="F26" s="84" t="s">
        <v>136</v>
      </c>
      <c r="G26" s="84" t="s">
        <v>177</v>
      </c>
      <c r="H26" s="84">
        <f>VLOOKUP(B26,'[2]外购件开发申请单-刘志富开'!$C$7:$O$112,13,0)</f>
        <v>2</v>
      </c>
      <c r="I26" s="84">
        <f t="shared" si="12"/>
        <v>60000</v>
      </c>
      <c r="J26" s="84">
        <f>VLOOKUP(B26,价值工程部!$C$3:$M$29,11,0)</f>
        <v>6.6000000000000003E-2</v>
      </c>
      <c r="K26" s="84">
        <f>VLOOKUP(B26,'[2]外购件开发申请单-刘志富开'!$C$7:$T$112,18,0)</f>
        <v>1.056</v>
      </c>
      <c r="L26" s="84">
        <f>VLOOKUP(B26,价值工程部!$C$3:$F$29,4,0)</f>
        <v>0.52800000000000002</v>
      </c>
      <c r="M26" s="88">
        <f>VLOOKUP(B26,价值工程部!$C$3:$AG$30,31,0)</f>
        <v>0.59400000000000008</v>
      </c>
      <c r="N26" s="89">
        <v>0.67</v>
      </c>
      <c r="O26" s="84">
        <v>0.67</v>
      </c>
      <c r="P26" s="122">
        <f t="shared" si="13"/>
        <v>0.65500000000000003</v>
      </c>
      <c r="Q26" s="90">
        <v>0.67</v>
      </c>
      <c r="R26" s="90"/>
      <c r="S26" s="91" t="s">
        <v>155</v>
      </c>
      <c r="T26" s="89">
        <v>1.4999999999999999E-2</v>
      </c>
      <c r="U26" s="70">
        <f>VLOOKUP(B26,'[1]核算量产最低价2022.5.20'!$C$3:$N$29,12,0)</f>
        <v>0</v>
      </c>
      <c r="V26" s="70">
        <f>VLOOKUP(B26,'[1]核算量产最低价2022.5.20'!$C$3:$O$29,13,0)</f>
        <v>0.40920000000000001</v>
      </c>
      <c r="W26" s="70">
        <f>VLOOKUP(B26,'[1]核算量产最低价2022.5.20'!$C$3:$P$29,14,0)</f>
        <v>0.185</v>
      </c>
      <c r="X26" s="70" t="str">
        <f>VLOOKUP(B26,'[1]核算量产最低价2022.5.20'!$C$3:$Q$29,15,0)</f>
        <v>/</v>
      </c>
      <c r="Y26" s="70" t="str">
        <f>VLOOKUP(B26,'[1]核算量产最低价2022.5.20'!$C$3:$R$29,16,0)</f>
        <v>/</v>
      </c>
      <c r="Z26" s="104">
        <f>VLOOKUP(B26,'[1]核算量产最低价2022.5.20'!$C$3:$S$29,17,0)</f>
        <v>0.59420000000000006</v>
      </c>
      <c r="AA26" s="70" t="str">
        <f>VLOOKUP(B26,'[1]核算量产最低价2022.5.20'!$C$3:$T$29,18,0)</f>
        <v>检具：1500元</v>
      </c>
      <c r="AB26" s="69">
        <f>VLOOKUP(B26,'[1]核算量产最低价2022.5.20'!$C$3:$U$29,19,0)</f>
        <v>1.4999999999999999E-2</v>
      </c>
      <c r="AC26" s="104">
        <f>VLOOKUP(B26,'[1]核算量产最低价2022.5.20'!$C$3:$V$29,20,0)</f>
        <v>0.60920000000000007</v>
      </c>
      <c r="AD26" s="78">
        <f t="shared" si="9"/>
        <v>-0.36553030303030304</v>
      </c>
      <c r="AE26" s="92"/>
      <c r="AF26" s="92"/>
      <c r="AG26" s="96"/>
      <c r="AH26" s="78">
        <f t="shared" si="6"/>
        <v>0.12537878787878795</v>
      </c>
      <c r="AI26" s="79">
        <f t="shared" si="7"/>
        <v>3.3670033670029958E-4</v>
      </c>
    </row>
    <row r="27" spans="1:35" s="93" customFormat="1" ht="36" customHeight="1">
      <c r="A27" s="84">
        <v>25</v>
      </c>
      <c r="B27" s="86" t="s">
        <v>178</v>
      </c>
      <c r="C27" s="94" t="s">
        <v>43</v>
      </c>
      <c r="D27" s="84" t="s">
        <v>135</v>
      </c>
      <c r="E27" s="84"/>
      <c r="F27" s="84" t="s">
        <v>136</v>
      </c>
      <c r="G27" s="84" t="s">
        <v>177</v>
      </c>
      <c r="H27" s="84">
        <f>VLOOKUP(B27,'[2]外购件开发申请单-刘志富开'!$C$7:$O$112,13,0)</f>
        <v>1</v>
      </c>
      <c r="I27" s="84">
        <f t="shared" si="12"/>
        <v>30000</v>
      </c>
      <c r="J27" s="84">
        <f>VLOOKUP(B27,价值工程部!$C$3:$M$29,11,0)</f>
        <v>4.9700000000000001E-2</v>
      </c>
      <c r="K27" s="84">
        <f>VLOOKUP(B27,'[2]外购件开发申请单-刘志富开'!$C$7:$T$112,18,0)</f>
        <v>0.79520000000000002</v>
      </c>
      <c r="L27" s="84">
        <f>VLOOKUP(B27,价值工程部!$C$3:$F$29,4,0)</f>
        <v>0.39760000000000001</v>
      </c>
      <c r="M27" s="88">
        <f>VLOOKUP(B27,价值工程部!$C$3:$AG$30,31,0)</f>
        <v>0.44730000000000003</v>
      </c>
      <c r="N27" s="89">
        <v>0.53</v>
      </c>
      <c r="O27" s="84">
        <v>0.53</v>
      </c>
      <c r="P27" s="122">
        <f t="shared" si="13"/>
        <v>0.51500000000000001</v>
      </c>
      <c r="Q27" s="90">
        <v>0.53</v>
      </c>
      <c r="R27" s="90"/>
      <c r="S27" s="91" t="s">
        <v>155</v>
      </c>
      <c r="T27" s="89">
        <v>1.4999999999999999E-2</v>
      </c>
      <c r="U27" s="70">
        <f>VLOOKUP(B27,'[1]核算量产最低价2022.5.20'!$C$3:$N$29,12,0)</f>
        <v>0</v>
      </c>
      <c r="V27" s="70">
        <f>VLOOKUP(B27,'[1]核算量产最低价2022.5.20'!$C$3:$O$29,13,0)</f>
        <v>0.30814000000000002</v>
      </c>
      <c r="W27" s="70">
        <f>VLOOKUP(B27,'[1]核算量产最低价2022.5.20'!$C$3:$P$29,14,0)</f>
        <v>0.13900000000000001</v>
      </c>
      <c r="X27" s="70" t="str">
        <f>VLOOKUP(B27,'[1]核算量产最低价2022.5.20'!$C$3:$Q$29,15,0)</f>
        <v>/</v>
      </c>
      <c r="Y27" s="70" t="str">
        <f>VLOOKUP(B27,'[1]核算量产最低价2022.5.20'!$C$3:$R$29,16,0)</f>
        <v>/</v>
      </c>
      <c r="Z27" s="104">
        <f>VLOOKUP(B27,'[1]核算量产最低价2022.5.20'!$C$3:$S$29,17,0)</f>
        <v>0.44714000000000004</v>
      </c>
      <c r="AA27" s="70" t="str">
        <f>VLOOKUP(B27,'[1]核算量产最低价2022.5.20'!$C$3:$T$29,18,0)</f>
        <v>检具：1500元</v>
      </c>
      <c r="AB27" s="69">
        <f>VLOOKUP(B27,'[1]核算量产最低价2022.5.20'!$C$3:$U$29,19,0)</f>
        <v>1.4999999999999999E-2</v>
      </c>
      <c r="AC27" s="104">
        <f>VLOOKUP(B27,'[1]核算量产最低价2022.5.20'!$C$3:$V$29,20,0)</f>
        <v>0.46214000000000005</v>
      </c>
      <c r="AD27" s="78">
        <f t="shared" si="9"/>
        <v>-0.3335010060362173</v>
      </c>
      <c r="AE27" s="92"/>
      <c r="AF27" s="92"/>
      <c r="AG27" s="96"/>
      <c r="AH27" s="78">
        <f t="shared" si="6"/>
        <v>0.12459758551307853</v>
      </c>
      <c r="AI27" s="79">
        <f t="shared" si="7"/>
        <v>-3.577017661524558E-4</v>
      </c>
    </row>
    <row r="28" spans="1:35" s="93" customFormat="1" ht="36" customHeight="1">
      <c r="A28" s="84">
        <v>26</v>
      </c>
      <c r="B28" s="86" t="s">
        <v>179</v>
      </c>
      <c r="C28" s="94" t="s">
        <v>45</v>
      </c>
      <c r="D28" s="84" t="s">
        <v>135</v>
      </c>
      <c r="E28" s="84"/>
      <c r="F28" s="84" t="s">
        <v>136</v>
      </c>
      <c r="G28" s="84" t="s">
        <v>180</v>
      </c>
      <c r="H28" s="84">
        <f>VLOOKUP(B28,'[2]外购件开发申请单-刘志富开'!$C$7:$O$112,13,0)</f>
        <v>2</v>
      </c>
      <c r="I28" s="84">
        <f t="shared" si="12"/>
        <v>60000</v>
      </c>
      <c r="J28" s="84">
        <f>VLOOKUP(B28,价值工程部!$C$3:$M$29,11,0)</f>
        <v>7.5999999999999998E-2</v>
      </c>
      <c r="K28" s="84">
        <f>VLOOKUP(B28,'[2]外购件开发申请单-刘志富开'!$C$7:$T$112,18,0)</f>
        <v>1.216</v>
      </c>
      <c r="L28" s="84">
        <f>VLOOKUP(B28,价值工程部!$C$3:$F$29,4,0)</f>
        <v>0.44800000000000001</v>
      </c>
      <c r="M28" s="88">
        <f>VLOOKUP(B28,价值工程部!$C$3:$AG$30,31,0)</f>
        <v>0.68399999999999994</v>
      </c>
      <c r="N28" s="89">
        <v>0.79</v>
      </c>
      <c r="O28" s="84">
        <v>0.79</v>
      </c>
      <c r="P28" s="122">
        <f t="shared" si="13"/>
        <v>0.77500000000000002</v>
      </c>
      <c r="Q28" s="90">
        <v>0.79</v>
      </c>
      <c r="R28" s="90"/>
      <c r="S28" s="91" t="s">
        <v>155</v>
      </c>
      <c r="T28" s="89">
        <v>1.4999999999999999E-2</v>
      </c>
      <c r="U28" s="70">
        <f>VLOOKUP(B28,'[1]核算量产最低价2022.5.20'!$C$3:$N$29,12,0)</f>
        <v>0</v>
      </c>
      <c r="V28" s="70">
        <f>VLOOKUP(B28,'[1]核算量产最低价2022.5.20'!$C$3:$O$29,13,0)</f>
        <v>0.47120000000000001</v>
      </c>
      <c r="W28" s="70">
        <f>VLOOKUP(B28,'[1]核算量产最低价2022.5.20'!$C$3:$P$29,14,0)</f>
        <v>0.21199999999999999</v>
      </c>
      <c r="X28" s="70" t="str">
        <f>VLOOKUP(B28,'[1]核算量产最低价2022.5.20'!$C$3:$Q$29,15,0)</f>
        <v>/</v>
      </c>
      <c r="Y28" s="70" t="str">
        <f>VLOOKUP(B28,'[1]核算量产最低价2022.5.20'!$C$3:$R$29,16,0)</f>
        <v>/</v>
      </c>
      <c r="Z28" s="104">
        <f>VLOOKUP(B28,'[1]核算量产最低价2022.5.20'!$C$3:$S$29,17,0)</f>
        <v>0.68320000000000003</v>
      </c>
      <c r="AA28" s="70" t="str">
        <f>VLOOKUP(B28,'[1]核算量产最低价2022.5.20'!$C$3:$T$29,18,0)</f>
        <v>检具：1500元</v>
      </c>
      <c r="AB28" s="69">
        <f>VLOOKUP(B28,'[1]核算量产最低价2022.5.20'!$C$3:$U$29,19,0)</f>
        <v>1.4999999999999999E-2</v>
      </c>
      <c r="AC28" s="104">
        <f>VLOOKUP(B28,'[1]核算量产最低价2022.5.20'!$C$3:$V$29,20,0)</f>
        <v>0.69820000000000004</v>
      </c>
      <c r="AD28" s="78">
        <f t="shared" si="9"/>
        <v>-0.35032894736842102</v>
      </c>
      <c r="AE28" s="92"/>
      <c r="AF28" s="92"/>
      <c r="AG28" s="96"/>
      <c r="AH28" s="78">
        <f t="shared" si="6"/>
        <v>0.52500000000000002</v>
      </c>
      <c r="AI28" s="79">
        <f t="shared" si="7"/>
        <v>-1.169590643274725E-3</v>
      </c>
    </row>
    <row r="29" spans="1:35" s="93" customFormat="1" ht="36" customHeight="1">
      <c r="A29" s="84">
        <v>27</v>
      </c>
      <c r="B29" s="86" t="s">
        <v>181</v>
      </c>
      <c r="C29" s="94" t="s">
        <v>51</v>
      </c>
      <c r="D29" s="84" t="s">
        <v>135</v>
      </c>
      <c r="E29" s="84"/>
      <c r="F29" s="84" t="s">
        <v>136</v>
      </c>
      <c r="G29" s="84" t="s">
        <v>180</v>
      </c>
      <c r="H29" s="84">
        <f>VLOOKUP(B29,'[2]外购件开发申请单-刘志富开'!$C$7:$O$112,13,0)</f>
        <v>1</v>
      </c>
      <c r="I29" s="84">
        <f t="shared" si="12"/>
        <v>30000</v>
      </c>
      <c r="J29" s="84">
        <f>VLOOKUP(B29,价值工程部!$C$3:$M$29,11,0)</f>
        <v>9.0999999999999998E-2</v>
      </c>
      <c r="K29" s="84">
        <f>VLOOKUP(B29,'[2]外购件开发申请单-刘志富开'!$C$7:$T$112,18,0)</f>
        <v>1.456</v>
      </c>
      <c r="L29" s="84">
        <f>VLOOKUP(B29,价值工程部!$C$3:$F$29,4,0)</f>
        <v>0.53600000000000003</v>
      </c>
      <c r="M29" s="88">
        <f>VLOOKUP(B29,价值工程部!$C$3:$AG$30,31,0)</f>
        <v>0.81899999999999995</v>
      </c>
      <c r="N29" s="89">
        <v>0.96</v>
      </c>
      <c r="O29" s="84">
        <v>0.96</v>
      </c>
      <c r="P29" s="122">
        <f t="shared" si="13"/>
        <v>0.94499999999999995</v>
      </c>
      <c r="Q29" s="90">
        <v>0.96</v>
      </c>
      <c r="R29" s="90"/>
      <c r="S29" s="91" t="s">
        <v>155</v>
      </c>
      <c r="T29" s="89">
        <v>1.4999999999999999E-2</v>
      </c>
      <c r="U29" s="70">
        <f>VLOOKUP(B29,'[1]核算量产最低价2022.5.20'!$C$3:$N$29,12,0)</f>
        <v>0</v>
      </c>
      <c r="V29" s="70">
        <f>VLOOKUP(B29,'[1]核算量产最低价2022.5.20'!$C$3:$O$29,13,0)</f>
        <v>0.56420000000000003</v>
      </c>
      <c r="W29" s="70">
        <f>VLOOKUP(B29,'[1]核算量产最低价2022.5.20'!$C$3:$P$29,14,0)</f>
        <v>0.254</v>
      </c>
      <c r="X29" s="70" t="str">
        <f>VLOOKUP(B29,'[1]核算量产最低价2022.5.20'!$C$3:$Q$29,15,0)</f>
        <v>/</v>
      </c>
      <c r="Y29" s="70" t="str">
        <f>VLOOKUP(B29,'[1]核算量产最低价2022.5.20'!$C$3:$R$29,16,0)</f>
        <v>/</v>
      </c>
      <c r="Z29" s="104">
        <f>VLOOKUP(B29,'[1]核算量产最低价2022.5.20'!$C$3:$S$29,17,0)</f>
        <v>0.81820000000000004</v>
      </c>
      <c r="AA29" s="70" t="str">
        <f>VLOOKUP(B29,'[1]核算量产最低价2022.5.20'!$C$3:$T$29,18,0)</f>
        <v>检具：1500元</v>
      </c>
      <c r="AB29" s="69">
        <f>VLOOKUP(B29,'[1]核算量产最低价2022.5.20'!$C$3:$U$29,19,0)</f>
        <v>1.4999999999999999E-2</v>
      </c>
      <c r="AC29" s="104">
        <f>VLOOKUP(B29,'[1]核算量产最低价2022.5.20'!$C$3:$V$29,20,0)</f>
        <v>0.83320000000000005</v>
      </c>
      <c r="AD29" s="78">
        <f t="shared" si="9"/>
        <v>-0.34065934065934067</v>
      </c>
      <c r="AE29" s="92"/>
      <c r="AF29" s="92"/>
      <c r="AG29" s="96"/>
      <c r="AH29" s="78">
        <f t="shared" si="6"/>
        <v>0.52649253731343282</v>
      </c>
      <c r="AI29" s="79">
        <f t="shared" si="7"/>
        <v>-9.7680097680086925E-4</v>
      </c>
    </row>
    <row r="30" spans="1:35" s="113" customFormat="1" ht="36" customHeight="1">
      <c r="A30" s="106"/>
      <c r="B30" s="107"/>
      <c r="C30" s="108"/>
      <c r="D30" s="106"/>
      <c r="E30" s="106"/>
      <c r="F30" s="106"/>
      <c r="G30" s="106"/>
      <c r="H30" s="106"/>
      <c r="I30" s="106"/>
      <c r="J30" s="106"/>
      <c r="K30" s="106">
        <f>SUM(K3:K29)</f>
        <v>141.20929999999998</v>
      </c>
      <c r="L30" s="106">
        <f>SUM(L3:L29)</f>
        <v>102.24179999999997</v>
      </c>
      <c r="M30" s="109">
        <f>SUM(M3:M29)</f>
        <v>131.17889487179485</v>
      </c>
      <c r="N30" s="106">
        <f>SUM(N3:N29)</f>
        <v>165.27</v>
      </c>
      <c r="O30" s="106">
        <f>SUM(O3:O29)</f>
        <v>167.55</v>
      </c>
      <c r="P30" s="106"/>
      <c r="Q30" s="110"/>
      <c r="R30" s="110"/>
      <c r="S30" s="111"/>
      <c r="T30" s="106"/>
      <c r="U30" s="112"/>
      <c r="V30" s="112"/>
      <c r="W30" s="112"/>
      <c r="X30" s="112"/>
      <c r="Y30" s="112"/>
      <c r="Z30" s="106">
        <f>SUM(Z3:Z29)</f>
        <v>154.90066000000002</v>
      </c>
      <c r="AA30" s="112"/>
      <c r="AB30" s="106"/>
      <c r="AC30" s="106">
        <f>SUM(AC3:AC29)</f>
        <v>157.61065999999997</v>
      </c>
      <c r="AD30" s="105"/>
      <c r="AE30" s="105"/>
      <c r="AF30" s="105"/>
      <c r="AG30" s="105"/>
      <c r="AH30" s="105"/>
      <c r="AI30" s="105"/>
    </row>
    <row r="31" spans="1:35" s="113" customFormat="1" ht="36" customHeight="1">
      <c r="A31" s="106"/>
      <c r="B31" s="107"/>
      <c r="C31" s="108"/>
      <c r="D31" s="106"/>
      <c r="E31" s="106"/>
      <c r="F31" s="106"/>
      <c r="G31" s="106"/>
      <c r="H31" s="106"/>
      <c r="I31" s="106"/>
      <c r="J31" s="106" t="s">
        <v>207</v>
      </c>
      <c r="K31" s="106">
        <f t="array" ref="K31">SUM(H3:H29*K3:K29)</f>
        <v>151.17169999999999</v>
      </c>
      <c r="L31" s="114">
        <f t="array" ref="L31">SUM(H3:H29*L3:L29)</f>
        <v>109.01339999999999</v>
      </c>
      <c r="M31" s="106">
        <f t="array" ref="M31">SUM(H3:H29*M3:M29)</f>
        <v>138.56759487179485</v>
      </c>
      <c r="N31" s="106">
        <f t="array" ref="N31">SUM(H3:H29*N3:N29)</f>
        <v>174.01000000000002</v>
      </c>
      <c r="O31" s="106">
        <f t="array" ref="O31">SUM(H3:H29*O3:O29)</f>
        <v>176.42500000000004</v>
      </c>
      <c r="P31" s="106"/>
      <c r="Q31" s="110"/>
      <c r="R31" s="110"/>
      <c r="S31" s="111"/>
      <c r="T31" s="106"/>
      <c r="U31" s="112"/>
      <c r="V31" s="112"/>
      <c r="W31" s="112"/>
      <c r="X31" s="112"/>
      <c r="Y31" s="112"/>
      <c r="Z31" s="114">
        <f t="array" ref="Z31">SUM(H3:H29*Z3:Z29)</f>
        <v>162.49331999999998</v>
      </c>
      <c r="AA31" s="112"/>
      <c r="AB31" s="106"/>
      <c r="AC31" s="114">
        <f t="array" ref="AC31">SUM(H3:H29*AC3:AC29)</f>
        <v>165.39331999999996</v>
      </c>
      <c r="AD31" s="105"/>
      <c r="AE31" s="105"/>
      <c r="AF31" s="105"/>
      <c r="AG31" s="105"/>
      <c r="AH31" s="105"/>
      <c r="AI31" s="105"/>
    </row>
    <row r="32" spans="1:35" s="113" customFormat="1" ht="36" customHeight="1">
      <c r="A32" s="106"/>
      <c r="B32" s="107"/>
      <c r="C32" s="108"/>
      <c r="D32" s="106"/>
      <c r="E32" s="106"/>
      <c r="F32" s="106"/>
      <c r="G32" s="106"/>
      <c r="H32" s="106"/>
      <c r="I32" s="106"/>
      <c r="J32" s="106"/>
      <c r="K32" s="106"/>
      <c r="L32" s="106"/>
      <c r="M32" s="109"/>
      <c r="N32" s="106"/>
      <c r="O32" s="106"/>
      <c r="P32" s="106"/>
      <c r="Q32" s="110"/>
      <c r="R32" s="110"/>
      <c r="S32" s="111"/>
      <c r="T32" s="106"/>
      <c r="U32" s="112"/>
      <c r="V32" s="112"/>
      <c r="W32" s="112"/>
      <c r="X32" s="112"/>
      <c r="Y32" s="112"/>
      <c r="Z32" s="106"/>
      <c r="AA32" s="112"/>
      <c r="AB32" s="106"/>
      <c r="AC32" s="106"/>
      <c r="AD32" s="105"/>
      <c r="AE32" s="105"/>
      <c r="AF32" s="105"/>
      <c r="AG32" s="105"/>
      <c r="AH32" s="105"/>
      <c r="AI32" s="105"/>
    </row>
    <row r="33" spans="5:33" ht="34.950000000000003" customHeight="1">
      <c r="E33" s="121" t="s">
        <v>182</v>
      </c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G33" s="95"/>
    </row>
  </sheetData>
  <mergeCells count="7">
    <mergeCell ref="AG1:AI1"/>
    <mergeCell ref="N1:O1"/>
    <mergeCell ref="K1:M1"/>
    <mergeCell ref="E33:T33"/>
    <mergeCell ref="P1:T1"/>
    <mergeCell ref="AD1:AF1"/>
    <mergeCell ref="U1:AC1"/>
  </mergeCells>
  <phoneticPr fontId="3" type="noConversion"/>
  <conditionalFormatting sqref="B23">
    <cfRule type="duplicateValues" dxfId="6" priority="5"/>
  </conditionalFormatting>
  <conditionalFormatting sqref="B23">
    <cfRule type="duplicateValues" dxfId="5" priority="6"/>
  </conditionalFormatting>
  <conditionalFormatting sqref="B24">
    <cfRule type="duplicateValues" dxfId="4" priority="4"/>
  </conditionalFormatting>
  <conditionalFormatting sqref="B25">
    <cfRule type="duplicateValues" dxfId="3" priority="3"/>
  </conditionalFormatting>
  <conditionalFormatting sqref="B29:B32">
    <cfRule type="duplicateValues" dxfId="2" priority="2"/>
  </conditionalFormatting>
  <conditionalFormatting sqref="B1:B1048576">
    <cfRule type="duplicateValues" dxfId="1" priority="1"/>
  </conditionalFormatting>
  <conditionalFormatting sqref="B26:B28">
    <cfRule type="duplicateValues" dxfId="0" priority="7"/>
  </conditionalFormatting>
  <pageMargins left="0.75138888888888899" right="0.75138888888888899" top="0" bottom="0" header="0.5" footer="0.5"/>
  <pageSetup paperSize="9" scale="6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价值工程部</vt:lpstr>
      <vt:lpstr>二次核算价2022.5.13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sunpeilin</dc:creator>
  <cp:lastModifiedBy>吴英格</cp:lastModifiedBy>
  <dcterms:created xsi:type="dcterms:W3CDTF">2022-05-16T05:25:41Z</dcterms:created>
  <dcterms:modified xsi:type="dcterms:W3CDTF">2022-08-25T11:24:24Z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B9FC0EE52D8342BC86CD64B48EF7C2F3</vt:lpwstr>
  </property>
  <property fmtid="{D5CDD505-2E9C-101B-9397-08002B2CF9AE}" pid="3" name="KSOProductBuildVer">
    <vt:lpwstr>2052-11.1.0.11636</vt:lpwstr>
  </property>
</Properties>
</file>