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TX取消滑轨\"/>
    </mc:Choice>
  </mc:AlternateContent>
  <bookViews>
    <workbookView xWindow="0" yWindow="420" windowWidth="18525" windowHeight="627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'2022年'!$A$1:$D$48</definedName>
    <definedName name="_xlnm.Print_Area" localSheetId="4">'2023年'!$A$1:$D$48</definedName>
    <definedName name="_xlnm.Print_Area" localSheetId="5">'2024年'!$A$1:$D$48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6" i="53" l="1"/>
  <c r="C4" i="43" l="1"/>
  <c r="C4" i="57" s="1"/>
  <c r="C3" i="43"/>
  <c r="C3" i="56" s="1"/>
  <c r="C4" i="56" l="1"/>
  <c r="C3" i="57"/>
  <c r="F4" i="61"/>
  <c r="C4" i="61" l="1"/>
  <c r="D6" i="61"/>
  <c r="D5" i="61"/>
  <c r="D4" i="61"/>
  <c r="C7" i="61"/>
  <c r="F6" i="61"/>
  <c r="F5" i="61"/>
  <c r="B7" i="61"/>
  <c r="C6" i="61"/>
  <c r="C5" i="61"/>
  <c r="B6" i="61"/>
  <c r="B5" i="61"/>
  <c r="B4" i="61"/>
  <c r="F8" i="61" l="1"/>
  <c r="F51" i="50"/>
  <c r="F48" i="50"/>
  <c r="F38" i="50"/>
  <c r="F35" i="50"/>
  <c r="F77" i="50" l="1"/>
  <c r="F64" i="50"/>
  <c r="F10" i="50"/>
  <c r="F24" i="50"/>
  <c r="D33" i="53" l="1"/>
  <c r="E4" i="61" s="1"/>
  <c r="F33" i="53"/>
  <c r="E6" i="61" s="1"/>
  <c r="G6" i="61" s="1"/>
  <c r="H6" i="61" s="1"/>
  <c r="G33" i="53"/>
  <c r="H33" i="53"/>
  <c r="I33" i="53"/>
  <c r="G4" i="61" l="1"/>
  <c r="F74" i="50"/>
  <c r="F61" i="50"/>
  <c r="F7" i="50"/>
  <c r="F21" i="50"/>
  <c r="H4" i="61" l="1"/>
  <c r="D6" i="59"/>
  <c r="D7" i="59" s="1"/>
  <c r="E6" i="59"/>
  <c r="F6" i="59"/>
  <c r="F12" i="59" s="1"/>
  <c r="G6" i="59"/>
  <c r="H6" i="59"/>
  <c r="H7" i="59" s="1"/>
  <c r="C6" i="59"/>
  <c r="D8" i="43"/>
  <c r="I70" i="50"/>
  <c r="I77" i="50"/>
  <c r="H75" i="50"/>
  <c r="I74" i="50"/>
  <c r="H74" i="50"/>
  <c r="I57" i="50"/>
  <c r="E64" i="50" s="1"/>
  <c r="I64" i="50"/>
  <c r="H62" i="50"/>
  <c r="I61" i="50"/>
  <c r="H61" i="50"/>
  <c r="I44" i="50"/>
  <c r="E51" i="50" s="1"/>
  <c r="I51" i="50"/>
  <c r="H49" i="50"/>
  <c r="I48" i="50"/>
  <c r="H48" i="50"/>
  <c r="I31" i="50"/>
  <c r="I38" i="50"/>
  <c r="H36" i="50"/>
  <c r="I35" i="50"/>
  <c r="H35" i="50"/>
  <c r="I17" i="50"/>
  <c r="E24" i="50" s="1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E46" i="53"/>
  <c r="F46" i="53" s="1"/>
  <c r="G46" i="53" s="1"/>
  <c r="H46" i="53" s="1"/>
  <c r="E38" i="50" l="1"/>
  <c r="E77" i="50"/>
  <c r="I46" i="53"/>
  <c r="H33" i="59" s="1"/>
  <c r="H33" i="58"/>
  <c r="E75" i="50"/>
  <c r="E71" i="50"/>
  <c r="E72" i="50"/>
  <c r="E76" i="50"/>
  <c r="E73" i="50"/>
  <c r="E74" i="50"/>
  <c r="E78" i="50"/>
  <c r="G22" i="59"/>
  <c r="E34" i="50"/>
  <c r="E35" i="50"/>
  <c r="E39" i="50"/>
  <c r="E36" i="50"/>
  <c r="E32" i="50"/>
  <c r="E33" i="50"/>
  <c r="E37" i="50"/>
  <c r="E48" i="50"/>
  <c r="E52" i="50"/>
  <c r="E49" i="50"/>
  <c r="E45" i="50"/>
  <c r="E46" i="50"/>
  <c r="E50" i="50"/>
  <c r="E47" i="50"/>
  <c r="E13" i="59"/>
  <c r="E7" i="59"/>
  <c r="E7" i="50"/>
  <c r="E6" i="50"/>
  <c r="E11" i="50"/>
  <c r="E4" i="50"/>
  <c r="C36" i="43" s="1"/>
  <c r="E9" i="50"/>
  <c r="C44" i="43" s="1"/>
  <c r="E8" i="50"/>
  <c r="C45" i="43" s="1"/>
  <c r="E5" i="50"/>
  <c r="C43" i="43" s="1"/>
  <c r="E61" i="50"/>
  <c r="E65" i="50"/>
  <c r="E62" i="50"/>
  <c r="E58" i="50"/>
  <c r="E59" i="50"/>
  <c r="E63" i="50"/>
  <c r="E60" i="50"/>
  <c r="E22" i="50"/>
  <c r="E19" i="50"/>
  <c r="E23" i="50"/>
  <c r="E20" i="50"/>
  <c r="E21" i="50"/>
  <c r="E25" i="50"/>
  <c r="E18" i="50"/>
  <c r="I6" i="59"/>
  <c r="E7" i="58"/>
  <c r="F11" i="59"/>
  <c r="D22" i="58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C44" i="56" l="1"/>
  <c r="C44" i="57"/>
  <c r="C43" i="57"/>
  <c r="C43" i="56"/>
  <c r="C45" i="57"/>
  <c r="C45" i="56"/>
  <c r="C36" i="57"/>
  <c r="C36" i="56"/>
  <c r="H10" i="59"/>
  <c r="E14" i="58"/>
  <c r="D14" i="59"/>
  <c r="H14" i="59"/>
  <c r="E14" i="59"/>
  <c r="F14" i="58"/>
  <c r="G14" i="58"/>
  <c r="D14" i="58"/>
  <c r="H14" i="58"/>
  <c r="G14" i="59"/>
  <c r="H10" i="58" l="1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C2" i="59" l="1"/>
  <c r="C2" i="58"/>
  <c r="C2" i="57"/>
  <c r="C2" i="56"/>
  <c r="H7" i="50" l="1"/>
  <c r="C4" i="59" l="1"/>
  <c r="C3" i="59"/>
  <c r="C4" i="58"/>
  <c r="C3" i="58"/>
  <c r="I10" i="50"/>
  <c r="E10" i="50" s="1"/>
  <c r="B9" i="51"/>
  <c r="L8" i="55" l="1"/>
  <c r="K9" i="55"/>
  <c r="L7" i="55"/>
  <c r="C31" i="59"/>
  <c r="C6" i="58"/>
  <c r="C31" i="58"/>
  <c r="C6" i="57"/>
  <c r="C31" i="57"/>
  <c r="C6" i="56"/>
  <c r="D6" i="56" s="1"/>
  <c r="C31" i="56"/>
  <c r="D6" i="57" l="1"/>
  <c r="E3" i="2" s="1"/>
  <c r="I6" i="58"/>
  <c r="D3" i="2"/>
  <c r="C7" i="56"/>
  <c r="C7" i="57"/>
  <c r="D7" i="57" s="1"/>
  <c r="C7" i="58"/>
  <c r="I7" i="58" s="1"/>
  <c r="C13" i="59"/>
  <c r="I13" i="59" s="1"/>
  <c r="C38" i="43"/>
  <c r="C19" i="59"/>
  <c r="I19" i="59" s="1"/>
  <c r="C12" i="59"/>
  <c r="I12" i="59" s="1"/>
  <c r="C37" i="43"/>
  <c r="L9" i="55"/>
  <c r="K10" i="55"/>
  <c r="L10" i="55" s="1"/>
  <c r="C22" i="59"/>
  <c r="I22" i="59" s="1"/>
  <c r="C7" i="59"/>
  <c r="I7" i="59" s="1"/>
  <c r="C11" i="58"/>
  <c r="I11" i="58" s="1"/>
  <c r="C11" i="56"/>
  <c r="D11" i="56" s="1"/>
  <c r="C38" i="57" l="1"/>
  <c r="C13" i="57" s="1"/>
  <c r="D13" i="57" s="1"/>
  <c r="E10" i="2" s="1"/>
  <c r="C38" i="56"/>
  <c r="C13" i="56" s="1"/>
  <c r="D13" i="56" s="1"/>
  <c r="C37" i="56"/>
  <c r="C12" i="56" s="1"/>
  <c r="C37" i="57"/>
  <c r="E8" i="59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C8" i="56"/>
  <c r="C9" i="56" s="1"/>
  <c r="D7" i="56"/>
  <c r="D4" i="2" s="1"/>
  <c r="E4" i="2"/>
  <c r="C8" i="57"/>
  <c r="C8" i="58"/>
  <c r="C22" i="58"/>
  <c r="I22" i="58" s="1"/>
  <c r="C11" i="57"/>
  <c r="D8" i="2"/>
  <c r="C19" i="58"/>
  <c r="I19" i="58" s="1"/>
  <c r="C19" i="57"/>
  <c r="D19" i="57" s="1"/>
  <c r="C13" i="58"/>
  <c r="I13" i="58" s="1"/>
  <c r="C11" i="59"/>
  <c r="C19" i="56"/>
  <c r="D19" i="56" s="1"/>
  <c r="C12" i="57"/>
  <c r="D12" i="57" s="1"/>
  <c r="C12" i="58"/>
  <c r="I12" i="58" s="1"/>
  <c r="C8" i="59"/>
  <c r="D34" i="2" l="1"/>
  <c r="E36" i="2"/>
  <c r="E32" i="58"/>
  <c r="H32" i="58"/>
  <c r="H15" i="58"/>
  <c r="H16" i="58" s="1"/>
  <c r="F32" i="59"/>
  <c r="E32" i="59"/>
  <c r="I8" i="59"/>
  <c r="I8" i="58"/>
  <c r="D32" i="58"/>
  <c r="F32" i="58"/>
  <c r="D32" i="59"/>
  <c r="G32" i="58"/>
  <c r="G32" i="59"/>
  <c r="H32" i="59"/>
  <c r="H15" i="59"/>
  <c r="H16" i="59" s="1"/>
  <c r="C14" i="59"/>
  <c r="I14" i="59" s="1"/>
  <c r="I11" i="59"/>
  <c r="C32" i="56"/>
  <c r="C20" i="56" s="1"/>
  <c r="D9" i="56"/>
  <c r="D6" i="2" s="1"/>
  <c r="D29" i="2" s="1"/>
  <c r="C9" i="57"/>
  <c r="D8" i="57"/>
  <c r="E5" i="2" s="1"/>
  <c r="D11" i="57"/>
  <c r="E8" i="2" s="1"/>
  <c r="D8" i="56"/>
  <c r="D5" i="2" s="1"/>
  <c r="C14" i="56"/>
  <c r="D14" i="56" s="1"/>
  <c r="D12" i="56"/>
  <c r="C9" i="58"/>
  <c r="I9" i="58" s="1"/>
  <c r="C14" i="57"/>
  <c r="D14" i="57" s="1"/>
  <c r="C14" i="58"/>
  <c r="I14" i="58" s="1"/>
  <c r="E16" i="2"/>
  <c r="E42" i="2" s="1"/>
  <c r="D10" i="2"/>
  <c r="D16" i="2"/>
  <c r="D42" i="2" s="1"/>
  <c r="C9" i="59"/>
  <c r="I9" i="59" s="1"/>
  <c r="D36" i="2" l="1"/>
  <c r="D47" i="2"/>
  <c r="E34" i="2"/>
  <c r="G20" i="59"/>
  <c r="D20" i="59"/>
  <c r="F20" i="59"/>
  <c r="E20" i="58"/>
  <c r="D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D9" i="57"/>
  <c r="E6" i="2" s="1"/>
  <c r="E29" i="2" s="1"/>
  <c r="C32" i="58"/>
  <c r="C20" i="58" s="1"/>
  <c r="C32" i="59"/>
  <c r="E47" i="2" l="1"/>
  <c r="I20" i="58"/>
  <c r="D20" i="57"/>
  <c r="E17" i="2" s="1"/>
  <c r="C20" i="59"/>
  <c r="I20" i="59" s="1"/>
  <c r="D11" i="2"/>
  <c r="D9" i="2"/>
  <c r="E49" i="2" l="1"/>
  <c r="E43" i="2"/>
  <c r="D35" i="2"/>
  <c r="E11" i="2"/>
  <c r="E9" i="2"/>
  <c r="E35" i="2" l="1"/>
  <c r="D17" i="2"/>
  <c r="D43" i="2" l="1"/>
  <c r="D49" i="2"/>
  <c r="B5" i="51"/>
  <c r="H8" i="50" l="1"/>
  <c r="I7" i="50"/>
  <c r="E45" i="53" l="1"/>
  <c r="F45" i="53" s="1"/>
  <c r="G45" i="53" s="1"/>
  <c r="H45" i="53" s="1"/>
  <c r="E44" i="53"/>
  <c r="F44" i="53" s="1"/>
  <c r="G44" i="53" s="1"/>
  <c r="H44" i="53" s="1"/>
  <c r="E43" i="53"/>
  <c r="E33" i="53"/>
  <c r="E41" i="53"/>
  <c r="I9" i="55"/>
  <c r="G22" i="51"/>
  <c r="B27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E42" i="53" l="1"/>
  <c r="E5" i="61"/>
  <c r="F43" i="53"/>
  <c r="G43" i="53" s="1"/>
  <c r="H43" i="53" s="1"/>
  <c r="F42" i="53"/>
  <c r="G42" i="53" s="1"/>
  <c r="H42" i="53" s="1"/>
  <c r="F41" i="53"/>
  <c r="G41" i="53" s="1"/>
  <c r="H41" i="53" s="1"/>
  <c r="I41" i="53" s="1"/>
  <c r="C56" i="2"/>
  <c r="D27" i="51"/>
  <c r="I21" i="58" s="1"/>
  <c r="C47" i="56"/>
  <c r="C22" i="56" s="1"/>
  <c r="D22" i="56" s="1"/>
  <c r="D19" i="2" s="1"/>
  <c r="D51" i="2" s="1"/>
  <c r="C47" i="57"/>
  <c r="C22" i="57" s="1"/>
  <c r="D22" i="57" s="1"/>
  <c r="E19" i="2" s="1"/>
  <c r="E51" i="2" s="1"/>
  <c r="I45" i="53"/>
  <c r="G33" i="58"/>
  <c r="G34" i="58" s="1"/>
  <c r="G40" i="58" s="1"/>
  <c r="I44" i="53"/>
  <c r="F33" i="58"/>
  <c r="F34" i="58" s="1"/>
  <c r="F40" i="58" s="1"/>
  <c r="K10" i="36"/>
  <c r="C22" i="43"/>
  <c r="D22" i="43" s="1"/>
  <c r="D6" i="43"/>
  <c r="C3" i="2" s="1"/>
  <c r="F3" i="2" s="1"/>
  <c r="C19" i="43"/>
  <c r="D19" i="43" s="1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D11" i="43" s="1"/>
  <c r="C12" i="43"/>
  <c r="D12" i="43" s="1"/>
  <c r="C13" i="43"/>
  <c r="D13" i="43" s="1"/>
  <c r="C20" i="43"/>
  <c r="D20" i="43" s="1"/>
  <c r="G5" i="61" l="1"/>
  <c r="E8" i="61"/>
  <c r="C10" i="56"/>
  <c r="I43" i="53"/>
  <c r="E33" i="58"/>
  <c r="I42" i="53"/>
  <c r="D33" i="59" s="1"/>
  <c r="D34" i="59" s="1"/>
  <c r="D40" i="59" s="1"/>
  <c r="D33" i="58"/>
  <c r="C33" i="59"/>
  <c r="C10" i="59"/>
  <c r="D18" i="56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10" i="43"/>
  <c r="C7" i="2" s="1"/>
  <c r="C30" i="2" s="1"/>
  <c r="C9" i="43"/>
  <c r="D9" i="43" s="1"/>
  <c r="D7" i="43"/>
  <c r="C4" i="2" s="1"/>
  <c r="I18" i="58"/>
  <c r="D18" i="43"/>
  <c r="E21" i="58"/>
  <c r="F21" i="58"/>
  <c r="G21" i="58"/>
  <c r="H21" i="58"/>
  <c r="D21" i="58"/>
  <c r="C33" i="56"/>
  <c r="C34" i="56" s="1"/>
  <c r="C40" i="56" s="1"/>
  <c r="C14" i="43"/>
  <c r="D14" i="43" s="1"/>
  <c r="G17" i="36"/>
  <c r="G19" i="36" s="1"/>
  <c r="I18" i="59"/>
  <c r="D18" i="57"/>
  <c r="E60" i="2" s="1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D21" i="56"/>
  <c r="D21" i="57"/>
  <c r="C17" i="2"/>
  <c r="C43" i="2" s="1"/>
  <c r="C9" i="2"/>
  <c r="C35" i="2" s="1"/>
  <c r="D21" i="43"/>
  <c r="E27" i="51"/>
  <c r="F27" i="51" s="1"/>
  <c r="D28" i="51"/>
  <c r="M17" i="36"/>
  <c r="H5" i="61" l="1"/>
  <c r="G8" i="61"/>
  <c r="H8" i="61" s="1"/>
  <c r="C18" i="43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F9" i="2"/>
  <c r="F35" i="2" s="1"/>
  <c r="I22" i="36"/>
  <c r="D10" i="56"/>
  <c r="D7" i="2" s="1"/>
  <c r="D30" i="2" s="1"/>
  <c r="D31" i="2" s="1"/>
  <c r="D32" i="2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C18" i="57"/>
  <c r="C17" i="57" s="1"/>
  <c r="C21" i="43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C6" i="2"/>
  <c r="C15" i="56"/>
  <c r="C18" i="58"/>
  <c r="C17" i="58" s="1"/>
  <c r="C20" i="36"/>
  <c r="D20" i="36" s="1"/>
  <c r="E20" i="36" s="1"/>
  <c r="C16" i="2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E28" i="51"/>
  <c r="I27" i="51"/>
  <c r="C19" i="2"/>
  <c r="F19" i="2" s="1"/>
  <c r="F28" i="51"/>
  <c r="C18" i="2"/>
  <c r="F16" i="2" l="1"/>
  <c r="F42" i="2" s="1"/>
  <c r="C42" i="2"/>
  <c r="C49" i="2"/>
  <c r="C29" i="2"/>
  <c r="C31" i="2" s="1"/>
  <c r="C32" i="2" s="1"/>
  <c r="C51" i="2"/>
  <c r="C50" i="2"/>
  <c r="C47" i="2"/>
  <c r="D24" i="58"/>
  <c r="F20" i="36"/>
  <c r="G20" i="36" s="1"/>
  <c r="H20" i="36" s="1"/>
  <c r="I24" i="36" s="1"/>
  <c r="I17" i="58"/>
  <c r="I23" i="58" s="1"/>
  <c r="F18" i="2"/>
  <c r="F18" i="36"/>
  <c r="G18" i="36" s="1"/>
  <c r="H18" i="36" s="1"/>
  <c r="E24" i="36" s="1"/>
  <c r="F10" i="2"/>
  <c r="D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D17" i="57"/>
  <c r="E14" i="2" s="1"/>
  <c r="C16" i="43"/>
  <c r="D25" i="58"/>
  <c r="D26" i="58" s="1"/>
  <c r="D27" i="58" s="1"/>
  <c r="E46" i="59"/>
  <c r="E48" i="59" s="1"/>
  <c r="E23" i="59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G46" i="59"/>
  <c r="G48" i="59" s="1"/>
  <c r="G23" i="59"/>
  <c r="G24" i="59" s="1"/>
  <c r="C16" i="56"/>
  <c r="D15" i="56"/>
  <c r="D16" i="56" s="1"/>
  <c r="D13" i="2" s="1"/>
  <c r="C48" i="57"/>
  <c r="C15" i="57"/>
  <c r="D15" i="57" s="1"/>
  <c r="C33" i="58"/>
  <c r="C34" i="58" s="1"/>
  <c r="C40" i="58" s="1"/>
  <c r="C48" i="58" s="1"/>
  <c r="C23" i="59"/>
  <c r="C23" i="58"/>
  <c r="C23" i="57"/>
  <c r="C11" i="2"/>
  <c r="F11" i="2" s="1"/>
  <c r="C46" i="43"/>
  <c r="C48" i="43" s="1"/>
  <c r="G28" i="51"/>
  <c r="I20" i="36" l="1"/>
  <c r="J20" i="36" s="1"/>
  <c r="K20" i="36" s="1"/>
  <c r="L20" i="36" s="1"/>
  <c r="E41" i="2"/>
  <c r="E48" i="2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F29" i="2"/>
  <c r="D23" i="57"/>
  <c r="D24" i="57" s="1"/>
  <c r="F51" i="2"/>
  <c r="F49" i="2"/>
  <c r="F50" i="2"/>
  <c r="G25" i="59"/>
  <c r="G26" i="59" s="1"/>
  <c r="G27" i="59" s="1"/>
  <c r="D12" i="2"/>
  <c r="D38" i="2" s="1"/>
  <c r="D15" i="43"/>
  <c r="C16" i="57"/>
  <c r="C24" i="57"/>
  <c r="C15" i="58"/>
  <c r="I15" i="58" s="1"/>
  <c r="C34" i="59"/>
  <c r="C40" i="59" s="1"/>
  <c r="C48" i="59" s="1"/>
  <c r="H28" i="51"/>
  <c r="I26" i="51"/>
  <c r="F60" i="2" s="1"/>
  <c r="D25" i="57" l="1"/>
  <c r="E22" i="2" s="1"/>
  <c r="D26" i="57"/>
  <c r="C25" i="57"/>
  <c r="C26" i="57" s="1"/>
  <c r="F25" i="59"/>
  <c r="F26" i="59" s="1"/>
  <c r="F27" i="59" s="1"/>
  <c r="E20" i="2"/>
  <c r="E34" i="58"/>
  <c r="E40" i="58" s="1"/>
  <c r="E48" i="58" s="1"/>
  <c r="I10" i="59"/>
  <c r="D16" i="43"/>
  <c r="C12" i="2"/>
  <c r="C38" i="2" s="1"/>
  <c r="I16" i="58"/>
  <c r="I24" i="58"/>
  <c r="I25" i="58" s="1"/>
  <c r="C16" i="58"/>
  <c r="E12" i="2"/>
  <c r="E38" i="2" s="1"/>
  <c r="D16" i="57"/>
  <c r="E13" i="2" s="1"/>
  <c r="C24" i="58"/>
  <c r="C25" i="58" s="1"/>
  <c r="C26" i="58" s="1"/>
  <c r="E21" i="2"/>
  <c r="E53" i="2" s="1"/>
  <c r="C27" i="57" l="1"/>
  <c r="D27" i="57"/>
  <c r="E24" i="2" s="1"/>
  <c r="E39" i="2"/>
  <c r="I26" i="58"/>
  <c r="I27" i="58" s="1"/>
  <c r="C15" i="59"/>
  <c r="I15" i="59" s="1"/>
  <c r="F7" i="2"/>
  <c r="C13" i="2"/>
  <c r="C27" i="58"/>
  <c r="E23" i="2" l="1"/>
  <c r="E52" i="2" s="1"/>
  <c r="C24" i="59"/>
  <c r="C25" i="59" s="1"/>
  <c r="C26" i="59" s="1"/>
  <c r="I26" i="59" s="1"/>
  <c r="C16" i="59"/>
  <c r="F12" i="2"/>
  <c r="F30" i="2"/>
  <c r="F31" i="2" s="1"/>
  <c r="F32" i="2" s="1"/>
  <c r="I16" i="59"/>
  <c r="I24" i="59"/>
  <c r="I25" i="59" s="1"/>
  <c r="E59" i="2" l="1"/>
  <c r="E58" i="2" s="1"/>
  <c r="C27" i="59"/>
  <c r="F13" i="2"/>
  <c r="F38" i="2"/>
  <c r="I27" i="59"/>
  <c r="C17" i="43" l="1"/>
  <c r="D17" i="43" l="1"/>
  <c r="C23" i="43"/>
  <c r="C24" i="43" s="1"/>
  <c r="C25" i="43" s="1"/>
  <c r="D23" i="43" l="1"/>
  <c r="D24" i="43" s="1"/>
  <c r="C14" i="2"/>
  <c r="C26" i="43"/>
  <c r="D25" i="43" l="1"/>
  <c r="D26" i="43"/>
  <c r="D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C18" i="56"/>
  <c r="C17" i="56" s="1"/>
  <c r="C23" i="56" l="1"/>
  <c r="C24" i="56" s="1"/>
  <c r="C25" i="56" s="1"/>
  <c r="D17" i="56"/>
  <c r="D14" i="2" l="1"/>
  <c r="D23" i="56"/>
  <c r="C26" i="56"/>
  <c r="D41" i="2" l="1"/>
  <c r="D48" i="2"/>
  <c r="C27" i="56"/>
  <c r="D24" i="56"/>
  <c r="D20" i="2"/>
  <c r="F14" i="2"/>
  <c r="D25" i="56" l="1"/>
  <c r="D22" i="2" s="1"/>
  <c r="D26" i="56"/>
  <c r="D23" i="2" s="1"/>
  <c r="F20" i="2"/>
  <c r="D39" i="2"/>
  <c r="F41" i="2"/>
  <c r="F48" i="2"/>
  <c r="D21" i="2"/>
  <c r="D53" i="2" s="1"/>
  <c r="D27" i="56" l="1"/>
  <c r="D24" i="2" s="1"/>
  <c r="D59" i="2"/>
  <c r="D58" i="2" s="1"/>
  <c r="D52" i="2"/>
  <c r="F39" i="2"/>
  <c r="F21" i="2"/>
  <c r="F22" i="2" s="1"/>
  <c r="F23" i="2" l="1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  <author>zzf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8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预计，含电泳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<sst xmlns="http://schemas.openxmlformats.org/spreadsheetml/2006/main" count="1333" uniqueCount="303">
  <si>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</si>
  <si>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</si>
  <si>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</si>
  <si>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</si>
  <si>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</si>
  <si>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</si>
  <si>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</si>
  <si>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</si>
  <si>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</si>
  <si>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</si>
  <si>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</si>
  <si>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</si>
  <si>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</si>
  <si>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</si>
  <si>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</si>
  <si>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</si>
  <si>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</si>
  <si>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</si>
  <si>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</si>
  <si>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</si>
  <si>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</si>
  <si>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</si>
  <si>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</si>
  <si>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</si>
  <si>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</si>
  <si>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</si>
  <si>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</si>
  <si>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</si>
  <si>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</si>
  <si>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</si>
  <si>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</si>
  <si>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</si>
  <si>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</si>
  <si>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</si>
  <si>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</si>
  <si>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</si>
  <si>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</si>
  <si>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</si>
  <si>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</si>
  <si>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</si>
  <si>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</si>
  <si>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</si>
  <si>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</si>
  <si>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</si>
  <si>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</si>
  <si>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</si>
  <si>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</si>
  <si>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</si>
  <si>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</si>
  <si>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</si>
  <si>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</si>
  <si>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</si>
  <si>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</si>
  <si>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</si>
  <si>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</si>
  <si>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</si>
  <si>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</si>
  <si>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</si>
  <si>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</si>
  <si>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</si>
  <si>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</si>
  <si>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</si>
  <si>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</si>
  <si>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</si>
  <si>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</si>
  <si>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</si>
  <si>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</si>
  <si>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</si>
  <si>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</si>
  <si>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</si>
  <si>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</si>
  <si>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</si>
  <si>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</si>
  <si>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</si>
  <si>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</si>
  <si>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</si>
  <si>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</si>
  <si>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</si>
  <si>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</si>
  <si>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</si>
  <si>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</si>
  <si>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</si>
  <si>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</si>
  <si>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</si>
  <si>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</si>
  <si>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</si>
  <si>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</si>
  <si>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</si>
  <si>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</si>
  <si>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</si>
  <si>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</si>
  <si>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</si>
  <si>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</si>
  <si>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</si>
  <si>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</si>
  <si>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</si>
  <si>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</si>
  <si>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</si>
  <si>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</si>
  <si>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</si>
  <si>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</si>
  <si>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</si>
  <si>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</si>
  <si>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</si>
  <si>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</si>
  <si>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</si>
  <si>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</si>
  <si>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</si>
  <si>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</si>
  <si>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</si>
  <si>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</si>
  <si>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</si>
  <si>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</si>
  <si>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</si>
  <si>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</si>
  <si>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</si>
  <si>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</si>
  <si>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</si>
  <si>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</si>
  <si>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</si>
  <si>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</si>
  <si>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</si>
  <si>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</si>
  <si>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</si>
  <si>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</si>
  <si>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</si>
  <si>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</si>
  <si>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</si>
  <si>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</si>
  <si>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</si>
  <si>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</si>
  <si>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</si>
  <si>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</si>
  <si>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</si>
  <si>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</si>
  <si>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</si>
  <si>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</si>
  <si>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</si>
  <si>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</si>
  <si>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</si>
  <si>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</si>
  <si>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</si>
  <si>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</si>
  <si>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</si>
  <si>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</si>
  <si>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</si>
  <si>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</si>
  <si>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</si>
  <si>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</si>
  <si>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</si>
  <si>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</si>
  <si>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</si>
  <si>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</si>
  <si>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</si>
  <si>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</si>
  <si>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</si>
  <si>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</si>
  <si>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</si>
  <si>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</si>
  <si>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</si>
  <si>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</si>
  <si>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</si>
  <si>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</si>
  <si>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</si>
  <si>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</si>
  <si>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</si>
  <si>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</si>
  <si>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</si>
  <si>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</si>
  <si>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</si>
  <si>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</si>
  <si>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</si>
  <si>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</si>
  <si>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</si>
  <si>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</si>
  <si>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</si>
  <si>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</si>
  <si>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</si>
  <si>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</si>
  <si>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</si>
  <si>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</si>
  <si>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</si>
  <si>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</si>
  <si>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</si>
  <si>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</si>
  <si>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</si>
  <si>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</si>
  <si>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</si>
  <si>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</si>
  <si>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</si>
  <si>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</si>
  <si>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</si>
  <si>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</si>
  <si>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</si>
  <si>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</si>
  <si>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</si>
  <si>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</si>
  <si>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</si>
  <si>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</si>
  <si>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</si>
  <si>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</si>
  <si>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</si>
  <si>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</si>
  <si>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</si>
  <si>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</si>
  <si>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</si>
  <si>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</si>
  <si>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</si>
  <si>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</si>
  <si>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</si>
  <si>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</si>
  <si>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</si>
  <si>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</si>
  <si>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</si>
  <si>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</si>
  <si>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</si>
  <si>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</si>
  <si>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</si>
  <si>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</si>
  <si>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</si>
  <si>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</si>
  <si>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</si>
  <si>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</si>
  <si>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</si>
  <si>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</si>
  <si>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</si>
  <si>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</si>
  <si>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</si>
  <si>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</si>
  <si>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</si>
  <si>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</si>
  <si>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</si>
  <si>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</si>
  <si>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</si>
  <si>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</si>
  <si>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</si>
  <si>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</si>
  <si>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</si>
  <si>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</si>
  <si>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</si>
  <si>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</si>
  <si>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</si>
  <si>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</si>
  <si>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</si>
  <si>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</si>
  <si>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</si>
  <si>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</si>
  <si>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</si>
  <si>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</si>
  <si>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</si>
  <si>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</si>
  <si>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</si>
  <si>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</si>
  <si>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</si>
  <si>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</si>
  <si>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</si>
  <si>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</si>
  <si>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</si>
  <si>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</si>
  <si>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</si>
  <si>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>陕重汽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</si>
  <si>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</si>
  <si>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</si>
  <si>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</si>
  <si>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</si>
  <si>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</si>
  <si>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</si>
  <si>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</si>
  <si>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</si>
  <si>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</si>
  <si>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供应商年降：     3  年2%</t>
    <phoneticPr fontId="38" type="noConversion"/>
  </si>
  <si>
    <t>采购</t>
    <phoneticPr fontId="38" type="noConversion"/>
  </si>
  <si>
    <t>开发费分摊情况</t>
    <phoneticPr fontId="35" type="noConversion"/>
  </si>
  <si>
    <t>产品应用场景</t>
    <phoneticPr fontId="35" type="noConversion"/>
  </si>
  <si>
    <t>如是工程车、公路用车？</t>
    <phoneticPr fontId="35" type="noConversion"/>
  </si>
  <si>
    <t>三包周期</t>
    <phoneticPr fontId="35" type="noConversion"/>
  </si>
  <si>
    <t>黄骅公司</t>
    <phoneticPr fontId="35" type="noConversion"/>
  </si>
  <si>
    <t>济南市市中区党家庄镇</t>
    <phoneticPr fontId="35" type="noConversion"/>
  </si>
  <si>
    <t>挂账三个月 承兑</t>
    <phoneticPr fontId="53" type="noConversion"/>
  </si>
  <si>
    <t xml:space="preserve">仓储费率：产品价格的4.8‰ （超出面积按照每天0.65/平方米）
配送费率：产品价格的3.2‰ 。
器具费率：中邮提供器具8‰ ，我司提供器具4‰
</t>
    <phoneticPr fontId="53" type="noConversion"/>
  </si>
  <si>
    <t>驻场服务</t>
  </si>
  <si>
    <t>送货地点</t>
    <phoneticPr fontId="35" type="noConversion"/>
  </si>
  <si>
    <t>现汇或承兑的比例</t>
    <phoneticPr fontId="35" type="noConversion"/>
  </si>
  <si>
    <t>包含所有的主、辅料</t>
  </si>
  <si>
    <t>副驾驶员座椅</t>
  </si>
  <si>
    <t>YZ16625200010</t>
  </si>
  <si>
    <t xml:space="preserve">  3 年</t>
    <phoneticPr fontId="38" type="noConversion"/>
  </si>
  <si>
    <t xml:space="preserve">TX载货车车型   </t>
  </si>
  <si>
    <t>简易焊接工装</t>
    <phoneticPr fontId="38" type="noConversion"/>
  </si>
  <si>
    <t>小批样件、强检样件</t>
  </si>
  <si>
    <t>一个单元，强检费用、证书费用</t>
  </si>
  <si>
    <t>运输试验及样件物料</t>
    <phoneticPr fontId="38" type="noConversion"/>
  </si>
  <si>
    <t>WG1662511049/2</t>
    <phoneticPr fontId="38" type="noConversion"/>
  </si>
  <si>
    <t>图号</t>
    <phoneticPr fontId="38" type="noConversion"/>
  </si>
  <si>
    <t>材料成本</t>
    <phoneticPr fontId="38" type="noConversion"/>
  </si>
  <si>
    <r>
      <t xml:space="preserve">重汽TX副驾驶取消商用轨座椅项目可行性分析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</si>
  <si>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重汽TX副驾取消滑轨座椅项目研发费用预算表 </t>
    <phoneticPr fontId="38" type="noConversion"/>
  </si>
  <si>
    <t>WG1662511049/2材料成本</t>
    <phoneticPr fontId="38" type="noConversion"/>
  </si>
  <si>
    <t>南皮利辉滑轨</t>
    <phoneticPr fontId="38" type="noConversion"/>
  </si>
  <si>
    <t>四个垫片成本，材料重0.0177KG，单价15元，有电焊和电泳</t>
    <phoneticPr fontId="38" type="noConversion"/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</si>
  <si>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</si>
  <si>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>材料成本年降汇总表2%</t>
    <phoneticPr fontId="38" type="noConversion"/>
  </si>
  <si>
    <t>财务费用按河北水平，未考虑投资资金时间价值。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</si>
</sst>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00_);[Red]\(0.0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0" fontId="49" fillId="3" borderId="1" xfId="0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10" fontId="0" fillId="0" borderId="1" xfId="0" applyNumberFormat="1" applyBorder="1" applyAlignment="1"/>
    <xf numFmtId="0" fontId="0" fillId="0" borderId="1" xfId="0" applyBorder="1" applyAlignment="1"/>
    <xf numFmtId="0" fontId="52" fillId="0" borderId="1" xfId="0" applyFont="1" applyBorder="1" applyAlignment="1"/>
    <xf numFmtId="0" fontId="52" fillId="7" borderId="1" xfId="0" applyFont="1" applyFill="1" applyBorder="1" applyAlignment="1"/>
    <xf numFmtId="0" fontId="0" fillId="0" borderId="1" xfId="0" applyNumberFormat="1" applyBorder="1" applyAlignment="1">
      <alignment horizontal="left"/>
    </xf>
    <xf numFmtId="0" fontId="27" fillId="0" borderId="1" xfId="0" applyNumberFormat="1" applyFont="1" applyBorder="1" applyAlignment="1">
      <alignment horizontal="left"/>
    </xf>
    <xf numFmtId="0" fontId="51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27" fillId="0" borderId="1" xfId="0" applyNumberFormat="1" applyFont="1" applyBorder="1" applyAlignment="1">
      <alignment horizontal="center"/>
    </xf>
    <xf numFmtId="0" fontId="27" fillId="0" borderId="1" xfId="1" applyNumberFormat="1" applyFont="1" applyBorder="1" applyAlignment="1"/>
    <xf numFmtId="0" fontId="0" fillId="0" borderId="1" xfId="1" applyNumberFormat="1" applyFont="1" applyBorder="1" applyAlignment="1"/>
    <xf numFmtId="0" fontId="52" fillId="7" borderId="1" xfId="1" applyNumberFormat="1" applyFont="1" applyFill="1" applyBorder="1" applyAlignment="1"/>
    <xf numFmtId="0" fontId="0" fillId="0" borderId="0" xfId="0" applyNumberFormat="1" applyAlignment="1">
      <alignment horizontal="left" vertical="center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27" fillId="0" borderId="0" xfId="0" applyFont="1">
      <alignment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3" fontId="27" fillId="0" borderId="0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43" fontId="41" fillId="0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>
      <alignment vertical="center"/>
    </xf>
    <xf numFmtId="43" fontId="10" fillId="0" borderId="0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/>
    </xf>
    <xf numFmtId="0" fontId="54" fillId="3" borderId="13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 readingOrder="1"/>
    </xf>
    <xf numFmtId="0" fontId="39" fillId="3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78" fontId="16" fillId="12" borderId="1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81" fontId="42" fillId="11" borderId="1" xfId="11" applyNumberFormat="1" applyFont="1" applyFill="1" applyBorder="1" applyAlignment="1" applyProtection="1">
      <alignment horizontal="left" vertical="center" wrapText="1"/>
      <protection locked="0"/>
    </xf>
    <xf numFmtId="0" fontId="49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</cellXfs>
  <cellStyles count="12">
    <cellStyle name="_x000a_mouse.drv=lm" xfId="2"/>
    <cellStyle name="BOM_Level_Below3" xfId="10"/>
    <cellStyle name="BOM_Level_Below3 5" xfId="11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10</xdr:col>
      <xdr:colOff>922663</xdr:colOff>
      <xdr:row>76</xdr:row>
      <xdr:rowOff>151700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1353800"/>
          <a:ext cx="10104763" cy="56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7</xdr:col>
      <xdr:colOff>466035</xdr:colOff>
      <xdr:row>93</xdr:row>
      <xdr:rowOff>18681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17192625"/>
          <a:ext cx="5523810" cy="2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45" t="s">
        <v>7</v>
      </c>
      <c r="C5" s="144" t="s">
        <v>8</v>
      </c>
    </row>
    <row r="6" spans="1:4" s="139" customFormat="1" ht="33.75" customHeight="1">
      <c r="A6" s="142">
        <v>4</v>
      </c>
      <c r="B6" s="246"/>
      <c r="C6" s="143" t="s">
        <v>9</v>
      </c>
    </row>
    <row r="7" spans="1:4" s="139" customFormat="1" ht="33.75" customHeight="1">
      <c r="A7" s="142">
        <v>5</v>
      </c>
      <c r="B7" s="145" t="s">
        <v>10</v>
      </c>
      <c r="C7" s="143" t="s">
        <v>253</v>
      </c>
    </row>
    <row r="8" spans="1:4" s="139" customFormat="1" ht="33.75" customHeight="1">
      <c r="A8" s="142">
        <v>6</v>
      </c>
      <c r="B8" s="245" t="s">
        <v>11</v>
      </c>
      <c r="C8" s="143" t="s">
        <v>12</v>
      </c>
    </row>
    <row r="9" spans="1:4" s="139" customFormat="1" ht="33.75" customHeight="1">
      <c r="A9" s="142">
        <v>7</v>
      </c>
      <c r="B9" s="246"/>
      <c r="C9" s="143" t="s">
        <v>300</v>
      </c>
    </row>
    <row r="10" spans="1:4" s="139" customFormat="1" ht="33.75" customHeight="1">
      <c r="A10" s="142">
        <v>8</v>
      </c>
      <c r="B10" s="246"/>
      <c r="C10" s="144" t="s">
        <v>302</v>
      </c>
    </row>
    <row r="11" spans="1:4" s="139" customFormat="1" ht="33.75" customHeight="1">
      <c r="A11" s="142">
        <v>9</v>
      </c>
      <c r="B11" s="246"/>
      <c r="C11" s="143" t="s">
        <v>13</v>
      </c>
    </row>
    <row r="12" spans="1:4" s="139" customFormat="1" ht="33.75" customHeight="1">
      <c r="A12" s="142">
        <v>10</v>
      </c>
      <c r="B12" s="145" t="s">
        <v>14</v>
      </c>
      <c r="C12" s="143" t="s">
        <v>15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E16" sqref="E16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192</v>
      </c>
      <c r="E1" s="17"/>
      <c r="F1" s="17"/>
      <c r="G1" s="17"/>
      <c r="H1" s="17"/>
      <c r="I1" s="17"/>
    </row>
    <row r="2" spans="1:12" ht="24" customHeight="1">
      <c r="A2" s="18" t="s">
        <v>193</v>
      </c>
      <c r="C2" s="6" t="s">
        <v>287</v>
      </c>
      <c r="E2" s="17"/>
      <c r="F2" s="17"/>
      <c r="G2" s="17"/>
      <c r="H2" s="17"/>
      <c r="I2" s="17"/>
    </row>
    <row r="3" spans="1:12">
      <c r="C3" s="6" t="s">
        <v>194</v>
      </c>
      <c r="D3" s="9" t="s">
        <v>286</v>
      </c>
      <c r="E3" s="164">
        <v>0.02</v>
      </c>
    </row>
    <row r="5" spans="1:12" ht="45" customHeight="1">
      <c r="A5" s="278" t="s">
        <v>195</v>
      </c>
      <c r="B5" s="8" t="s">
        <v>144</v>
      </c>
      <c r="C5" s="233" t="s">
        <v>284</v>
      </c>
      <c r="D5" s="188"/>
      <c r="E5" s="188"/>
      <c r="F5" s="188"/>
      <c r="G5" s="15"/>
      <c r="H5" s="15"/>
      <c r="I5" s="277" t="s">
        <v>18</v>
      </c>
    </row>
    <row r="6" spans="1:12" ht="31.5" customHeight="1">
      <c r="A6" s="278"/>
      <c r="B6" s="8" t="s">
        <v>145</v>
      </c>
      <c r="C6" s="314" t="s">
        <v>285</v>
      </c>
      <c r="D6" s="189"/>
      <c r="E6" s="189"/>
      <c r="F6" s="189"/>
      <c r="G6" s="15"/>
      <c r="H6" s="15"/>
      <c r="I6" s="277"/>
      <c r="K6" s="6">
        <v>100</v>
      </c>
    </row>
    <row r="7" spans="1:12" ht="16.5" customHeight="1">
      <c r="A7" s="278"/>
      <c r="B7" s="21" t="s">
        <v>196</v>
      </c>
      <c r="C7" s="234"/>
      <c r="D7" s="190"/>
      <c r="E7" s="190"/>
      <c r="F7" s="190"/>
      <c r="G7" s="20"/>
      <c r="H7" s="20"/>
      <c r="I7" s="277"/>
      <c r="K7" s="6">
        <f>K6*(1-$E$3)</f>
        <v>98</v>
      </c>
      <c r="L7" s="6">
        <f>K7/$K$6</f>
        <v>0.98</v>
      </c>
    </row>
    <row r="8" spans="1:12" ht="33">
      <c r="A8" s="278"/>
      <c r="B8" s="21" t="s">
        <v>197</v>
      </c>
      <c r="C8" s="235">
        <v>800</v>
      </c>
      <c r="D8" s="190"/>
      <c r="E8" s="190"/>
      <c r="F8" s="190"/>
      <c r="G8" s="20"/>
      <c r="H8" s="20"/>
      <c r="I8" s="277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78" t="s">
        <v>198</v>
      </c>
      <c r="B9" s="177" t="s">
        <v>17</v>
      </c>
      <c r="C9" s="236">
        <v>300</v>
      </c>
      <c r="D9" s="191"/>
      <c r="E9" s="191"/>
      <c r="F9" s="191"/>
      <c r="G9" s="185"/>
      <c r="H9" s="186"/>
      <c r="I9" s="26">
        <f>SUM(C9:H9)</f>
        <v>300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78"/>
      <c r="B10" s="177" t="s">
        <v>187</v>
      </c>
      <c r="C10" s="237">
        <v>2000</v>
      </c>
      <c r="D10" s="191"/>
      <c r="E10" s="191"/>
      <c r="F10" s="191"/>
      <c r="G10" s="185"/>
      <c r="H10" s="186"/>
      <c r="I10" s="26">
        <f t="shared" ref="I10:I14" si="2">SUM(C10:H10)</f>
        <v>2000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78"/>
      <c r="B11" s="177" t="s">
        <v>188</v>
      </c>
      <c r="C11" s="237">
        <v>2000</v>
      </c>
      <c r="D11" s="191"/>
      <c r="E11" s="191"/>
      <c r="F11" s="191"/>
      <c r="G11" s="185"/>
      <c r="H11" s="186"/>
      <c r="I11" s="26">
        <f t="shared" si="2"/>
        <v>2000</v>
      </c>
    </row>
    <row r="12" spans="1:12" ht="18.75">
      <c r="A12" s="278"/>
      <c r="B12" s="177" t="s">
        <v>189</v>
      </c>
      <c r="C12" s="184"/>
      <c r="D12" s="184"/>
      <c r="E12" s="184"/>
      <c r="F12" s="185"/>
      <c r="G12" s="185"/>
      <c r="H12" s="186"/>
      <c r="I12" s="26">
        <f t="shared" si="2"/>
        <v>0</v>
      </c>
    </row>
    <row r="13" spans="1:12" ht="18.75">
      <c r="A13" s="278"/>
      <c r="B13" s="177" t="s">
        <v>237</v>
      </c>
      <c r="C13" s="184"/>
      <c r="D13" s="184"/>
      <c r="E13" s="184"/>
      <c r="F13" s="185"/>
      <c r="G13" s="185"/>
      <c r="H13" s="186"/>
      <c r="I13" s="26">
        <f t="shared" si="2"/>
        <v>0</v>
      </c>
    </row>
    <row r="14" spans="1:12" ht="17.25">
      <c r="A14" s="278"/>
      <c r="B14" s="177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77" t="s">
        <v>18</v>
      </c>
      <c r="B15" s="277"/>
      <c r="C15" s="24">
        <f t="shared" ref="C15:I15" si="3">SUM(C9:C14)</f>
        <v>4300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4300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workbookViewId="0">
      <pane xSplit="3" ySplit="5" topLeftCell="D6" activePane="bottomRight" state="frozen"/>
      <selection pane="topRight"/>
      <selection pane="bottomLeft"/>
      <selection pane="bottomRight" activeCell="D9" sqref="D9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9.75" style="6" customWidth="1"/>
    <col min="5" max="6" width="16.125" style="6" bestFit="1" customWidth="1"/>
    <col min="7" max="9" width="14.375" style="6" customWidth="1"/>
    <col min="10" max="10" width="25.375" style="6" customWidth="1"/>
    <col min="11" max="11" width="16" style="6" customWidth="1"/>
    <col min="12" max="16384" width="9" style="6"/>
  </cols>
  <sheetData>
    <row r="1" spans="1:12" s="5" customFormat="1" ht="28.5" customHeight="1">
      <c r="A1" s="287" t="s">
        <v>7</v>
      </c>
      <c r="B1" s="287"/>
      <c r="C1" s="7"/>
      <c r="K1" s="14"/>
    </row>
    <row r="2" spans="1:12">
      <c r="A2" s="288" t="s">
        <v>199</v>
      </c>
      <c r="B2" s="288"/>
      <c r="C2" s="289"/>
      <c r="D2" s="289"/>
      <c r="E2" s="290" t="s">
        <v>270</v>
      </c>
      <c r="F2" s="291"/>
      <c r="G2" s="291"/>
      <c r="H2" s="291"/>
      <c r="I2" s="291"/>
      <c r="J2" s="292"/>
    </row>
    <row r="3" spans="1:12">
      <c r="A3" s="302" t="s">
        <v>16</v>
      </c>
      <c r="B3" s="302" t="s">
        <v>200</v>
      </c>
      <c r="C3" s="8" t="s">
        <v>201</v>
      </c>
      <c r="D3" s="293"/>
      <c r="E3" s="293"/>
      <c r="F3" s="8" t="s">
        <v>202</v>
      </c>
      <c r="G3" s="279"/>
      <c r="H3" s="280"/>
      <c r="I3" s="281"/>
      <c r="J3" s="294" t="s">
        <v>155</v>
      </c>
    </row>
    <row r="4" spans="1:12">
      <c r="A4" s="302"/>
      <c r="B4" s="302"/>
      <c r="C4" s="8" t="s">
        <v>144</v>
      </c>
      <c r="D4" s="317" t="s">
        <v>284</v>
      </c>
      <c r="E4" s="188"/>
      <c r="F4" s="188"/>
      <c r="G4" s="161"/>
      <c r="H4" s="161"/>
      <c r="I4" s="161"/>
      <c r="J4" s="295"/>
    </row>
    <row r="5" spans="1:12">
      <c r="A5" s="302"/>
      <c r="B5" s="302"/>
      <c r="C5" s="8" t="s">
        <v>145</v>
      </c>
      <c r="D5" s="318" t="s">
        <v>285</v>
      </c>
      <c r="E5" s="189"/>
      <c r="F5" s="189"/>
      <c r="G5" s="161"/>
      <c r="H5" s="161"/>
      <c r="I5" s="161"/>
      <c r="J5" s="296"/>
    </row>
    <row r="6" spans="1:12" ht="16.5" customHeight="1">
      <c r="A6" s="11">
        <v>1</v>
      </c>
      <c r="B6" s="297" t="s">
        <v>238</v>
      </c>
      <c r="C6" s="298"/>
      <c r="D6" s="12">
        <f>554.04</f>
        <v>554.04</v>
      </c>
      <c r="E6" s="12"/>
      <c r="F6" s="12"/>
      <c r="G6" s="12"/>
      <c r="H6" s="12"/>
      <c r="I6" s="12"/>
      <c r="J6" s="179" t="s">
        <v>297</v>
      </c>
    </row>
    <row r="7" spans="1:12" ht="16.5" customHeight="1">
      <c r="A7" s="11">
        <v>2</v>
      </c>
      <c r="B7" s="297" t="s">
        <v>236</v>
      </c>
      <c r="C7" s="298"/>
      <c r="D7" s="10">
        <v>-65</v>
      </c>
      <c r="E7" s="10"/>
      <c r="F7" s="10"/>
      <c r="G7" s="10"/>
      <c r="H7" s="10"/>
      <c r="I7" s="10"/>
      <c r="J7" s="316" t="s">
        <v>298</v>
      </c>
    </row>
    <row r="8" spans="1:12" ht="33" customHeight="1">
      <c r="A8" s="11">
        <v>3</v>
      </c>
      <c r="B8" s="297" t="s">
        <v>236</v>
      </c>
      <c r="C8" s="298"/>
      <c r="D8" s="12">
        <v>3.2</v>
      </c>
      <c r="E8" s="10"/>
      <c r="F8" s="12"/>
      <c r="G8" s="10"/>
      <c r="H8" s="12"/>
      <c r="I8" s="12"/>
      <c r="J8" s="315" t="s">
        <v>299</v>
      </c>
    </row>
    <row r="9" spans="1:12">
      <c r="A9" s="11">
        <v>4</v>
      </c>
      <c r="B9" s="297"/>
      <c r="C9" s="298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97"/>
      <c r="C10" s="298"/>
      <c r="D10" s="12"/>
      <c r="E10" s="10"/>
      <c r="F10" s="12"/>
      <c r="G10" s="10"/>
      <c r="H10" s="10"/>
      <c r="I10" s="10"/>
      <c r="J10" s="15"/>
      <c r="K10" s="303"/>
      <c r="L10" s="304"/>
    </row>
    <row r="11" spans="1:12" ht="16.5" customHeight="1">
      <c r="A11" s="11">
        <v>6</v>
      </c>
      <c r="B11" s="297"/>
      <c r="C11" s="298"/>
      <c r="D11" s="12"/>
      <c r="E11" s="10"/>
      <c r="F11" s="12"/>
      <c r="G11" s="10"/>
      <c r="H11" s="10"/>
      <c r="I11" s="10"/>
      <c r="J11" s="15"/>
      <c r="K11" s="303"/>
      <c r="L11" s="304"/>
    </row>
    <row r="12" spans="1:12" ht="16.5" customHeight="1">
      <c r="A12" s="11">
        <v>7</v>
      </c>
      <c r="B12" s="297"/>
      <c r="C12" s="298"/>
      <c r="D12" s="12"/>
      <c r="E12" s="10"/>
      <c r="F12" s="12"/>
      <c r="G12" s="10"/>
      <c r="H12" s="10"/>
      <c r="I12" s="10"/>
      <c r="J12" s="15"/>
      <c r="K12" s="303"/>
      <c r="L12" s="304"/>
    </row>
    <row r="13" spans="1:12" ht="16.5" customHeight="1">
      <c r="A13" s="11">
        <v>8</v>
      </c>
      <c r="B13" s="297"/>
      <c r="C13" s="298"/>
      <c r="D13" s="12"/>
      <c r="E13" s="10"/>
      <c r="F13" s="12"/>
      <c r="G13" s="10"/>
      <c r="H13" s="10"/>
      <c r="I13" s="10"/>
      <c r="J13" s="15"/>
      <c r="K13" s="303"/>
      <c r="L13" s="304"/>
    </row>
    <row r="14" spans="1:12" ht="16.5" customHeight="1">
      <c r="A14" s="11">
        <v>9</v>
      </c>
      <c r="B14" s="297"/>
      <c r="C14" s="298"/>
      <c r="D14" s="12"/>
      <c r="E14" s="10"/>
      <c r="F14" s="12"/>
      <c r="G14" s="10"/>
      <c r="H14" s="10"/>
      <c r="I14" s="10"/>
      <c r="J14" s="15"/>
      <c r="K14" s="303"/>
      <c r="L14" s="304"/>
    </row>
    <row r="15" spans="1:12" ht="16.5" customHeight="1">
      <c r="A15" s="11">
        <v>10</v>
      </c>
      <c r="B15" s="297"/>
      <c r="C15" s="298"/>
      <c r="D15" s="12"/>
      <c r="E15" s="10"/>
      <c r="F15" s="12"/>
      <c r="G15" s="10"/>
      <c r="H15" s="10"/>
      <c r="I15" s="10"/>
      <c r="J15" s="15"/>
      <c r="K15" s="303"/>
      <c r="L15" s="304"/>
    </row>
    <row r="16" spans="1:12" ht="16.5" customHeight="1">
      <c r="A16" s="11">
        <v>11</v>
      </c>
      <c r="B16" s="297"/>
      <c r="C16" s="298"/>
      <c r="D16" s="12"/>
      <c r="E16" s="10"/>
      <c r="F16" s="12"/>
      <c r="G16" s="10"/>
      <c r="H16" s="10"/>
      <c r="I16" s="10"/>
      <c r="J16" s="15"/>
      <c r="K16" s="303"/>
      <c r="L16" s="304"/>
    </row>
    <row r="17" spans="1:12" ht="16.5" customHeight="1">
      <c r="A17" s="11">
        <v>12</v>
      </c>
      <c r="B17" s="297"/>
      <c r="C17" s="298"/>
      <c r="D17" s="12"/>
      <c r="E17" s="10"/>
      <c r="F17" s="12"/>
      <c r="G17" s="10"/>
      <c r="H17" s="10"/>
      <c r="I17" s="10"/>
      <c r="J17" s="15"/>
      <c r="K17" s="303"/>
      <c r="L17" s="304"/>
    </row>
    <row r="18" spans="1:12" ht="16.5" customHeight="1">
      <c r="A18" s="11">
        <v>13</v>
      </c>
      <c r="B18" s="297"/>
      <c r="C18" s="298"/>
      <c r="D18" s="12"/>
      <c r="E18" s="10"/>
      <c r="F18" s="12"/>
      <c r="G18" s="10"/>
      <c r="H18" s="10"/>
      <c r="I18" s="10"/>
      <c r="J18" s="15"/>
      <c r="K18" s="303"/>
      <c r="L18" s="304"/>
    </row>
    <row r="19" spans="1:12" ht="16.5" customHeight="1">
      <c r="A19" s="11">
        <v>14</v>
      </c>
      <c r="B19" s="297"/>
      <c r="C19" s="298"/>
      <c r="D19" s="12"/>
      <c r="E19" s="10"/>
      <c r="F19" s="12"/>
      <c r="G19" s="10"/>
      <c r="H19" s="10"/>
      <c r="I19" s="10"/>
      <c r="J19" s="15"/>
      <c r="K19" s="303"/>
      <c r="L19" s="304"/>
    </row>
    <row r="20" spans="1:12" ht="16.5" customHeight="1">
      <c r="A20" s="11">
        <v>15</v>
      </c>
      <c r="B20" s="297"/>
      <c r="C20" s="298"/>
      <c r="D20" s="12"/>
      <c r="E20" s="12"/>
      <c r="F20" s="12"/>
      <c r="G20" s="12"/>
      <c r="H20" s="10"/>
      <c r="I20" s="10"/>
      <c r="J20" s="15"/>
      <c r="K20" s="303"/>
      <c r="L20" s="304"/>
    </row>
    <row r="21" spans="1:12" ht="16.5" customHeight="1">
      <c r="A21" s="11">
        <v>16</v>
      </c>
      <c r="B21" s="297"/>
      <c r="C21" s="298"/>
      <c r="D21" s="10"/>
      <c r="E21" s="12"/>
      <c r="F21" s="10"/>
      <c r="G21" s="12"/>
      <c r="H21" s="10"/>
      <c r="I21" s="10"/>
      <c r="J21" s="15"/>
      <c r="K21" s="303"/>
      <c r="L21" s="304"/>
    </row>
    <row r="22" spans="1:12" ht="16.5" customHeight="1">
      <c r="A22" s="11">
        <v>17</v>
      </c>
      <c r="B22" s="297"/>
      <c r="C22" s="298"/>
      <c r="D22" s="10"/>
      <c r="E22" s="12"/>
      <c r="F22" s="10"/>
      <c r="G22" s="12"/>
      <c r="H22" s="10"/>
      <c r="I22" s="10"/>
      <c r="J22" s="15"/>
      <c r="K22" s="303"/>
      <c r="L22" s="304"/>
    </row>
    <row r="23" spans="1:12" ht="16.5" customHeight="1">
      <c r="A23" s="11">
        <v>18</v>
      </c>
      <c r="B23" s="297"/>
      <c r="C23" s="298"/>
      <c r="D23" s="10"/>
      <c r="E23" s="12"/>
      <c r="F23" s="10"/>
      <c r="G23" s="12"/>
      <c r="H23" s="10"/>
      <c r="I23" s="10"/>
      <c r="J23" s="15"/>
      <c r="K23" s="303"/>
      <c r="L23" s="304"/>
    </row>
    <row r="24" spans="1:12" ht="16.5" customHeight="1">
      <c r="A24" s="11">
        <v>19</v>
      </c>
      <c r="B24" s="297"/>
      <c r="C24" s="298"/>
      <c r="D24" s="10"/>
      <c r="E24" s="12"/>
      <c r="F24" s="10"/>
      <c r="G24" s="12"/>
      <c r="H24" s="10"/>
      <c r="I24" s="10"/>
      <c r="J24" s="15"/>
      <c r="K24" s="303"/>
      <c r="L24" s="304"/>
    </row>
    <row r="25" spans="1:12">
      <c r="A25" s="11">
        <v>20</v>
      </c>
      <c r="B25" s="297"/>
      <c r="C25" s="298"/>
      <c r="D25" s="10"/>
      <c r="E25" s="12"/>
      <c r="F25" s="10"/>
      <c r="G25" s="12"/>
      <c r="H25" s="10"/>
      <c r="I25" s="10"/>
      <c r="J25" s="15"/>
      <c r="K25" s="303"/>
      <c r="L25" s="304"/>
    </row>
    <row r="26" spans="1:12">
      <c r="A26" s="11">
        <v>21</v>
      </c>
      <c r="B26" s="297"/>
      <c r="C26" s="298"/>
      <c r="D26" s="10"/>
      <c r="E26" s="12"/>
      <c r="F26" s="10"/>
      <c r="G26" s="12"/>
      <c r="H26" s="10"/>
      <c r="I26" s="10"/>
      <c r="J26" s="15"/>
      <c r="K26" s="303"/>
      <c r="L26" s="304"/>
    </row>
    <row r="27" spans="1:12">
      <c r="A27" s="11">
        <v>22</v>
      </c>
      <c r="B27" s="297"/>
      <c r="C27" s="298"/>
      <c r="D27" s="10"/>
      <c r="E27" s="12"/>
      <c r="F27" s="10"/>
      <c r="G27" s="12"/>
      <c r="H27" s="10"/>
      <c r="I27" s="10"/>
      <c r="J27" s="15"/>
      <c r="K27" s="303"/>
      <c r="L27" s="304"/>
    </row>
    <row r="28" spans="1:12">
      <c r="A28" s="11">
        <v>23</v>
      </c>
      <c r="B28" s="297"/>
      <c r="C28" s="298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97"/>
      <c r="C29" s="298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97"/>
      <c r="C30" s="298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97"/>
      <c r="C31" s="298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97"/>
      <c r="C32" s="298"/>
      <c r="D32" s="10"/>
      <c r="E32" s="10"/>
      <c r="F32" s="10"/>
      <c r="G32" s="10"/>
      <c r="H32" s="10"/>
      <c r="I32" s="10"/>
      <c r="J32" s="15"/>
    </row>
    <row r="33" spans="1:10" ht="31.5" customHeight="1">
      <c r="A33" s="299" t="s">
        <v>203</v>
      </c>
      <c r="B33" s="300"/>
      <c r="C33" s="301"/>
      <c r="D33" s="13">
        <f t="shared" ref="D33:I33" si="0">SUM(D6:D32)</f>
        <v>492.23999999999995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5"/>
      <c r="E34" s="165"/>
    </row>
    <row r="38" spans="1:10" ht="27.75" customHeight="1">
      <c r="D38" s="278" t="s">
        <v>301</v>
      </c>
      <c r="E38" s="278"/>
      <c r="F38" s="278"/>
      <c r="G38" s="278"/>
      <c r="H38" s="278"/>
      <c r="I38" s="278"/>
      <c r="J38" s="278"/>
    </row>
    <row r="39" spans="1:10">
      <c r="D39" s="282" t="s">
        <v>235</v>
      </c>
      <c r="E39" s="284" t="s">
        <v>236</v>
      </c>
      <c r="F39" s="285"/>
      <c r="G39" s="285"/>
      <c r="H39" s="285"/>
      <c r="I39" s="285"/>
      <c r="J39" s="286"/>
    </row>
    <row r="40" spans="1:10">
      <c r="D40" s="283"/>
      <c r="E40" s="169" t="s">
        <v>254</v>
      </c>
      <c r="F40" s="169" t="s">
        <v>255</v>
      </c>
      <c r="G40" s="169" t="s">
        <v>256</v>
      </c>
      <c r="H40" s="169" t="s">
        <v>257</v>
      </c>
      <c r="I40" s="177" t="s">
        <v>258</v>
      </c>
      <c r="J40" s="169"/>
    </row>
    <row r="41" spans="1:10" ht="28.5">
      <c r="D41" s="161" t="s">
        <v>239</v>
      </c>
      <c r="E41" s="174">
        <f>D33</f>
        <v>492.23999999999995</v>
      </c>
      <c r="F41" s="174">
        <f t="shared" ref="F41:G43" si="1">E41*(1-0.02)</f>
        <v>482.39519999999993</v>
      </c>
      <c r="G41" s="174">
        <f t="shared" si="1"/>
        <v>472.74729599999995</v>
      </c>
      <c r="H41" s="174">
        <f>G41*(1-0.02)</f>
        <v>463.29235007999995</v>
      </c>
      <c r="I41" s="174">
        <f>H41*(1-0.02)</f>
        <v>454.02650307839997</v>
      </c>
      <c r="J41" s="174"/>
    </row>
    <row r="42" spans="1:10">
      <c r="D42" s="15" t="s">
        <v>240</v>
      </c>
      <c r="E42" s="180">
        <f>E33</f>
        <v>0</v>
      </c>
      <c r="F42" s="174">
        <f t="shared" si="1"/>
        <v>0</v>
      </c>
      <c r="G42" s="174">
        <f t="shared" si="1"/>
        <v>0</v>
      </c>
      <c r="H42" s="174">
        <f t="shared" ref="F41:I46" si="2">G42*(1-0.05)</f>
        <v>0</v>
      </c>
      <c r="I42" s="174">
        <f t="shared" si="2"/>
        <v>0</v>
      </c>
      <c r="J42" s="174"/>
    </row>
    <row r="43" spans="1:10">
      <c r="D43" s="15" t="s">
        <v>241</v>
      </c>
      <c r="E43" s="180">
        <f>F33</f>
        <v>0</v>
      </c>
      <c r="F43" s="174">
        <f t="shared" si="1"/>
        <v>0</v>
      </c>
      <c r="G43" s="174">
        <f t="shared" si="1"/>
        <v>0</v>
      </c>
      <c r="H43" s="174">
        <f t="shared" si="2"/>
        <v>0</v>
      </c>
      <c r="I43" s="174">
        <f t="shared" si="2"/>
        <v>0</v>
      </c>
      <c r="J43" s="174"/>
    </row>
    <row r="44" spans="1:10">
      <c r="D44" s="15" t="s">
        <v>242</v>
      </c>
      <c r="E44" s="180">
        <f>G33</f>
        <v>0</v>
      </c>
      <c r="F44" s="174">
        <f t="shared" si="2"/>
        <v>0</v>
      </c>
      <c r="G44" s="174">
        <f t="shared" si="2"/>
        <v>0</v>
      </c>
      <c r="H44" s="174">
        <f t="shared" si="2"/>
        <v>0</v>
      </c>
      <c r="I44" s="174">
        <f t="shared" si="2"/>
        <v>0</v>
      </c>
      <c r="J44" s="174"/>
    </row>
    <row r="45" spans="1:10">
      <c r="D45" s="15" t="s">
        <v>243</v>
      </c>
      <c r="E45" s="180">
        <f>H33</f>
        <v>0</v>
      </c>
      <c r="F45" s="174">
        <f t="shared" si="2"/>
        <v>0</v>
      </c>
      <c r="G45" s="174">
        <f t="shared" si="2"/>
        <v>0</v>
      </c>
      <c r="H45" s="174">
        <f t="shared" si="2"/>
        <v>0</v>
      </c>
      <c r="I45" s="174">
        <f t="shared" si="2"/>
        <v>0</v>
      </c>
      <c r="J45" s="174"/>
    </row>
    <row r="46" spans="1:10">
      <c r="D46" s="15" t="s">
        <v>244</v>
      </c>
      <c r="E46" s="180">
        <f>I33</f>
        <v>0</v>
      </c>
      <c r="F46" s="174">
        <f t="shared" si="2"/>
        <v>0</v>
      </c>
      <c r="G46" s="174">
        <f t="shared" si="2"/>
        <v>0</v>
      </c>
      <c r="H46" s="174">
        <f t="shared" si="2"/>
        <v>0</v>
      </c>
      <c r="I46" s="174">
        <f t="shared" si="2"/>
        <v>0</v>
      </c>
      <c r="J46" s="174"/>
    </row>
    <row r="48" spans="1:10">
      <c r="I48" s="6" t="s">
        <v>293</v>
      </c>
      <c r="J48" s="6" t="s">
        <v>294</v>
      </c>
    </row>
    <row r="49" spans="9:10">
      <c r="I49" s="6" t="s">
        <v>292</v>
      </c>
      <c r="J49" s="6">
        <v>554.04</v>
      </c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xSplit="2" ySplit="1" topLeftCell="C2" activePane="bottomRight" state="frozen"/>
      <selection pane="topRight"/>
      <selection pane="bottomLeft"/>
      <selection pane="bottomRight" activeCell="G8" sqref="G8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215" t="s">
        <v>16</v>
      </c>
      <c r="B1" s="215" t="s">
        <v>204</v>
      </c>
      <c r="C1" s="215" t="s">
        <v>205</v>
      </c>
      <c r="D1" s="215" t="s">
        <v>206</v>
      </c>
      <c r="E1" s="215" t="s">
        <v>207</v>
      </c>
    </row>
    <row r="2" spans="1:6" ht="19.5" customHeight="1">
      <c r="A2" s="215">
        <v>1</v>
      </c>
      <c r="B2" s="215" t="s">
        <v>208</v>
      </c>
      <c r="C2" s="216" t="s">
        <v>276</v>
      </c>
      <c r="D2" s="215"/>
      <c r="E2" s="215"/>
    </row>
    <row r="3" spans="1:6" ht="19.5" customHeight="1">
      <c r="A3" s="215">
        <v>2</v>
      </c>
      <c r="B3" s="215" t="s">
        <v>209</v>
      </c>
      <c r="C3" s="217" t="s">
        <v>277</v>
      </c>
      <c r="D3" s="215"/>
      <c r="E3" s="215" t="s">
        <v>281</v>
      </c>
    </row>
    <row r="4" spans="1:6" ht="19.5" customHeight="1">
      <c r="A4" s="215">
        <v>3</v>
      </c>
      <c r="B4" s="215" t="s">
        <v>210</v>
      </c>
      <c r="C4" s="230" t="s">
        <v>278</v>
      </c>
      <c r="D4" s="215"/>
      <c r="E4" s="215" t="s">
        <v>282</v>
      </c>
    </row>
    <row r="5" spans="1:6" ht="19.5" customHeight="1">
      <c r="A5" s="215">
        <v>4</v>
      </c>
      <c r="B5" s="215" t="s">
        <v>211</v>
      </c>
      <c r="C5" s="216"/>
      <c r="D5" s="215"/>
      <c r="E5" s="215"/>
    </row>
    <row r="6" spans="1:6" ht="35.25" customHeight="1">
      <c r="A6" s="215">
        <v>5</v>
      </c>
      <c r="B6" s="215" t="s">
        <v>212</v>
      </c>
      <c r="C6" s="231"/>
      <c r="D6" s="215"/>
      <c r="E6" s="215"/>
    </row>
    <row r="7" spans="1:6" ht="37.5" customHeight="1">
      <c r="A7" s="215">
        <v>6</v>
      </c>
      <c r="B7" s="215" t="s">
        <v>213</v>
      </c>
      <c r="C7" s="217"/>
      <c r="D7" s="215"/>
      <c r="E7" s="215"/>
    </row>
    <row r="8" spans="1:6" ht="42.75" customHeight="1">
      <c r="A8" s="215">
        <v>7</v>
      </c>
      <c r="B8" s="215" t="s">
        <v>214</v>
      </c>
      <c r="C8" s="232" t="s">
        <v>280</v>
      </c>
      <c r="D8" s="215"/>
      <c r="E8" s="215"/>
    </row>
    <row r="9" spans="1:6" ht="39" customHeight="1">
      <c r="A9" s="215">
        <v>8</v>
      </c>
      <c r="B9" s="215" t="s">
        <v>215</v>
      </c>
      <c r="C9" s="231" t="s">
        <v>279</v>
      </c>
      <c r="D9" s="215"/>
      <c r="E9" s="215"/>
    </row>
    <row r="10" spans="1:6" ht="36" customHeight="1">
      <c r="A10" s="215">
        <v>9</v>
      </c>
      <c r="B10" s="215" t="s">
        <v>216</v>
      </c>
      <c r="C10" s="232"/>
      <c r="D10" s="215"/>
      <c r="E10" s="215"/>
    </row>
    <row r="11" spans="1:6" ht="35.25" customHeight="1">
      <c r="A11" s="215">
        <v>10</v>
      </c>
      <c r="B11" s="215" t="s">
        <v>217</v>
      </c>
      <c r="C11" s="216"/>
      <c r="D11" s="215"/>
      <c r="E11" s="215" t="s">
        <v>283</v>
      </c>
      <c r="F11" s="163" t="s">
        <v>271</v>
      </c>
    </row>
    <row r="12" spans="1:6" ht="19.5" customHeight="1">
      <c r="A12" s="215">
        <v>11</v>
      </c>
      <c r="B12" s="215" t="s">
        <v>218</v>
      </c>
      <c r="C12" s="216"/>
      <c r="D12" s="215"/>
      <c r="E12" s="215"/>
    </row>
    <row r="13" spans="1:6" ht="19.5" customHeight="1">
      <c r="A13" s="215">
        <v>12</v>
      </c>
      <c r="B13" s="215" t="s">
        <v>272</v>
      </c>
      <c r="C13" s="218"/>
      <c r="D13" s="215"/>
      <c r="E13" s="215"/>
    </row>
    <row r="14" spans="1:6">
      <c r="A14" s="215">
        <v>13</v>
      </c>
      <c r="B14" s="215" t="s">
        <v>273</v>
      </c>
      <c r="C14" s="218"/>
      <c r="D14" s="215"/>
      <c r="E14" s="215" t="s">
        <v>274</v>
      </c>
    </row>
    <row r="15" spans="1:6">
      <c r="A15" s="215">
        <v>14</v>
      </c>
      <c r="B15" s="215" t="s">
        <v>275</v>
      </c>
      <c r="C15" s="218"/>
      <c r="D15" s="215"/>
      <c r="E15" s="215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E11" sqref="E11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310" t="s">
        <v>219</v>
      </c>
      <c r="H1" s="310"/>
      <c r="I1" s="148"/>
    </row>
    <row r="2" spans="1:12" ht="39" customHeight="1">
      <c r="A2" s="311" t="s">
        <v>220</v>
      </c>
      <c r="B2" s="311"/>
      <c r="C2" s="305" t="s">
        <v>221</v>
      </c>
      <c r="D2" s="312"/>
      <c r="E2" s="312"/>
      <c r="F2" s="312"/>
      <c r="G2" s="312"/>
      <c r="H2" s="306"/>
      <c r="I2" s="149" t="s">
        <v>228</v>
      </c>
      <c r="K2" s="168"/>
      <c r="L2" s="168"/>
    </row>
    <row r="3" spans="1:12" ht="34.5" customHeight="1">
      <c r="A3" s="311"/>
      <c r="B3" s="311"/>
      <c r="C3" s="158" t="s">
        <v>230</v>
      </c>
      <c r="D3" s="158" t="s">
        <v>231</v>
      </c>
      <c r="E3" s="158" t="s">
        <v>229</v>
      </c>
      <c r="F3" s="159" t="s">
        <v>234</v>
      </c>
      <c r="G3" s="159" t="s">
        <v>233</v>
      </c>
      <c r="H3" s="159" t="s">
        <v>232</v>
      </c>
      <c r="I3" s="162">
        <f>销量!C8</f>
        <v>800</v>
      </c>
    </row>
    <row r="4" spans="1:12" ht="24" customHeight="1">
      <c r="A4" s="307" t="s">
        <v>222</v>
      </c>
      <c r="B4" s="307"/>
      <c r="C4" s="3"/>
      <c r="D4" s="151"/>
      <c r="E4" s="152">
        <f>$I$3*F4</f>
        <v>44.97598909796428</v>
      </c>
      <c r="F4" s="182">
        <v>5.6219986372455351E-2</v>
      </c>
      <c r="G4" s="152"/>
      <c r="H4" s="153">
        <v>4.48E-2</v>
      </c>
      <c r="I4" s="150">
        <v>4.3099999999999999E-2</v>
      </c>
      <c r="J4" s="166"/>
      <c r="K4" s="68"/>
      <c r="L4" s="68"/>
    </row>
    <row r="5" spans="1:12" ht="24" customHeight="1">
      <c r="A5" s="307" t="s">
        <v>223</v>
      </c>
      <c r="B5" s="154" t="s">
        <v>224</v>
      </c>
      <c r="C5" s="3"/>
      <c r="D5" s="151"/>
      <c r="E5" s="152">
        <f t="shared" ref="E5:E6" si="0">$I$3*F5</f>
        <v>36</v>
      </c>
      <c r="F5" s="153">
        <v>4.4999999999999998E-2</v>
      </c>
      <c r="G5" s="153"/>
      <c r="H5" s="153">
        <v>4.0399999999999998E-2</v>
      </c>
      <c r="J5" s="167"/>
      <c r="K5" s="68"/>
      <c r="L5" s="68"/>
    </row>
    <row r="6" spans="1:12" ht="24" customHeight="1">
      <c r="A6" s="307"/>
      <c r="B6" s="154" t="s">
        <v>225</v>
      </c>
      <c r="C6" s="3"/>
      <c r="D6" s="151"/>
      <c r="E6" s="152">
        <f t="shared" si="0"/>
        <v>12.060791680861284</v>
      </c>
      <c r="F6" s="182">
        <v>1.5075989601076605E-2</v>
      </c>
      <c r="G6" s="152"/>
      <c r="H6" s="153">
        <v>1.66E-2</v>
      </c>
      <c r="I6" s="150">
        <v>2.1700000000000001E-2</v>
      </c>
      <c r="J6" s="166"/>
      <c r="K6" s="68"/>
      <c r="L6" s="68"/>
    </row>
    <row r="7" spans="1:12" ht="24" customHeight="1">
      <c r="A7" s="305" t="s">
        <v>226</v>
      </c>
      <c r="B7" s="306"/>
      <c r="C7" s="155"/>
      <c r="D7" s="156"/>
      <c r="E7" s="152">
        <f>$I$3*F7</f>
        <v>93.036780778825573</v>
      </c>
      <c r="F7" s="181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6"/>
      <c r="K7" s="68"/>
      <c r="L7" s="68"/>
    </row>
    <row r="8" spans="1:12" ht="24" customHeight="1">
      <c r="A8" s="307" t="s">
        <v>48</v>
      </c>
      <c r="B8" s="307"/>
      <c r="C8" s="3"/>
      <c r="D8" s="151"/>
      <c r="E8" s="152">
        <f>$I$3*F8</f>
        <v>24</v>
      </c>
      <c r="F8" s="183">
        <v>0.03</v>
      </c>
      <c r="G8" s="152"/>
      <c r="H8" s="153">
        <f>1.97%+0.75%</f>
        <v>2.7199999999999998E-2</v>
      </c>
      <c r="J8" s="167"/>
      <c r="K8" s="68"/>
      <c r="L8" s="68"/>
    </row>
    <row r="9" spans="1:12" ht="24" customHeight="1">
      <c r="A9" s="308" t="s">
        <v>227</v>
      </c>
      <c r="B9" s="154" t="s">
        <v>224</v>
      </c>
      <c r="C9" s="3"/>
      <c r="D9" s="151"/>
      <c r="E9" s="152">
        <f>$I$3*F9</f>
        <v>5.6000000000000005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309"/>
      <c r="B10" s="154" t="s">
        <v>225</v>
      </c>
      <c r="C10" s="3"/>
      <c r="D10" s="151"/>
      <c r="E10" s="152">
        <f>$I$3*I10</f>
        <v>31.999999999999996</v>
      </c>
      <c r="F10" s="150">
        <f>2.8%+1.2%</f>
        <v>3.9999999999999994E-2</v>
      </c>
      <c r="G10" s="152"/>
      <c r="H10" s="153">
        <v>3.4099999999999998E-2</v>
      </c>
      <c r="I10" s="150">
        <f>2.8%+1.2%</f>
        <v>3.9999999999999994E-2</v>
      </c>
      <c r="J10" s="150"/>
      <c r="K10" s="68"/>
      <c r="L10" s="68"/>
    </row>
    <row r="11" spans="1:12" ht="24" customHeight="1">
      <c r="A11" s="307" t="s">
        <v>51</v>
      </c>
      <c r="B11" s="307"/>
      <c r="C11" s="3"/>
      <c r="D11" s="151"/>
      <c r="E11" s="152">
        <f t="shared" ref="E11" si="1">$I$3*F11</f>
        <v>32</v>
      </c>
      <c r="F11" s="153">
        <v>0.04</v>
      </c>
      <c r="G11" s="152"/>
      <c r="H11" s="153">
        <v>1.0999999999999999E-2</v>
      </c>
      <c r="I11" s="150">
        <v>0.03</v>
      </c>
      <c r="J11" s="150"/>
      <c r="K11" s="68"/>
      <c r="L11" s="68"/>
    </row>
    <row r="15" spans="1:12">
      <c r="A15" s="147"/>
      <c r="B15" s="147"/>
      <c r="C15" s="147"/>
      <c r="D15" s="147"/>
      <c r="E15" s="147"/>
      <c r="F15" s="147"/>
      <c r="G15" s="310" t="s">
        <v>219</v>
      </c>
      <c r="H15" s="310"/>
      <c r="I15" s="148"/>
    </row>
    <row r="16" spans="1:12">
      <c r="A16" s="311" t="s">
        <v>220</v>
      </c>
      <c r="B16" s="311"/>
      <c r="C16" s="305" t="s">
        <v>221</v>
      </c>
      <c r="D16" s="312"/>
      <c r="E16" s="312"/>
      <c r="F16" s="312"/>
      <c r="G16" s="312"/>
      <c r="H16" s="306"/>
      <c r="I16" s="149" t="s">
        <v>228</v>
      </c>
    </row>
    <row r="17" spans="1:9" ht="27">
      <c r="A17" s="311"/>
      <c r="B17" s="311"/>
      <c r="C17" s="158" t="s">
        <v>230</v>
      </c>
      <c r="D17" s="158" t="s">
        <v>231</v>
      </c>
      <c r="E17" s="158" t="s">
        <v>229</v>
      </c>
      <c r="F17" s="159" t="s">
        <v>234</v>
      </c>
      <c r="G17" s="159" t="s">
        <v>233</v>
      </c>
      <c r="H17" s="159" t="s">
        <v>232</v>
      </c>
      <c r="I17" s="162">
        <f>销量!D8</f>
        <v>0</v>
      </c>
    </row>
    <row r="18" spans="1:9">
      <c r="A18" s="307" t="s">
        <v>222</v>
      </c>
      <c r="B18" s="307"/>
      <c r="C18" s="3"/>
      <c r="D18" s="151"/>
      <c r="E18" s="152">
        <f>$I$17*F18</f>
        <v>0</v>
      </c>
      <c r="F18" s="182">
        <v>5.6219986372455351E-2</v>
      </c>
      <c r="G18" s="152"/>
      <c r="H18" s="153">
        <v>4.48E-2</v>
      </c>
      <c r="I18" s="150">
        <v>4.3099999999999999E-2</v>
      </c>
    </row>
    <row r="19" spans="1:9">
      <c r="A19" s="307" t="s">
        <v>223</v>
      </c>
      <c r="B19" s="178" t="s">
        <v>224</v>
      </c>
      <c r="C19" s="3"/>
      <c r="D19" s="151"/>
      <c r="E19" s="152">
        <f t="shared" ref="E19:E25" si="2">$I$17*F19</f>
        <v>0</v>
      </c>
      <c r="F19" s="153">
        <v>4.4999999999999998E-2</v>
      </c>
      <c r="G19" s="152"/>
      <c r="H19" s="153">
        <v>4.0399999999999998E-2</v>
      </c>
    </row>
    <row r="20" spans="1:9">
      <c r="A20" s="307"/>
      <c r="B20" s="178" t="s">
        <v>225</v>
      </c>
      <c r="C20" s="3"/>
      <c r="D20" s="151"/>
      <c r="E20" s="152">
        <f t="shared" si="2"/>
        <v>0</v>
      </c>
      <c r="F20" s="182">
        <v>1.5075989601076605E-2</v>
      </c>
      <c r="G20" s="152"/>
      <c r="H20" s="153">
        <v>1.66E-2</v>
      </c>
      <c r="I20" s="150">
        <v>2.1700000000000001E-2</v>
      </c>
    </row>
    <row r="21" spans="1:9">
      <c r="A21" s="305" t="s">
        <v>226</v>
      </c>
      <c r="B21" s="306"/>
      <c r="C21" s="155"/>
      <c r="D21" s="156"/>
      <c r="E21" s="152">
        <f t="shared" si="2"/>
        <v>0</v>
      </c>
      <c r="F21" s="181">
        <f>SUM(F18:F20)</f>
        <v>0.11629597597353196</v>
      </c>
      <c r="G21" s="152"/>
      <c r="H21" s="157">
        <f>SUM(H18:H20)</f>
        <v>0.1018</v>
      </c>
      <c r="I21" s="150">
        <f>SUM(I18:I20)</f>
        <v>6.4799999999999996E-2</v>
      </c>
    </row>
    <row r="22" spans="1:9">
      <c r="A22" s="307" t="s">
        <v>48</v>
      </c>
      <c r="B22" s="307"/>
      <c r="C22" s="3"/>
      <c r="D22" s="151"/>
      <c r="E22" s="152">
        <f t="shared" si="2"/>
        <v>0</v>
      </c>
      <c r="F22" s="183">
        <v>0.03</v>
      </c>
      <c r="G22" s="152"/>
      <c r="H22" s="153">
        <f>1.97%+0.75%</f>
        <v>2.7199999999999998E-2</v>
      </c>
    </row>
    <row r="23" spans="1:9">
      <c r="A23" s="308" t="s">
        <v>227</v>
      </c>
      <c r="B23" s="178" t="s">
        <v>224</v>
      </c>
      <c r="C23" s="3"/>
      <c r="D23" s="151"/>
      <c r="E23" s="152">
        <f t="shared" si="2"/>
        <v>0</v>
      </c>
      <c r="F23" s="153">
        <v>7.0000000000000001E-3</v>
      </c>
      <c r="G23" s="152"/>
      <c r="H23" s="153">
        <v>5.3E-3</v>
      </c>
    </row>
    <row r="24" spans="1:9">
      <c r="A24" s="309"/>
      <c r="B24" s="178" t="s">
        <v>225</v>
      </c>
      <c r="C24" s="3"/>
      <c r="D24" s="151"/>
      <c r="E24" s="152">
        <f>$I$17*I24</f>
        <v>0</v>
      </c>
      <c r="F24" s="150">
        <f>2.8%+1.2%</f>
        <v>3.9999999999999994E-2</v>
      </c>
      <c r="G24" s="152"/>
      <c r="H24" s="153">
        <v>3.4099999999999998E-2</v>
      </c>
      <c r="I24" s="150">
        <f>2.8%+1.2%</f>
        <v>3.9999999999999994E-2</v>
      </c>
    </row>
    <row r="25" spans="1:9">
      <c r="A25" s="307" t="s">
        <v>51</v>
      </c>
      <c r="B25" s="307"/>
      <c r="C25" s="3"/>
      <c r="D25" s="151"/>
      <c r="E25" s="152">
        <f t="shared" si="2"/>
        <v>0</v>
      </c>
      <c r="F25" s="153">
        <v>0.04</v>
      </c>
      <c r="G25" s="152"/>
      <c r="H25" s="153">
        <v>1.0999999999999999E-2</v>
      </c>
      <c r="I25" s="150">
        <v>0.03</v>
      </c>
    </row>
    <row r="29" spans="1:9">
      <c r="A29" s="147"/>
      <c r="B29" s="147"/>
      <c r="C29" s="147"/>
      <c r="D29" s="147"/>
      <c r="E29" s="147"/>
      <c r="F29" s="147"/>
      <c r="G29" s="310" t="s">
        <v>219</v>
      </c>
      <c r="H29" s="310"/>
      <c r="I29" s="148"/>
    </row>
    <row r="30" spans="1:9">
      <c r="A30" s="311" t="s">
        <v>220</v>
      </c>
      <c r="B30" s="311"/>
      <c r="C30" s="305" t="s">
        <v>221</v>
      </c>
      <c r="D30" s="312"/>
      <c r="E30" s="312"/>
      <c r="F30" s="312"/>
      <c r="G30" s="312"/>
      <c r="H30" s="306"/>
      <c r="I30" s="149" t="s">
        <v>228</v>
      </c>
    </row>
    <row r="31" spans="1:9" ht="27">
      <c r="A31" s="311"/>
      <c r="B31" s="311"/>
      <c r="C31" s="158" t="s">
        <v>230</v>
      </c>
      <c r="D31" s="158" t="s">
        <v>231</v>
      </c>
      <c r="E31" s="158" t="s">
        <v>229</v>
      </c>
      <c r="F31" s="159" t="s">
        <v>234</v>
      </c>
      <c r="G31" s="159" t="s">
        <v>233</v>
      </c>
      <c r="H31" s="159" t="s">
        <v>232</v>
      </c>
      <c r="I31" s="162">
        <f>销量!E8</f>
        <v>0</v>
      </c>
    </row>
    <row r="32" spans="1:9">
      <c r="A32" s="307" t="s">
        <v>222</v>
      </c>
      <c r="B32" s="307"/>
      <c r="C32" s="3"/>
      <c r="D32" s="151"/>
      <c r="E32" s="152">
        <f>$I$31*F32</f>
        <v>0</v>
      </c>
      <c r="F32" s="182">
        <v>5.6219986372455351E-2</v>
      </c>
      <c r="G32" s="152"/>
      <c r="H32" s="153">
        <v>4.48E-2</v>
      </c>
      <c r="I32" s="150">
        <v>4.3099999999999999E-2</v>
      </c>
    </row>
    <row r="33" spans="1:9">
      <c r="A33" s="307" t="s">
        <v>223</v>
      </c>
      <c r="B33" s="178" t="s">
        <v>224</v>
      </c>
      <c r="C33" s="3"/>
      <c r="D33" s="151"/>
      <c r="E33" s="152">
        <f t="shared" ref="E33:E39" si="3">$I$31*F33</f>
        <v>0</v>
      </c>
      <c r="F33" s="153">
        <v>4.4999999999999998E-2</v>
      </c>
      <c r="G33" s="152"/>
      <c r="H33" s="153">
        <v>4.0399999999999998E-2</v>
      </c>
    </row>
    <row r="34" spans="1:9">
      <c r="A34" s="307"/>
      <c r="B34" s="178" t="s">
        <v>225</v>
      </c>
      <c r="C34" s="3"/>
      <c r="D34" s="151"/>
      <c r="E34" s="152">
        <f t="shared" si="3"/>
        <v>0</v>
      </c>
      <c r="F34" s="182">
        <v>1.5075989601076605E-2</v>
      </c>
      <c r="G34" s="152"/>
      <c r="H34" s="153">
        <v>1.66E-2</v>
      </c>
      <c r="I34" s="150">
        <v>2.1700000000000001E-2</v>
      </c>
    </row>
    <row r="35" spans="1:9">
      <c r="A35" s="305" t="s">
        <v>226</v>
      </c>
      <c r="B35" s="306"/>
      <c r="C35" s="155"/>
      <c r="D35" s="156"/>
      <c r="E35" s="152">
        <f t="shared" si="3"/>
        <v>0</v>
      </c>
      <c r="F35" s="181">
        <f>SUM(F32:F34)</f>
        <v>0.11629597597353196</v>
      </c>
      <c r="G35" s="157"/>
      <c r="H35" s="157">
        <f>SUM(H32:H34)</f>
        <v>0.1018</v>
      </c>
      <c r="I35" s="150">
        <f>SUM(I32:I34)</f>
        <v>6.4799999999999996E-2</v>
      </c>
    </row>
    <row r="36" spans="1:9">
      <c r="A36" s="307" t="s">
        <v>48</v>
      </c>
      <c r="B36" s="307"/>
      <c r="C36" s="3"/>
      <c r="D36" s="151"/>
      <c r="E36" s="152">
        <f t="shared" si="3"/>
        <v>0</v>
      </c>
      <c r="F36" s="183">
        <v>0.03</v>
      </c>
      <c r="G36" s="152"/>
      <c r="H36" s="153">
        <f>1.97%+0.75%</f>
        <v>2.7199999999999998E-2</v>
      </c>
    </row>
    <row r="37" spans="1:9">
      <c r="A37" s="308" t="s">
        <v>227</v>
      </c>
      <c r="B37" s="178" t="s">
        <v>224</v>
      </c>
      <c r="C37" s="3"/>
      <c r="D37" s="151"/>
      <c r="E37" s="152">
        <f t="shared" si="3"/>
        <v>0</v>
      </c>
      <c r="F37" s="153">
        <v>7.0000000000000001E-3</v>
      </c>
      <c r="G37" s="152"/>
      <c r="H37" s="153">
        <v>5.3E-3</v>
      </c>
    </row>
    <row r="38" spans="1:9">
      <c r="A38" s="309"/>
      <c r="B38" s="178" t="s">
        <v>225</v>
      </c>
      <c r="C38" s="3"/>
      <c r="D38" s="151"/>
      <c r="E38" s="152">
        <f>$I$31*I38</f>
        <v>0</v>
      </c>
      <c r="F38" s="150">
        <f>2.8%+1.2%</f>
        <v>3.9999999999999994E-2</v>
      </c>
      <c r="G38" s="152"/>
      <c r="H38" s="153">
        <v>3.4099999999999998E-2</v>
      </c>
      <c r="I38" s="150">
        <f>2.8%+1.2%</f>
        <v>3.9999999999999994E-2</v>
      </c>
    </row>
    <row r="39" spans="1:9">
      <c r="A39" s="307" t="s">
        <v>51</v>
      </c>
      <c r="B39" s="307"/>
      <c r="C39" s="3"/>
      <c r="D39" s="151"/>
      <c r="E39" s="152">
        <f t="shared" si="3"/>
        <v>0</v>
      </c>
      <c r="F39" s="153">
        <v>0.04</v>
      </c>
      <c r="G39" s="152"/>
      <c r="H39" s="153">
        <v>1.0999999999999999E-2</v>
      </c>
      <c r="I39" s="150">
        <v>0.03</v>
      </c>
    </row>
    <row r="42" spans="1:9">
      <c r="A42" s="147"/>
      <c r="B42" s="147"/>
      <c r="C42" s="147"/>
      <c r="D42" s="147"/>
      <c r="E42" s="147"/>
      <c r="F42" s="147"/>
      <c r="G42" s="310" t="s">
        <v>219</v>
      </c>
      <c r="H42" s="310"/>
      <c r="I42" s="148"/>
    </row>
    <row r="43" spans="1:9">
      <c r="A43" s="311" t="s">
        <v>220</v>
      </c>
      <c r="B43" s="311"/>
      <c r="C43" s="305" t="s">
        <v>221</v>
      </c>
      <c r="D43" s="312"/>
      <c r="E43" s="312"/>
      <c r="F43" s="312"/>
      <c r="G43" s="312"/>
      <c r="H43" s="306"/>
      <c r="I43" s="149" t="s">
        <v>228</v>
      </c>
    </row>
    <row r="44" spans="1:9" ht="27">
      <c r="A44" s="311"/>
      <c r="B44" s="311"/>
      <c r="C44" s="158" t="s">
        <v>230</v>
      </c>
      <c r="D44" s="158" t="s">
        <v>231</v>
      </c>
      <c r="E44" s="158" t="s">
        <v>229</v>
      </c>
      <c r="F44" s="159" t="s">
        <v>234</v>
      </c>
      <c r="G44" s="159" t="s">
        <v>233</v>
      </c>
      <c r="H44" s="159" t="s">
        <v>232</v>
      </c>
      <c r="I44" s="162">
        <f>销量!F8</f>
        <v>0</v>
      </c>
    </row>
    <row r="45" spans="1:9">
      <c r="A45" s="307" t="s">
        <v>222</v>
      </c>
      <c r="B45" s="307"/>
      <c r="C45" s="3"/>
      <c r="D45" s="151"/>
      <c r="E45" s="152">
        <f>$I$44*F45</f>
        <v>0</v>
      </c>
      <c r="F45" s="182">
        <v>5.6219986372455351E-2</v>
      </c>
      <c r="G45" s="152"/>
      <c r="H45" s="153">
        <v>4.48E-2</v>
      </c>
      <c r="I45" s="150">
        <v>4.3099999999999999E-2</v>
      </c>
    </row>
    <row r="46" spans="1:9">
      <c r="A46" s="307" t="s">
        <v>223</v>
      </c>
      <c r="B46" s="178" t="s">
        <v>224</v>
      </c>
      <c r="C46" s="3"/>
      <c r="D46" s="151"/>
      <c r="E46" s="152">
        <f t="shared" ref="E46:E52" si="4">$I$44*F46</f>
        <v>0</v>
      </c>
      <c r="F46" s="153">
        <v>4.4999999999999998E-2</v>
      </c>
      <c r="G46" s="152"/>
      <c r="H46" s="153">
        <v>4.0399999999999998E-2</v>
      </c>
    </row>
    <row r="47" spans="1:9">
      <c r="A47" s="307"/>
      <c r="B47" s="178" t="s">
        <v>225</v>
      </c>
      <c r="C47" s="3"/>
      <c r="D47" s="151"/>
      <c r="E47" s="152">
        <f t="shared" si="4"/>
        <v>0</v>
      </c>
      <c r="F47" s="182">
        <v>1.5075989601076605E-2</v>
      </c>
      <c r="G47" s="152"/>
      <c r="H47" s="153">
        <v>1.66E-2</v>
      </c>
      <c r="I47" s="150">
        <v>2.1700000000000001E-2</v>
      </c>
    </row>
    <row r="48" spans="1:9">
      <c r="A48" s="305" t="s">
        <v>226</v>
      </c>
      <c r="B48" s="306"/>
      <c r="C48" s="155"/>
      <c r="D48" s="156"/>
      <c r="E48" s="152">
        <f t="shared" si="4"/>
        <v>0</v>
      </c>
      <c r="F48" s="181">
        <f>SUM(F45:F47)</f>
        <v>0.11629597597353196</v>
      </c>
      <c r="G48" s="157"/>
      <c r="H48" s="157">
        <f>SUM(H45:H47)</f>
        <v>0.1018</v>
      </c>
      <c r="I48" s="150">
        <f>SUM(I45:I47)</f>
        <v>6.4799999999999996E-2</v>
      </c>
    </row>
    <row r="49" spans="1:9">
      <c r="A49" s="307" t="s">
        <v>48</v>
      </c>
      <c r="B49" s="307"/>
      <c r="C49" s="3"/>
      <c r="D49" s="151"/>
      <c r="E49" s="152">
        <f t="shared" si="4"/>
        <v>0</v>
      </c>
      <c r="F49" s="183">
        <v>0.03</v>
      </c>
      <c r="G49" s="152"/>
      <c r="H49" s="153">
        <f>1.97%+0.75%</f>
        <v>2.7199999999999998E-2</v>
      </c>
    </row>
    <row r="50" spans="1:9">
      <c r="A50" s="308" t="s">
        <v>227</v>
      </c>
      <c r="B50" s="178" t="s">
        <v>224</v>
      </c>
      <c r="C50" s="3"/>
      <c r="D50" s="151"/>
      <c r="E50" s="152">
        <f t="shared" si="4"/>
        <v>0</v>
      </c>
      <c r="F50" s="153">
        <v>7.0000000000000001E-3</v>
      </c>
      <c r="G50" s="152"/>
      <c r="H50" s="153">
        <v>5.3E-3</v>
      </c>
    </row>
    <row r="51" spans="1:9">
      <c r="A51" s="309"/>
      <c r="B51" s="178" t="s">
        <v>225</v>
      </c>
      <c r="C51" s="3"/>
      <c r="D51" s="151"/>
      <c r="E51" s="152">
        <f>$I$44*I51</f>
        <v>0</v>
      </c>
      <c r="F51" s="150">
        <f>2.8%+1.2%</f>
        <v>3.9999999999999994E-2</v>
      </c>
      <c r="G51" s="152"/>
      <c r="H51" s="153">
        <v>3.4099999999999998E-2</v>
      </c>
      <c r="I51" s="150">
        <f>2.8%+1.2%</f>
        <v>3.9999999999999994E-2</v>
      </c>
    </row>
    <row r="52" spans="1:9">
      <c r="A52" s="307" t="s">
        <v>51</v>
      </c>
      <c r="B52" s="307"/>
      <c r="C52" s="3"/>
      <c r="D52" s="151"/>
      <c r="E52" s="152">
        <f t="shared" si="4"/>
        <v>0</v>
      </c>
      <c r="F52" s="153">
        <v>0.04</v>
      </c>
      <c r="G52" s="152"/>
      <c r="H52" s="153">
        <v>1.0999999999999999E-2</v>
      </c>
      <c r="I52" s="150">
        <v>0.03</v>
      </c>
    </row>
    <row r="55" spans="1:9">
      <c r="A55" s="147"/>
      <c r="B55" s="147"/>
      <c r="C55" s="147"/>
      <c r="D55" s="147"/>
      <c r="E55" s="147"/>
      <c r="F55" s="147"/>
      <c r="G55" s="310" t="s">
        <v>219</v>
      </c>
      <c r="H55" s="310"/>
      <c r="I55" s="148"/>
    </row>
    <row r="56" spans="1:9">
      <c r="A56" s="311" t="s">
        <v>220</v>
      </c>
      <c r="B56" s="311"/>
      <c r="C56" s="305" t="s">
        <v>221</v>
      </c>
      <c r="D56" s="312"/>
      <c r="E56" s="312"/>
      <c r="F56" s="312"/>
      <c r="G56" s="312"/>
      <c r="H56" s="306"/>
      <c r="I56" s="149" t="s">
        <v>228</v>
      </c>
    </row>
    <row r="57" spans="1:9" ht="27">
      <c r="A57" s="311"/>
      <c r="B57" s="311"/>
      <c r="C57" s="158" t="s">
        <v>230</v>
      </c>
      <c r="D57" s="158" t="s">
        <v>231</v>
      </c>
      <c r="E57" s="158" t="s">
        <v>229</v>
      </c>
      <c r="F57" s="159" t="s">
        <v>234</v>
      </c>
      <c r="G57" s="159" t="s">
        <v>233</v>
      </c>
      <c r="H57" s="159" t="s">
        <v>232</v>
      </c>
      <c r="I57" s="162">
        <f>销量!G8</f>
        <v>0</v>
      </c>
    </row>
    <row r="58" spans="1:9">
      <c r="A58" s="307" t="s">
        <v>222</v>
      </c>
      <c r="B58" s="307"/>
      <c r="C58" s="3"/>
      <c r="D58" s="151"/>
      <c r="E58" s="152">
        <f>$I$57*F58</f>
        <v>0</v>
      </c>
      <c r="F58" s="182">
        <v>5.6219986372455351E-2</v>
      </c>
      <c r="G58" s="152"/>
      <c r="H58" s="153">
        <v>4.48E-2</v>
      </c>
      <c r="I58" s="150">
        <v>4.3099999999999999E-2</v>
      </c>
    </row>
    <row r="59" spans="1:9">
      <c r="A59" s="307" t="s">
        <v>223</v>
      </c>
      <c r="B59" s="178" t="s">
        <v>224</v>
      </c>
      <c r="C59" s="3"/>
      <c r="D59" s="151"/>
      <c r="E59" s="152">
        <f t="shared" ref="E59:E65" si="5">$I$57*F59</f>
        <v>0</v>
      </c>
      <c r="F59" s="153">
        <v>4.4999999999999998E-2</v>
      </c>
      <c r="G59" s="152"/>
      <c r="H59" s="153">
        <v>4.0399999999999998E-2</v>
      </c>
    </row>
    <row r="60" spans="1:9">
      <c r="A60" s="307"/>
      <c r="B60" s="178" t="s">
        <v>225</v>
      </c>
      <c r="C60" s="3"/>
      <c r="D60" s="151"/>
      <c r="E60" s="152">
        <f t="shared" si="5"/>
        <v>0</v>
      </c>
      <c r="F60" s="182">
        <v>1.5075989601076605E-2</v>
      </c>
      <c r="G60" s="152"/>
      <c r="H60" s="153">
        <v>1.66E-2</v>
      </c>
      <c r="I60" s="150">
        <v>2.1700000000000001E-2</v>
      </c>
    </row>
    <row r="61" spans="1:9">
      <c r="A61" s="305" t="s">
        <v>226</v>
      </c>
      <c r="B61" s="306"/>
      <c r="C61" s="155"/>
      <c r="D61" s="156"/>
      <c r="E61" s="152">
        <f t="shared" si="5"/>
        <v>0</v>
      </c>
      <c r="F61" s="157">
        <f t="shared" ref="F61" si="6">SUM(F58:F60)</f>
        <v>0.11629597597353196</v>
      </c>
      <c r="G61" s="157"/>
      <c r="H61" s="157">
        <f>SUM(H58:H60)</f>
        <v>0.1018</v>
      </c>
      <c r="I61" s="150">
        <f>SUM(I58:I60)</f>
        <v>6.4799999999999996E-2</v>
      </c>
    </row>
    <row r="62" spans="1:9">
      <c r="A62" s="307" t="s">
        <v>48</v>
      </c>
      <c r="B62" s="307"/>
      <c r="C62" s="3"/>
      <c r="D62" s="151"/>
      <c r="E62" s="152">
        <f t="shared" si="5"/>
        <v>0</v>
      </c>
      <c r="F62" s="183">
        <v>0.03</v>
      </c>
      <c r="G62" s="152"/>
      <c r="H62" s="153">
        <f>1.97%+0.75%</f>
        <v>2.7199999999999998E-2</v>
      </c>
    </row>
    <row r="63" spans="1:9">
      <c r="A63" s="308" t="s">
        <v>227</v>
      </c>
      <c r="B63" s="178" t="s">
        <v>224</v>
      </c>
      <c r="C63" s="3"/>
      <c r="D63" s="151"/>
      <c r="E63" s="152">
        <f t="shared" si="5"/>
        <v>0</v>
      </c>
      <c r="F63" s="153">
        <v>7.0000000000000001E-3</v>
      </c>
      <c r="G63" s="152"/>
      <c r="H63" s="153">
        <v>5.3E-3</v>
      </c>
    </row>
    <row r="64" spans="1:9">
      <c r="A64" s="309"/>
      <c r="B64" s="178" t="s">
        <v>225</v>
      </c>
      <c r="C64" s="3"/>
      <c r="D64" s="151"/>
      <c r="E64" s="152">
        <f>$I$57*I64</f>
        <v>0</v>
      </c>
      <c r="F64" s="150">
        <f>2.8%+1.2%</f>
        <v>3.9999999999999994E-2</v>
      </c>
      <c r="G64" s="152"/>
      <c r="H64" s="153">
        <v>3.4099999999999998E-2</v>
      </c>
      <c r="I64" s="150">
        <f>2.8%+1.2%</f>
        <v>3.9999999999999994E-2</v>
      </c>
    </row>
    <row r="65" spans="1:9">
      <c r="A65" s="307" t="s">
        <v>51</v>
      </c>
      <c r="B65" s="307"/>
      <c r="C65" s="3"/>
      <c r="D65" s="151"/>
      <c r="E65" s="152">
        <f t="shared" si="5"/>
        <v>0</v>
      </c>
      <c r="F65" s="153">
        <v>4.2000000000000003E-2</v>
      </c>
      <c r="G65" s="152"/>
      <c r="H65" s="153">
        <v>1.0999999999999999E-2</v>
      </c>
      <c r="I65" s="150">
        <v>0.03</v>
      </c>
    </row>
    <row r="68" spans="1:9">
      <c r="A68" s="147"/>
      <c r="B68" s="147"/>
      <c r="C68" s="147"/>
      <c r="D68" s="147"/>
      <c r="E68" s="147"/>
      <c r="F68" s="147"/>
      <c r="G68" s="310" t="s">
        <v>219</v>
      </c>
      <c r="H68" s="310"/>
      <c r="I68" s="148"/>
    </row>
    <row r="69" spans="1:9">
      <c r="A69" s="311" t="s">
        <v>220</v>
      </c>
      <c r="B69" s="311"/>
      <c r="C69" s="305" t="s">
        <v>221</v>
      </c>
      <c r="D69" s="312"/>
      <c r="E69" s="312"/>
      <c r="F69" s="312"/>
      <c r="G69" s="312"/>
      <c r="H69" s="306"/>
      <c r="I69" s="149" t="s">
        <v>228</v>
      </c>
    </row>
    <row r="70" spans="1:9" ht="27">
      <c r="A70" s="311"/>
      <c r="B70" s="311"/>
      <c r="C70" s="158" t="s">
        <v>230</v>
      </c>
      <c r="D70" s="158" t="s">
        <v>231</v>
      </c>
      <c r="E70" s="158" t="s">
        <v>229</v>
      </c>
      <c r="F70" s="159" t="s">
        <v>234</v>
      </c>
      <c r="G70" s="159" t="s">
        <v>233</v>
      </c>
      <c r="H70" s="159" t="s">
        <v>232</v>
      </c>
      <c r="I70" s="162">
        <f>销量!H8</f>
        <v>0</v>
      </c>
    </row>
    <row r="71" spans="1:9">
      <c r="A71" s="307" t="s">
        <v>222</v>
      </c>
      <c r="B71" s="307"/>
      <c r="C71" s="3"/>
      <c r="D71" s="151"/>
      <c r="E71" s="152">
        <f>$I$70*F71</f>
        <v>0</v>
      </c>
      <c r="F71" s="182">
        <v>5.6219986372455351E-2</v>
      </c>
      <c r="G71" s="152"/>
      <c r="H71" s="153">
        <v>4.48E-2</v>
      </c>
      <c r="I71" s="150">
        <v>4.3099999999999999E-2</v>
      </c>
    </row>
    <row r="72" spans="1:9">
      <c r="A72" s="307" t="s">
        <v>223</v>
      </c>
      <c r="B72" s="178" t="s">
        <v>224</v>
      </c>
      <c r="C72" s="3"/>
      <c r="D72" s="151"/>
      <c r="E72" s="152">
        <f t="shared" ref="E72:E78" si="7">$I$70*F72</f>
        <v>0</v>
      </c>
      <c r="F72" s="153">
        <v>4.4999999999999998E-2</v>
      </c>
      <c r="G72" s="152"/>
      <c r="H72" s="153">
        <v>4.0399999999999998E-2</v>
      </c>
    </row>
    <row r="73" spans="1:9">
      <c r="A73" s="307"/>
      <c r="B73" s="178" t="s">
        <v>225</v>
      </c>
      <c r="C73" s="3"/>
      <c r="D73" s="151"/>
      <c r="E73" s="152">
        <f t="shared" si="7"/>
        <v>0</v>
      </c>
      <c r="F73" s="182">
        <v>1.5075989601076605E-2</v>
      </c>
      <c r="G73" s="152"/>
      <c r="H73" s="153">
        <v>1.66E-2</v>
      </c>
      <c r="I73" s="150">
        <v>2.1700000000000001E-2</v>
      </c>
    </row>
    <row r="74" spans="1:9">
      <c r="A74" s="305" t="s">
        <v>226</v>
      </c>
      <c r="B74" s="306"/>
      <c r="C74" s="155"/>
      <c r="D74" s="156"/>
      <c r="E74" s="152">
        <f t="shared" si="7"/>
        <v>0</v>
      </c>
      <c r="F74" s="157">
        <f t="shared" ref="F74" si="8">SUM(F71:F73)</f>
        <v>0.11629597597353196</v>
      </c>
      <c r="G74" s="157"/>
      <c r="H74" s="157">
        <f>SUM(H71:H73)</f>
        <v>0.1018</v>
      </c>
      <c r="I74" s="150">
        <f>SUM(I71:I73)</f>
        <v>6.4799999999999996E-2</v>
      </c>
    </row>
    <row r="75" spans="1:9">
      <c r="A75" s="307" t="s">
        <v>48</v>
      </c>
      <c r="B75" s="307"/>
      <c r="C75" s="3"/>
      <c r="D75" s="151"/>
      <c r="E75" s="152">
        <f t="shared" si="7"/>
        <v>0</v>
      </c>
      <c r="F75" s="183">
        <v>0.03</v>
      </c>
      <c r="G75" s="152"/>
      <c r="H75" s="153">
        <f>1.97%+0.75%</f>
        <v>2.7199999999999998E-2</v>
      </c>
    </row>
    <row r="76" spans="1:9">
      <c r="A76" s="308" t="s">
        <v>227</v>
      </c>
      <c r="B76" s="178" t="s">
        <v>224</v>
      </c>
      <c r="C76" s="3"/>
      <c r="D76" s="151"/>
      <c r="E76" s="152">
        <f t="shared" si="7"/>
        <v>0</v>
      </c>
      <c r="F76" s="153">
        <v>7.0000000000000001E-3</v>
      </c>
      <c r="G76" s="152"/>
      <c r="H76" s="153">
        <v>5.3E-3</v>
      </c>
    </row>
    <row r="77" spans="1:9">
      <c r="A77" s="309"/>
      <c r="B77" s="178" t="s">
        <v>225</v>
      </c>
      <c r="C77" s="3"/>
      <c r="D77" s="151"/>
      <c r="E77" s="152">
        <f>$I$70*I77</f>
        <v>0</v>
      </c>
      <c r="F77" s="150">
        <f>2.8%+1.2%</f>
        <v>3.9999999999999994E-2</v>
      </c>
      <c r="G77" s="152"/>
      <c r="H77" s="153">
        <v>3.4099999999999998E-2</v>
      </c>
      <c r="I77" s="150">
        <f>2.8%+1.2%</f>
        <v>3.9999999999999994E-2</v>
      </c>
    </row>
    <row r="78" spans="1:9">
      <c r="A78" s="307" t="s">
        <v>51</v>
      </c>
      <c r="B78" s="307"/>
      <c r="C78" s="3"/>
      <c r="D78" s="151"/>
      <c r="E78" s="152">
        <f t="shared" si="7"/>
        <v>0</v>
      </c>
      <c r="F78" s="153">
        <v>4.2000000000000003E-2</v>
      </c>
      <c r="G78" s="152"/>
      <c r="H78" s="153">
        <v>1.0999999999999999E-2</v>
      </c>
      <c r="I78" s="150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F6" sqref="F6"/>
    </sheetView>
  </sheetViews>
  <sheetFormatPr defaultRowHeight="13.5"/>
  <cols>
    <col min="2" max="2" width="17.25" style="203" bestFit="1" customWidth="1"/>
    <col min="3" max="3" width="40.625" style="208" bestFit="1" customWidth="1"/>
    <col min="4" max="4" width="31.75" style="208" bestFit="1" customWidth="1"/>
    <col min="5" max="5" width="11.625" bestFit="1" customWidth="1"/>
    <col min="6" max="6" width="11.75" style="203" customWidth="1"/>
    <col min="7" max="7" width="12.375" customWidth="1"/>
    <col min="8" max="8" width="11.625" customWidth="1"/>
  </cols>
  <sheetData>
    <row r="2" spans="2:9" ht="18.75">
      <c r="B2" s="313" t="s">
        <v>261</v>
      </c>
      <c r="C2" s="313"/>
      <c r="D2" s="313"/>
      <c r="E2" s="313"/>
      <c r="F2" s="313"/>
      <c r="G2" s="313"/>
      <c r="H2" s="313"/>
      <c r="I2" s="313"/>
    </row>
    <row r="3" spans="2:9">
      <c r="B3" s="192" t="s">
        <v>262</v>
      </c>
      <c r="C3" s="192" t="s">
        <v>263</v>
      </c>
      <c r="D3" s="204" t="s">
        <v>269</v>
      </c>
      <c r="E3" s="193" t="s">
        <v>264</v>
      </c>
      <c r="F3" s="204" t="s">
        <v>265</v>
      </c>
      <c r="G3" s="193" t="s">
        <v>266</v>
      </c>
      <c r="H3" s="194" t="s">
        <v>267</v>
      </c>
      <c r="I3" s="193" t="s">
        <v>268</v>
      </c>
    </row>
    <row r="4" spans="2:9" ht="16.5">
      <c r="B4" s="201" t="str">
        <f>销量!C6</f>
        <v>YZ16625200010</v>
      </c>
      <c r="C4" s="200" t="str">
        <f>销量!C5</f>
        <v>副驾驶员座椅</v>
      </c>
      <c r="D4" s="200">
        <f>销量!C7</f>
        <v>0</v>
      </c>
      <c r="E4" s="12">
        <f>材料成本!D33</f>
        <v>492.23999999999995</v>
      </c>
      <c r="F4" s="205">
        <f>销量!C8</f>
        <v>800</v>
      </c>
      <c r="G4" s="195">
        <f>F4-E4</f>
        <v>307.76000000000005</v>
      </c>
      <c r="H4" s="196">
        <f>G4/F4</f>
        <v>0.38470000000000004</v>
      </c>
      <c r="I4" s="197"/>
    </row>
    <row r="5" spans="2:9" ht="16.5">
      <c r="B5" s="202">
        <f>销量!D6</f>
        <v>0</v>
      </c>
      <c r="C5" s="202">
        <f>销量!D5</f>
        <v>0</v>
      </c>
      <c r="D5" s="202">
        <f>销量!D7</f>
        <v>0</v>
      </c>
      <c r="E5" s="12">
        <f>材料成本!E33</f>
        <v>0</v>
      </c>
      <c r="F5" s="206">
        <f>销量!D8</f>
        <v>0</v>
      </c>
      <c r="G5" s="195">
        <f>F5-E5</f>
        <v>0</v>
      </c>
      <c r="H5" s="196" t="e">
        <f>G5/F5</f>
        <v>#DIV/0!</v>
      </c>
      <c r="I5" s="197"/>
    </row>
    <row r="6" spans="2:9" ht="16.5">
      <c r="B6" s="202">
        <f>销量!E6</f>
        <v>0</v>
      </c>
      <c r="C6" s="202">
        <f>销量!E5</f>
        <v>0</v>
      </c>
      <c r="D6" s="202">
        <f>销量!E7</f>
        <v>0</v>
      </c>
      <c r="E6" s="12">
        <f>材料成本!F33</f>
        <v>0</v>
      </c>
      <c r="F6" s="206">
        <f>销量!E8</f>
        <v>0</v>
      </c>
      <c r="G6" s="195">
        <f t="shared" ref="G6" si="0">F6-E6</f>
        <v>0</v>
      </c>
      <c r="H6" s="196" t="e">
        <f t="shared" ref="H6" si="1">G6/F6</f>
        <v>#DIV/0!</v>
      </c>
      <c r="I6" s="198"/>
    </row>
    <row r="7" spans="2:9">
      <c r="B7" s="200">
        <f>销量!F6</f>
        <v>0</v>
      </c>
      <c r="C7" s="202">
        <f>销量!F5</f>
        <v>0</v>
      </c>
      <c r="D7" s="202"/>
      <c r="E7" s="195"/>
      <c r="F7" s="207"/>
      <c r="G7" s="195"/>
      <c r="H7" s="196"/>
      <c r="I7" s="199"/>
    </row>
    <row r="8" spans="2:9">
      <c r="E8" s="213">
        <f>SUM(E4:E7)</f>
        <v>492.23999999999995</v>
      </c>
      <c r="F8" s="213">
        <f>SUM(F4:F7)</f>
        <v>800</v>
      </c>
      <c r="G8" s="213">
        <f>SUM(G4:G7)</f>
        <v>307.76000000000005</v>
      </c>
      <c r="H8" s="196">
        <f>G8/F8</f>
        <v>0.38470000000000004</v>
      </c>
    </row>
    <row r="11" spans="2:9">
      <c r="E11" s="214"/>
    </row>
  </sheetData>
  <mergeCells count="1">
    <mergeCell ref="B2:I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G2" sqref="G2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3" width="14.5" style="111" customWidth="1"/>
    <col min="4" max="5" width="13" style="111" customWidth="1"/>
    <col min="6" max="6" width="16.5" style="111" customWidth="1"/>
    <col min="7" max="7" width="15.5" style="110" customWidth="1"/>
    <col min="8" max="33" width="9" style="110"/>
    <col min="34" max="34" width="4.375" style="110" customWidth="1"/>
    <col min="35" max="35" width="13.875" style="110" customWidth="1"/>
    <col min="36" max="16384" width="9" style="110"/>
  </cols>
  <sheetData>
    <row r="1" spans="1:36" ht="27" customHeight="1">
      <c r="A1" s="247" t="s">
        <v>295</v>
      </c>
      <c r="B1" s="247"/>
      <c r="C1" s="247"/>
      <c r="D1" s="247"/>
      <c r="E1" s="247"/>
      <c r="F1" s="247"/>
    </row>
    <row r="2" spans="1:36" ht="15.75" customHeight="1">
      <c r="A2" s="248" t="s">
        <v>16</v>
      </c>
      <c r="B2" s="112" t="s">
        <v>1</v>
      </c>
      <c r="C2" s="112" t="s">
        <v>245</v>
      </c>
      <c r="D2" s="112" t="s">
        <v>246</v>
      </c>
      <c r="E2" s="112" t="s">
        <v>247</v>
      </c>
      <c r="F2" s="51" t="s">
        <v>18</v>
      </c>
      <c r="AJ2" s="110" t="s">
        <v>19</v>
      </c>
    </row>
    <row r="3" spans="1:36" s="48" customFormat="1" ht="15.75" customHeight="1">
      <c r="A3" s="249"/>
      <c r="B3" s="53" t="s">
        <v>3</v>
      </c>
      <c r="C3" s="113">
        <f>'2022年'!D6</f>
        <v>300</v>
      </c>
      <c r="D3" s="113">
        <f>'2023年'!D6</f>
        <v>2000</v>
      </c>
      <c r="E3" s="113">
        <f>'2024年'!D6</f>
        <v>2000</v>
      </c>
      <c r="F3" s="113">
        <f t="shared" ref="F3:F11" si="0">SUM(C3:E3)</f>
        <v>4300</v>
      </c>
      <c r="G3" s="69"/>
      <c r="AH3" s="52" t="s">
        <v>16</v>
      </c>
      <c r="AI3" s="53" t="s">
        <v>3</v>
      </c>
      <c r="AJ3" s="48" t="s">
        <v>20</v>
      </c>
    </row>
    <row r="4" spans="1:36" s="48" customFormat="1" ht="15.75" customHeight="1">
      <c r="A4" s="62">
        <v>1</v>
      </c>
      <c r="B4" s="53" t="s">
        <v>21</v>
      </c>
      <c r="C4" s="113">
        <f>'2022年'!D7</f>
        <v>240000</v>
      </c>
      <c r="D4" s="113">
        <f>'2023年'!D7</f>
        <v>1600000</v>
      </c>
      <c r="E4" s="113">
        <f>'2024年'!D7</f>
        <v>1600000</v>
      </c>
      <c r="F4" s="113">
        <f t="shared" si="0"/>
        <v>3440000</v>
      </c>
      <c r="G4" s="69"/>
      <c r="AH4" s="52" t="s">
        <v>22</v>
      </c>
      <c r="AI4" s="53" t="s">
        <v>21</v>
      </c>
      <c r="AJ4" s="48" t="s">
        <v>20</v>
      </c>
    </row>
    <row r="5" spans="1:36" s="48" customFormat="1" ht="15.75" customHeight="1">
      <c r="A5" s="62">
        <v>2</v>
      </c>
      <c r="B5" s="50" t="s">
        <v>23</v>
      </c>
      <c r="C5" s="113">
        <f>'2022年'!D8</f>
        <v>0</v>
      </c>
      <c r="D5" s="113">
        <f>'2023年'!D8</f>
        <v>32000.000000000029</v>
      </c>
      <c r="E5" s="113">
        <f>'2024年'!D8</f>
        <v>63360.000000000131</v>
      </c>
      <c r="F5" s="113">
        <f t="shared" si="0"/>
        <v>95360.00000000016</v>
      </c>
      <c r="G5" s="69"/>
      <c r="AH5" s="52" t="s">
        <v>24</v>
      </c>
      <c r="AI5" s="50" t="s">
        <v>25</v>
      </c>
      <c r="AJ5" s="48" t="s">
        <v>20</v>
      </c>
    </row>
    <row r="6" spans="1:36" s="48" customFormat="1" ht="15.75" customHeight="1">
      <c r="A6" s="62">
        <v>3</v>
      </c>
      <c r="B6" s="53" t="s">
        <v>26</v>
      </c>
      <c r="C6" s="114">
        <f>+C4-C5</f>
        <v>240000</v>
      </c>
      <c r="D6" s="114">
        <f>'2023年'!D9</f>
        <v>1568000</v>
      </c>
      <c r="E6" s="114">
        <f>'2024年'!D9</f>
        <v>1536639.9999999998</v>
      </c>
      <c r="F6" s="113">
        <f t="shared" si="0"/>
        <v>3344640</v>
      </c>
      <c r="G6" s="69"/>
      <c r="AH6" s="52" t="s">
        <v>27</v>
      </c>
      <c r="AI6" s="53" t="s">
        <v>26</v>
      </c>
      <c r="AJ6" s="48" t="s">
        <v>28</v>
      </c>
    </row>
    <row r="7" spans="1:36" s="48" customFormat="1" ht="15.75" customHeight="1">
      <c r="A7" s="62">
        <v>4</v>
      </c>
      <c r="B7" s="52" t="s">
        <v>29</v>
      </c>
      <c r="C7" s="113">
        <f>'2022年'!D10</f>
        <v>147672</v>
      </c>
      <c r="D7" s="113">
        <f>'2023年'!D10</f>
        <v>964790.39999999991</v>
      </c>
      <c r="E7" s="113">
        <f>'2024年'!D10</f>
        <v>945494.59199999995</v>
      </c>
      <c r="F7" s="113">
        <f t="shared" si="0"/>
        <v>2057956.9919999999</v>
      </c>
      <c r="G7" s="69"/>
      <c r="AH7" s="52" t="s">
        <v>30</v>
      </c>
      <c r="AI7" s="52" t="s">
        <v>29</v>
      </c>
      <c r="AJ7" s="48" t="s">
        <v>31</v>
      </c>
    </row>
    <row r="8" spans="1:36" s="48" customFormat="1" ht="15.75" customHeight="1">
      <c r="A8" s="62">
        <v>5</v>
      </c>
      <c r="B8" s="52" t="s">
        <v>32</v>
      </c>
      <c r="C8" s="113">
        <f>'2022年'!D11</f>
        <v>13492.796729389283</v>
      </c>
      <c r="D8" s="113">
        <f>'2023年'!D11</f>
        <v>89951.978195928561</v>
      </c>
      <c r="E8" s="113">
        <f>'2024年'!D11</f>
        <v>89951.978195928561</v>
      </c>
      <c r="F8" s="113">
        <f t="shared" si="0"/>
        <v>193396.75312124641</v>
      </c>
      <c r="G8" s="69"/>
      <c r="AH8" s="52" t="s">
        <v>33</v>
      </c>
      <c r="AI8" s="52" t="s">
        <v>32</v>
      </c>
    </row>
    <row r="9" spans="1:36" s="48" customFormat="1" ht="15.75" customHeight="1">
      <c r="A9" s="62">
        <v>6</v>
      </c>
      <c r="B9" s="52" t="s">
        <v>34</v>
      </c>
      <c r="C9" s="113">
        <f>'2022年'!D12</f>
        <v>3618.2375042583853</v>
      </c>
      <c r="D9" s="113">
        <f>'2023年'!D12</f>
        <v>24121.583361722569</v>
      </c>
      <c r="E9" s="113">
        <f>'2024年'!D12</f>
        <v>24121.583361722569</v>
      </c>
      <c r="F9" s="113">
        <f t="shared" si="0"/>
        <v>51861.404227703519</v>
      </c>
      <c r="G9" s="69"/>
      <c r="AH9" s="52" t="s">
        <v>35</v>
      </c>
      <c r="AI9" s="52" t="s">
        <v>34</v>
      </c>
    </row>
    <row r="10" spans="1:36" s="48" customFormat="1" ht="15.75" customHeight="1">
      <c r="A10" s="62">
        <v>7</v>
      </c>
      <c r="B10" s="115" t="s">
        <v>36</v>
      </c>
      <c r="C10" s="113">
        <f>'2022年'!D13</f>
        <v>9599.9999999999982</v>
      </c>
      <c r="D10" s="113">
        <f>'2023年'!D13</f>
        <v>63999.999999999993</v>
      </c>
      <c r="E10" s="113">
        <f>'2024年'!D13</f>
        <v>63999.999999999993</v>
      </c>
      <c r="F10" s="113">
        <f t="shared" si="0"/>
        <v>137599.99999999997</v>
      </c>
      <c r="G10" s="69"/>
      <c r="AH10" s="52" t="s">
        <v>37</v>
      </c>
      <c r="AI10" s="52" t="s">
        <v>36</v>
      </c>
      <c r="AJ10" s="48" t="s">
        <v>20</v>
      </c>
    </row>
    <row r="11" spans="1:36" s="48" customFormat="1" ht="15.75" customHeight="1">
      <c r="A11" s="62">
        <v>8</v>
      </c>
      <c r="B11" s="116" t="s">
        <v>38</v>
      </c>
      <c r="C11" s="117">
        <f>'2022年'!D14</f>
        <v>26711.034233647668</v>
      </c>
      <c r="D11" s="117">
        <f>'2023年'!D14</f>
        <v>178073.56155765112</v>
      </c>
      <c r="E11" s="117">
        <f>'2024年'!D14</f>
        <v>178073.56155765112</v>
      </c>
      <c r="F11" s="117">
        <f t="shared" si="0"/>
        <v>382858.15734894993</v>
      </c>
      <c r="G11" s="69"/>
      <c r="AH11" s="52" t="s">
        <v>39</v>
      </c>
      <c r="AI11" s="55" t="s">
        <v>38</v>
      </c>
    </row>
    <row r="12" spans="1:36" s="48" customFormat="1" ht="15.75" customHeight="1">
      <c r="A12" s="62">
        <v>9</v>
      </c>
      <c r="B12" s="118" t="s">
        <v>40</v>
      </c>
      <c r="C12" s="113">
        <f>'2022年'!D15</f>
        <v>65616.965766352339</v>
      </c>
      <c r="D12" s="113">
        <f>'2023年'!D15</f>
        <v>425136.03844234894</v>
      </c>
      <c r="E12" s="113">
        <f>'2024年'!D15</f>
        <v>413071.84644234867</v>
      </c>
      <c r="F12" s="113">
        <f>F6-F7-F11</f>
        <v>903824.85065105022</v>
      </c>
      <c r="G12" s="69"/>
      <c r="I12" s="110"/>
      <c r="J12" s="110"/>
      <c r="K12" s="110"/>
      <c r="L12" s="110"/>
      <c r="M12" s="110"/>
      <c r="N12" s="110"/>
      <c r="AH12" s="52" t="s">
        <v>41</v>
      </c>
      <c r="AI12" s="55" t="s">
        <v>40</v>
      </c>
    </row>
    <row r="13" spans="1:36" ht="15.75" customHeight="1">
      <c r="A13" s="62">
        <v>10</v>
      </c>
      <c r="B13" s="119" t="s">
        <v>42</v>
      </c>
      <c r="C13" s="120">
        <f>+C12/C6</f>
        <v>0.27340402402646807</v>
      </c>
      <c r="D13" s="120">
        <f>'2023年'!D16</f>
        <v>0.27113267757802867</v>
      </c>
      <c r="E13" s="120">
        <f>'2024年'!D16</f>
        <v>0.26881497712043728</v>
      </c>
      <c r="F13" s="120">
        <f>+F12/F6</f>
        <v>0.27023083221245042</v>
      </c>
      <c r="G13" s="69"/>
      <c r="AH13" s="119" t="s">
        <v>43</v>
      </c>
      <c r="AI13" s="119" t="s">
        <v>42</v>
      </c>
    </row>
    <row r="14" spans="1:36" ht="15.75" customHeight="1">
      <c r="A14" s="62">
        <v>11</v>
      </c>
      <c r="B14" s="119" t="s">
        <v>44</v>
      </c>
      <c r="C14" s="113">
        <f>'2022年'!D17</f>
        <v>17133.333333333332</v>
      </c>
      <c r="D14" s="113">
        <f>'2023年'!D17</f>
        <v>78333.333333333328</v>
      </c>
      <c r="E14" s="113">
        <f>'2024年'!D17</f>
        <v>78333.333333333328</v>
      </c>
      <c r="F14" s="113">
        <f>SUM(C14:E14)</f>
        <v>173800</v>
      </c>
      <c r="G14" s="69"/>
      <c r="AH14" s="119" t="s">
        <v>45</v>
      </c>
      <c r="AI14" s="119" t="s">
        <v>44</v>
      </c>
    </row>
    <row r="15" spans="1:36" ht="15.75" customHeight="1">
      <c r="A15" s="160"/>
      <c r="B15" s="119"/>
      <c r="C15" s="113"/>
      <c r="D15" s="113"/>
      <c r="E15" s="113"/>
      <c r="F15" s="113"/>
      <c r="G15" s="69"/>
      <c r="AH15" s="119"/>
      <c r="AI15" s="119"/>
    </row>
    <row r="16" spans="1:36" ht="15.75" customHeight="1">
      <c r="A16" s="62">
        <v>12</v>
      </c>
      <c r="B16" s="119" t="s">
        <v>46</v>
      </c>
      <c r="C16" s="121">
        <f>'2022年'!D19</f>
        <v>1680.0000000000002</v>
      </c>
      <c r="D16" s="121">
        <f>'2023年'!D19</f>
        <v>11200.000000000002</v>
      </c>
      <c r="E16" s="121">
        <f>'2024年'!D19</f>
        <v>11200.000000000002</v>
      </c>
      <c r="F16" s="113">
        <f>SUM(C16:E16)</f>
        <v>24080.000000000004</v>
      </c>
      <c r="G16" s="69"/>
      <c r="O16" s="69"/>
      <c r="AH16" s="119" t="s">
        <v>47</v>
      </c>
      <c r="AI16" s="119" t="s">
        <v>46</v>
      </c>
      <c r="AJ16" s="110" t="s">
        <v>20</v>
      </c>
    </row>
    <row r="17" spans="1:36" ht="15.75" customHeight="1">
      <c r="A17" s="62">
        <v>13</v>
      </c>
      <c r="B17" s="119" t="s">
        <v>48</v>
      </c>
      <c r="C17" s="121">
        <f>'2022年'!D20</f>
        <v>7200</v>
      </c>
      <c r="D17" s="121">
        <f>'2023年'!D20</f>
        <v>48000</v>
      </c>
      <c r="E17" s="121">
        <f>'2024年'!D20</f>
        <v>48000</v>
      </c>
      <c r="F17" s="113">
        <f>SUM(C17:E17)</f>
        <v>103200</v>
      </c>
      <c r="G17" s="69"/>
      <c r="AH17" s="119" t="s">
        <v>49</v>
      </c>
      <c r="AI17" s="119" t="s">
        <v>48</v>
      </c>
    </row>
    <row r="18" spans="1:36" s="47" customFormat="1" ht="15.75" customHeight="1">
      <c r="A18" s="62">
        <v>14</v>
      </c>
      <c r="B18" s="60" t="s">
        <v>50</v>
      </c>
      <c r="C18" s="122">
        <f>'2022年'!D21</f>
        <v>29433.333333333332</v>
      </c>
      <c r="D18" s="122">
        <f>'2023年'!D21</f>
        <v>29433.333333333332</v>
      </c>
      <c r="E18" s="122">
        <f>'2024年'!D21</f>
        <v>29433.333333333332</v>
      </c>
      <c r="F18" s="113">
        <f>SUM(C18:E18)</f>
        <v>88300</v>
      </c>
      <c r="G18" s="69"/>
      <c r="AH18" s="60"/>
      <c r="AI18" s="60"/>
    </row>
    <row r="19" spans="1:36" s="48" customFormat="1" ht="15.75" customHeight="1">
      <c r="A19" s="62">
        <v>15</v>
      </c>
      <c r="B19" s="52" t="s">
        <v>51</v>
      </c>
      <c r="C19" s="121">
        <f>'2022年'!D22</f>
        <v>9600</v>
      </c>
      <c r="D19" s="121">
        <f>'2023年'!D22</f>
        <v>64000</v>
      </c>
      <c r="E19" s="121">
        <f>'2024年'!D22</f>
        <v>64000</v>
      </c>
      <c r="F19" s="113">
        <f>SUM(C19:E19)</f>
        <v>137600</v>
      </c>
      <c r="G19" s="69"/>
      <c r="AH19" s="52" t="s">
        <v>52</v>
      </c>
      <c r="AI19" s="52" t="s">
        <v>51</v>
      </c>
    </row>
    <row r="20" spans="1:36" s="108" customFormat="1" ht="15.75" customHeight="1">
      <c r="A20" s="62">
        <v>16</v>
      </c>
      <c r="B20" s="123" t="s">
        <v>53</v>
      </c>
      <c r="C20" s="117">
        <f t="shared" ref="C20" si="1">+C19+C18+C17+C16+C14</f>
        <v>65046.666666666657</v>
      </c>
      <c r="D20" s="117">
        <f>'2023年'!D23</f>
        <v>230966.66666666663</v>
      </c>
      <c r="E20" s="117">
        <f>'2024年'!D23</f>
        <v>230966.66666666663</v>
      </c>
      <c r="F20" s="117">
        <f>SUM(C20:E20)</f>
        <v>526979.99999999988</v>
      </c>
      <c r="G20" s="69"/>
      <c r="AH20" s="136" t="s">
        <v>54</v>
      </c>
      <c r="AI20" s="137" t="s">
        <v>53</v>
      </c>
    </row>
    <row r="21" spans="1:36" ht="15.75" customHeight="1">
      <c r="A21" s="62">
        <v>17</v>
      </c>
      <c r="B21" s="119" t="s">
        <v>55</v>
      </c>
      <c r="C21" s="124">
        <f>+C12-C20</f>
        <v>570.29909968568245</v>
      </c>
      <c r="D21" s="124">
        <f>'2023年'!D24</f>
        <v>194169.37177568232</v>
      </c>
      <c r="E21" s="124">
        <f>'2024年'!D24</f>
        <v>182105.17977568205</v>
      </c>
      <c r="F21" s="124">
        <f>+F12-F20</f>
        <v>376844.85065105034</v>
      </c>
      <c r="G21" s="69"/>
      <c r="AH21" s="119" t="s">
        <v>56</v>
      </c>
      <c r="AI21" s="119" t="s">
        <v>55</v>
      </c>
    </row>
    <row r="22" spans="1:36" ht="15.75" customHeight="1">
      <c r="A22" s="62">
        <v>18</v>
      </c>
      <c r="B22" s="119" t="s">
        <v>57</v>
      </c>
      <c r="C22" s="124">
        <f>IF(C21&lt;0,0,C21*0.15)</f>
        <v>85.544864952852365</v>
      </c>
      <c r="D22" s="124">
        <f>'2023年'!D25</f>
        <v>29125.405766352345</v>
      </c>
      <c r="E22" s="124">
        <f>'2024年'!D25</f>
        <v>27315.776966352307</v>
      </c>
      <c r="F22" s="124">
        <f>IF(F21&lt;0,0,F21*0.15)</f>
        <v>56526.727597657547</v>
      </c>
      <c r="G22" s="69"/>
      <c r="AH22" s="119" t="s">
        <v>58</v>
      </c>
      <c r="AI22" s="119" t="s">
        <v>57</v>
      </c>
    </row>
    <row r="23" spans="1:36" ht="15.75" customHeight="1">
      <c r="A23" s="62">
        <v>19</v>
      </c>
      <c r="B23" s="119" t="s">
        <v>59</v>
      </c>
      <c r="C23" s="124">
        <f>C21-C22</f>
        <v>484.75423473283007</v>
      </c>
      <c r="D23" s="124">
        <f>'2023年'!D26</f>
        <v>194169.37177568232</v>
      </c>
      <c r="E23" s="124">
        <f>'2024年'!D26</f>
        <v>182105.17977568205</v>
      </c>
      <c r="F23" s="124">
        <f>F21-F22</f>
        <v>320318.1230533928</v>
      </c>
      <c r="G23" s="69"/>
      <c r="AH23" s="119" t="s">
        <v>60</v>
      </c>
      <c r="AI23" s="119" t="s">
        <v>59</v>
      </c>
    </row>
    <row r="24" spans="1:36" ht="15.75" customHeight="1">
      <c r="A24" s="62">
        <v>20</v>
      </c>
      <c r="B24" s="119" t="s">
        <v>61</v>
      </c>
      <c r="C24" s="125">
        <f>(C23/C4)*100%</f>
        <v>2.0198093113867918E-3</v>
      </c>
      <c r="D24" s="125">
        <f>'2023年'!D27</f>
        <v>0.12135585735980145</v>
      </c>
      <c r="E24" s="125">
        <f>'2024年'!D27</f>
        <v>0.11381573735980127</v>
      </c>
      <c r="F24" s="125">
        <f>(F23/F4)*100%</f>
        <v>9.3115733445753718E-2</v>
      </c>
      <c r="G24" s="69"/>
      <c r="AH24" s="138" t="s">
        <v>62</v>
      </c>
      <c r="AI24" s="138" t="s">
        <v>63</v>
      </c>
    </row>
    <row r="25" spans="1:36" s="109" customFormat="1" ht="15.75" customHeight="1">
      <c r="C25" s="126"/>
      <c r="D25" s="126"/>
      <c r="E25" s="126"/>
      <c r="F25" s="126"/>
      <c r="G25" s="135"/>
    </row>
    <row r="26" spans="1:36" s="109" customFormat="1" ht="15.75" hidden="1" customHeight="1">
      <c r="A26" s="109" t="s">
        <v>64</v>
      </c>
      <c r="C26" s="127"/>
      <c r="D26" s="127"/>
      <c r="E26" s="127"/>
      <c r="F26" s="127"/>
      <c r="G26" s="135"/>
      <c r="AH26" s="109" t="s">
        <v>64</v>
      </c>
    </row>
    <row r="27" spans="1:36" ht="15.75" hidden="1" customHeight="1">
      <c r="A27" s="119" t="s">
        <v>16</v>
      </c>
      <c r="B27" s="128" t="s">
        <v>1</v>
      </c>
      <c r="C27" s="112" t="s">
        <v>65</v>
      </c>
      <c r="D27" s="112" t="s">
        <v>17</v>
      </c>
      <c r="E27" s="112" t="s">
        <v>66</v>
      </c>
      <c r="F27" s="51" t="s">
        <v>18</v>
      </c>
      <c r="AJ27" s="110" t="s">
        <v>19</v>
      </c>
    </row>
    <row r="28" spans="1:36" s="48" customFormat="1" ht="15.75" hidden="1" customHeight="1">
      <c r="A28" s="52" t="s">
        <v>67</v>
      </c>
      <c r="B28" s="55" t="s">
        <v>68</v>
      </c>
      <c r="C28" s="59"/>
      <c r="D28" s="59"/>
      <c r="E28" s="59"/>
      <c r="F28" s="59"/>
      <c r="G28" s="69"/>
      <c r="AH28" s="52" t="s">
        <v>69</v>
      </c>
      <c r="AI28" s="55" t="s">
        <v>68</v>
      </c>
    </row>
    <row r="29" spans="1:36" s="48" customFormat="1" ht="15.75" hidden="1" customHeight="1">
      <c r="A29" s="52" t="s">
        <v>22</v>
      </c>
      <c r="B29" s="52" t="s">
        <v>70</v>
      </c>
      <c r="C29" s="54">
        <f>+C6/C3</f>
        <v>800</v>
      </c>
      <c r="D29" s="54">
        <f t="shared" ref="D29:E29" si="2">+D6/D3</f>
        <v>784</v>
      </c>
      <c r="E29" s="54">
        <f t="shared" si="2"/>
        <v>768.31999999999994</v>
      </c>
      <c r="F29" s="54">
        <f>+F6/F3</f>
        <v>777.82325581395344</v>
      </c>
      <c r="G29" s="69"/>
      <c r="AH29" s="52" t="s">
        <v>22</v>
      </c>
      <c r="AI29" s="52" t="s">
        <v>70</v>
      </c>
    </row>
    <row r="30" spans="1:36" s="48" customFormat="1" ht="15.75" hidden="1" customHeight="1">
      <c r="A30" s="52" t="s">
        <v>24</v>
      </c>
      <c r="B30" s="52" t="s">
        <v>71</v>
      </c>
      <c r="C30" s="54">
        <f>+C7/C3</f>
        <v>492.24</v>
      </c>
      <c r="D30" s="54">
        <f t="shared" ref="D30:E30" si="3">+D7/D3</f>
        <v>482.39519999999993</v>
      </c>
      <c r="E30" s="54">
        <f t="shared" si="3"/>
        <v>472.74729599999995</v>
      </c>
      <c r="F30" s="54">
        <f>+F7/F3</f>
        <v>478.59464930232554</v>
      </c>
      <c r="G30" s="69"/>
      <c r="AH30" s="52" t="s">
        <v>24</v>
      </c>
      <c r="AI30" s="52" t="s">
        <v>71</v>
      </c>
    </row>
    <row r="31" spans="1:36" s="48" customFormat="1" ht="15.75" hidden="1" customHeight="1">
      <c r="A31" s="52" t="s">
        <v>72</v>
      </c>
      <c r="B31" s="52" t="s">
        <v>73</v>
      </c>
      <c r="C31" s="59">
        <f t="shared" ref="C31:F31" si="4">C29-C30</f>
        <v>307.76</v>
      </c>
      <c r="D31" s="59">
        <f t="shared" si="4"/>
        <v>301.60480000000007</v>
      </c>
      <c r="E31" s="59">
        <f t="shared" si="4"/>
        <v>295.57270399999999</v>
      </c>
      <c r="F31" s="59">
        <f t="shared" si="4"/>
        <v>299.2286065116279</v>
      </c>
      <c r="G31" s="69"/>
      <c r="AH31" s="52" t="s">
        <v>72</v>
      </c>
      <c r="AI31" s="52" t="s">
        <v>73</v>
      </c>
    </row>
    <row r="32" spans="1:36" s="48" customFormat="1" ht="15.75" hidden="1" customHeight="1">
      <c r="A32" s="52">
        <v>3.1</v>
      </c>
      <c r="B32" s="52" t="s">
        <v>74</v>
      </c>
      <c r="C32" s="129">
        <f t="shared" ref="C32:F32" si="5">C31/C29</f>
        <v>0.38469999999999999</v>
      </c>
      <c r="D32" s="129">
        <f t="shared" si="5"/>
        <v>0.3847000000000001</v>
      </c>
      <c r="E32" s="129">
        <f t="shared" si="5"/>
        <v>0.38470000000000004</v>
      </c>
      <c r="F32" s="129">
        <f t="shared" si="5"/>
        <v>0.38470000000000004</v>
      </c>
      <c r="G32" s="69"/>
      <c r="AH32" s="52"/>
      <c r="AI32" s="52"/>
    </row>
    <row r="33" spans="1:35" s="48" customFormat="1" ht="15.75" hidden="1" customHeight="1">
      <c r="A33" s="52" t="s">
        <v>69</v>
      </c>
      <c r="B33" s="55" t="s">
        <v>10</v>
      </c>
      <c r="C33" s="59"/>
      <c r="D33" s="59"/>
      <c r="E33" s="59"/>
      <c r="F33" s="59"/>
      <c r="G33" s="69"/>
      <c r="AH33" s="52" t="s">
        <v>75</v>
      </c>
      <c r="AI33" s="55" t="s">
        <v>10</v>
      </c>
    </row>
    <row r="34" spans="1:35" s="48" customFormat="1" ht="15.75" hidden="1" customHeight="1">
      <c r="A34" s="52" t="s">
        <v>22</v>
      </c>
      <c r="B34" s="60" t="s">
        <v>76</v>
      </c>
      <c r="C34" s="54">
        <f>+C8/C3</f>
        <v>44.97598909796428</v>
      </c>
      <c r="D34" s="54">
        <f t="shared" ref="D34:E34" si="6">+D8/D3</f>
        <v>44.97598909796428</v>
      </c>
      <c r="E34" s="54">
        <f t="shared" si="6"/>
        <v>44.97598909796428</v>
      </c>
      <c r="F34" s="54">
        <f>+F8/F3</f>
        <v>44.97598909796428</v>
      </c>
      <c r="G34" s="69"/>
      <c r="AH34" s="52" t="s">
        <v>72</v>
      </c>
      <c r="AI34" s="52" t="s">
        <v>76</v>
      </c>
    </row>
    <row r="35" spans="1:35" s="48" customFormat="1" ht="15.75" hidden="1" customHeight="1">
      <c r="A35" s="52" t="s">
        <v>24</v>
      </c>
      <c r="B35" s="60" t="s">
        <v>77</v>
      </c>
      <c r="C35" s="54">
        <f>+C9/C3</f>
        <v>12.060791680861284</v>
      </c>
      <c r="D35" s="54">
        <f t="shared" ref="D35:E35" si="7">+D9/D3</f>
        <v>12.060791680861284</v>
      </c>
      <c r="E35" s="54">
        <f t="shared" si="7"/>
        <v>12.060791680861284</v>
      </c>
      <c r="F35" s="54">
        <f>+F9/F3</f>
        <v>12.060791680861284</v>
      </c>
      <c r="G35" s="69"/>
      <c r="AH35" s="52" t="s">
        <v>27</v>
      </c>
      <c r="AI35" s="52" t="s">
        <v>77</v>
      </c>
    </row>
    <row r="36" spans="1:35" s="48" customFormat="1" ht="15.75" hidden="1" customHeight="1">
      <c r="A36" s="52" t="s">
        <v>72</v>
      </c>
      <c r="B36" s="60" t="s">
        <v>78</v>
      </c>
      <c r="C36" s="54">
        <f>+C10/C3</f>
        <v>31.999999999999993</v>
      </c>
      <c r="D36" s="54">
        <f t="shared" ref="D36:E36" si="8">+D10/D3</f>
        <v>31.999999999999996</v>
      </c>
      <c r="E36" s="54">
        <f t="shared" si="8"/>
        <v>31.999999999999996</v>
      </c>
      <c r="F36" s="54">
        <f>+F10/F3</f>
        <v>31.999999999999993</v>
      </c>
      <c r="G36" s="69"/>
      <c r="AH36" s="52" t="s">
        <v>33</v>
      </c>
      <c r="AI36" s="52" t="s">
        <v>78</v>
      </c>
    </row>
    <row r="37" spans="1:35" s="48" customFormat="1" ht="15.75" hidden="1" customHeight="1">
      <c r="A37" s="52" t="s">
        <v>79</v>
      </c>
      <c r="B37" s="118" t="s">
        <v>80</v>
      </c>
      <c r="C37" s="54"/>
      <c r="D37" s="54"/>
      <c r="E37" s="54"/>
      <c r="F37" s="54"/>
      <c r="G37" s="69"/>
      <c r="AH37" s="52" t="s">
        <v>79</v>
      </c>
      <c r="AI37" s="55" t="s">
        <v>80</v>
      </c>
    </row>
    <row r="38" spans="1:35" s="48" customFormat="1" hidden="1">
      <c r="A38" s="52" t="s">
        <v>22</v>
      </c>
      <c r="B38" s="60" t="s">
        <v>81</v>
      </c>
      <c r="C38" s="54">
        <f>+C12/C3</f>
        <v>218.72321922117447</v>
      </c>
      <c r="D38" s="54">
        <f t="shared" ref="D38:E38" si="9">+D12/D3</f>
        <v>212.56801922117447</v>
      </c>
      <c r="E38" s="54">
        <f t="shared" si="9"/>
        <v>206.53592322117433</v>
      </c>
      <c r="F38" s="54">
        <f>+F12/F3</f>
        <v>210.19182573280239</v>
      </c>
      <c r="G38" s="69"/>
      <c r="AH38" s="52" t="s">
        <v>22</v>
      </c>
      <c r="AI38" s="52" t="s">
        <v>82</v>
      </c>
    </row>
    <row r="39" spans="1:35" s="48" customFormat="1" ht="15.75" customHeight="1">
      <c r="A39" s="52" t="s">
        <v>24</v>
      </c>
      <c r="B39" s="60" t="s">
        <v>83</v>
      </c>
      <c r="C39" s="113">
        <f t="shared" ref="C39:E39" si="10">+C20/C38</f>
        <v>297.39259918669632</v>
      </c>
      <c r="D39" s="113">
        <f t="shared" si="10"/>
        <v>1086.5541651698254</v>
      </c>
      <c r="E39" s="113">
        <f t="shared" si="10"/>
        <v>1118.2881072912919</v>
      </c>
      <c r="F39" s="244">
        <f t="shared" ref="F39" si="11">+F20/F38</f>
        <v>2507.1384111288003</v>
      </c>
      <c r="G39" s="69"/>
      <c r="AH39" s="52" t="s">
        <v>24</v>
      </c>
      <c r="AI39" s="52" t="s">
        <v>83</v>
      </c>
    </row>
    <row r="40" spans="1:35" s="48" customFormat="1" ht="15.75" hidden="1" customHeight="1">
      <c r="A40" s="52" t="s">
        <v>84</v>
      </c>
      <c r="B40" s="55" t="s">
        <v>85</v>
      </c>
      <c r="C40" s="59"/>
      <c r="D40" s="59"/>
      <c r="E40" s="59"/>
      <c r="F40" s="59"/>
      <c r="G40" s="69"/>
      <c r="AH40" s="52" t="s">
        <v>84</v>
      </c>
      <c r="AI40" s="55" t="s">
        <v>85</v>
      </c>
    </row>
    <row r="41" spans="1:35" s="48" customFormat="1" ht="15.75" hidden="1" customHeight="1">
      <c r="A41" s="52" t="s">
        <v>22</v>
      </c>
      <c r="B41" s="52" t="s">
        <v>86</v>
      </c>
      <c r="C41" s="59">
        <f>+C14/C3</f>
        <v>57.111111111111107</v>
      </c>
      <c r="D41" s="59">
        <f t="shared" ref="D41:E41" si="12">+D14/D3</f>
        <v>39.166666666666664</v>
      </c>
      <c r="E41" s="59">
        <f t="shared" si="12"/>
        <v>39.166666666666664</v>
      </c>
      <c r="F41" s="59">
        <f>+F14/F3</f>
        <v>40.418604651162788</v>
      </c>
      <c r="G41" s="69"/>
      <c r="AH41" s="52" t="s">
        <v>22</v>
      </c>
      <c r="AI41" s="52" t="s">
        <v>86</v>
      </c>
    </row>
    <row r="42" spans="1:35" s="48" customFormat="1" ht="15.75" hidden="1" customHeight="1">
      <c r="A42" s="52" t="s">
        <v>24</v>
      </c>
      <c r="B42" s="52" t="s">
        <v>87</v>
      </c>
      <c r="C42" s="59">
        <f>+C16/C3</f>
        <v>5.6000000000000005</v>
      </c>
      <c r="D42" s="59">
        <f t="shared" ref="D42:E42" si="13">+D16/D3</f>
        <v>5.6000000000000005</v>
      </c>
      <c r="E42" s="59">
        <f t="shared" si="13"/>
        <v>5.6000000000000005</v>
      </c>
      <c r="F42" s="59">
        <f>+F16/F3</f>
        <v>5.6000000000000005</v>
      </c>
      <c r="G42" s="69"/>
      <c r="AH42" s="52" t="s">
        <v>24</v>
      </c>
      <c r="AI42" s="52" t="s">
        <v>87</v>
      </c>
    </row>
    <row r="43" spans="1:35" s="48" customFormat="1" ht="15.75" hidden="1" customHeight="1">
      <c r="A43" s="52" t="s">
        <v>72</v>
      </c>
      <c r="B43" s="52" t="s">
        <v>88</v>
      </c>
      <c r="C43" s="59">
        <f>+C17/C3</f>
        <v>24</v>
      </c>
      <c r="D43" s="59">
        <f t="shared" ref="D43:E43" si="14">+D17/D3</f>
        <v>24</v>
      </c>
      <c r="E43" s="59">
        <f t="shared" si="14"/>
        <v>24</v>
      </c>
      <c r="F43" s="59">
        <f>+F17/F3</f>
        <v>24</v>
      </c>
      <c r="G43" s="69"/>
      <c r="AH43" s="52" t="s">
        <v>72</v>
      </c>
      <c r="AI43" s="52" t="s">
        <v>88</v>
      </c>
    </row>
    <row r="44" spans="1:35" s="48" customFormat="1" ht="15.75" hidden="1" customHeight="1">
      <c r="A44" s="52" t="s">
        <v>27</v>
      </c>
      <c r="B44" s="52" t="s">
        <v>89</v>
      </c>
      <c r="C44" s="59"/>
      <c r="D44" s="59"/>
      <c r="E44" s="59"/>
      <c r="F44" s="59"/>
      <c r="G44" s="69"/>
      <c r="AH44" s="52" t="s">
        <v>27</v>
      </c>
      <c r="AI44" s="52" t="s">
        <v>90</v>
      </c>
    </row>
    <row r="45" spans="1:35" s="48" customFormat="1" ht="15.75" hidden="1" customHeight="1">
      <c r="A45" s="52" t="s">
        <v>30</v>
      </c>
      <c r="B45" s="52" t="s">
        <v>91</v>
      </c>
      <c r="C45" s="59"/>
      <c r="D45" s="59"/>
      <c r="E45" s="59"/>
      <c r="F45" s="59"/>
      <c r="G45" s="69"/>
      <c r="AH45" s="52" t="s">
        <v>30</v>
      </c>
      <c r="AI45" s="52" t="s">
        <v>91</v>
      </c>
    </row>
    <row r="46" spans="1:35" s="48" customFormat="1" ht="15.75" hidden="1" customHeight="1">
      <c r="A46" s="52" t="s">
        <v>92</v>
      </c>
      <c r="B46" s="55" t="s">
        <v>93</v>
      </c>
      <c r="C46" s="59"/>
      <c r="D46" s="59"/>
      <c r="E46" s="59"/>
      <c r="F46" s="59"/>
      <c r="G46" s="69"/>
      <c r="AH46" s="52" t="s">
        <v>92</v>
      </c>
      <c r="AI46" s="55" t="s">
        <v>93</v>
      </c>
    </row>
    <row r="47" spans="1:35" s="48" customFormat="1" ht="15.75" hidden="1" customHeight="1">
      <c r="A47" s="52" t="s">
        <v>22</v>
      </c>
      <c r="B47" s="52" t="s">
        <v>94</v>
      </c>
      <c r="C47" s="130">
        <f>+(C10+C16)/C6</f>
        <v>4.6999999999999993E-2</v>
      </c>
      <c r="D47" s="130">
        <f t="shared" ref="D47:E47" si="15">+(D10+D16)/D6</f>
        <v>4.7959183673469387E-2</v>
      </c>
      <c r="E47" s="130">
        <f t="shared" si="15"/>
        <v>4.8937942523948362E-2</v>
      </c>
      <c r="F47" s="130">
        <f>+(F10+F16)/F6</f>
        <v>4.8340030616150012E-2</v>
      </c>
      <c r="G47" s="69"/>
      <c r="AH47" s="52" t="s">
        <v>22</v>
      </c>
      <c r="AI47" s="52" t="s">
        <v>94</v>
      </c>
    </row>
    <row r="48" spans="1:35" s="48" customFormat="1" ht="15.75" hidden="1" customHeight="1">
      <c r="A48" s="52" t="s">
        <v>24</v>
      </c>
      <c r="B48" s="52" t="s">
        <v>95</v>
      </c>
      <c r="C48" s="130">
        <f>+(C8+C9+C14)/C6</f>
        <v>0.14268486486242085</v>
      </c>
      <c r="D48" s="130">
        <f t="shared" ref="D48:E48" si="16">+(D8+D9+D14)/D6</f>
        <v>0.12270847888455642</v>
      </c>
      <c r="E48" s="130">
        <f t="shared" si="16"/>
        <v>0.12521273355566984</v>
      </c>
      <c r="F48" s="130">
        <f>+(F8+F9+F14)/F6</f>
        <v>0.12529245519665791</v>
      </c>
      <c r="G48" s="69"/>
      <c r="AH48" s="52" t="s">
        <v>24</v>
      </c>
      <c r="AI48" s="52" t="s">
        <v>95</v>
      </c>
    </row>
    <row r="49" spans="1:35" s="48" customFormat="1" ht="15.75" hidden="1" customHeight="1">
      <c r="A49" s="52" t="s">
        <v>72</v>
      </c>
      <c r="B49" s="52" t="s">
        <v>96</v>
      </c>
      <c r="C49" s="130">
        <f>+C17/C6</f>
        <v>0.03</v>
      </c>
      <c r="D49" s="130">
        <f t="shared" ref="D49:E49" si="17">+D17/D6</f>
        <v>3.0612244897959183E-2</v>
      </c>
      <c r="E49" s="130">
        <f t="shared" si="17"/>
        <v>3.1236984589754272E-2</v>
      </c>
      <c r="F49" s="130">
        <f>+F17/F6</f>
        <v>3.0855338691159587E-2</v>
      </c>
      <c r="G49" s="69"/>
      <c r="AH49" s="52" t="s">
        <v>72</v>
      </c>
      <c r="AI49" s="52" t="s">
        <v>96</v>
      </c>
    </row>
    <row r="50" spans="1:35" s="48" customFormat="1" ht="15.75" hidden="1" customHeight="1">
      <c r="A50" s="52" t="s">
        <v>27</v>
      </c>
      <c r="B50" s="52" t="s">
        <v>97</v>
      </c>
      <c r="C50" s="130">
        <f>+C18/C6</f>
        <v>0.12263888888888888</v>
      </c>
      <c r="D50" s="130">
        <f t="shared" ref="D50:E50" si="18">+D18/D6</f>
        <v>1.8771258503401361E-2</v>
      </c>
      <c r="E50" s="130">
        <f t="shared" si="18"/>
        <v>1.9154345411634043E-2</v>
      </c>
      <c r="F50" s="130">
        <f>+F18/F6</f>
        <v>2.6400449674703407E-2</v>
      </c>
      <c r="G50" s="69"/>
      <c r="AH50" s="52" t="s">
        <v>27</v>
      </c>
      <c r="AI50" s="52" t="s">
        <v>97</v>
      </c>
    </row>
    <row r="51" spans="1:35" s="48" customFormat="1" ht="15.75" hidden="1" customHeight="1">
      <c r="A51" s="52" t="s">
        <v>30</v>
      </c>
      <c r="B51" s="52" t="s">
        <v>98</v>
      </c>
      <c r="C51" s="130">
        <f>+C19/C6</f>
        <v>0.04</v>
      </c>
      <c r="D51" s="130">
        <f t="shared" ref="D51:E51" si="19">+D19/D6</f>
        <v>4.0816326530612242E-2</v>
      </c>
      <c r="E51" s="130">
        <f t="shared" si="19"/>
        <v>4.1649312786339029E-2</v>
      </c>
      <c r="F51" s="130">
        <f>+F19/F6</f>
        <v>4.1140451588212786E-2</v>
      </c>
      <c r="G51" s="69"/>
      <c r="AH51" s="52" t="s">
        <v>30</v>
      </c>
      <c r="AI51" s="52" t="s">
        <v>98</v>
      </c>
    </row>
    <row r="52" spans="1:35" s="48" customFormat="1" ht="15.75" hidden="1" customHeight="1">
      <c r="A52" s="52" t="s">
        <v>33</v>
      </c>
      <c r="B52" s="52" t="s">
        <v>99</v>
      </c>
      <c r="C52" s="130">
        <f>+C23/C6</f>
        <v>2.0198093113867918E-3</v>
      </c>
      <c r="D52" s="130">
        <f t="shared" ref="D52:E52" si="20">+D23/D6</f>
        <v>0.12383250751000148</v>
      </c>
      <c r="E52" s="130">
        <f t="shared" si="20"/>
        <v>0.11850868113265441</v>
      </c>
      <c r="F52" s="130">
        <f>+F23/F6</f>
        <v>9.5770583098148926E-2</v>
      </c>
      <c r="G52" s="69"/>
      <c r="AH52" s="52" t="s">
        <v>33</v>
      </c>
      <c r="AI52" s="52" t="s">
        <v>100</v>
      </c>
    </row>
    <row r="53" spans="1:35" s="48" customFormat="1" ht="15.75" hidden="1" customHeight="1">
      <c r="A53" s="52" t="s">
        <v>101</v>
      </c>
      <c r="B53" s="55" t="s">
        <v>102</v>
      </c>
      <c r="C53" s="59">
        <f>+C21/C3</f>
        <v>1.9009969989522748</v>
      </c>
      <c r="D53" s="59">
        <f t="shared" ref="D53:E53" si="21">+D21/D3</f>
        <v>97.084685887841161</v>
      </c>
      <c r="E53" s="59">
        <f t="shared" si="21"/>
        <v>91.052589887841023</v>
      </c>
      <c r="F53" s="59">
        <f>+F21/F3</f>
        <v>87.638337360709386</v>
      </c>
      <c r="G53" s="69"/>
      <c r="AH53" s="52" t="s">
        <v>101</v>
      </c>
      <c r="AI53" s="55" t="s">
        <v>102</v>
      </c>
    </row>
    <row r="54" spans="1:35" s="48" customFormat="1" ht="15.75" hidden="1" customHeight="1">
      <c r="A54" s="52" t="s">
        <v>103</v>
      </c>
      <c r="B54" s="131" t="s">
        <v>104</v>
      </c>
      <c r="C54" s="59"/>
      <c r="D54" s="59"/>
      <c r="E54" s="59"/>
      <c r="F54" s="59"/>
      <c r="G54" s="69"/>
      <c r="AH54" s="52"/>
      <c r="AI54" s="55"/>
    </row>
    <row r="55" spans="1:35" s="48" customFormat="1" ht="15.75" hidden="1" customHeight="1">
      <c r="A55" s="52" t="s">
        <v>22</v>
      </c>
      <c r="B55" s="52" t="s">
        <v>105</v>
      </c>
      <c r="C55" s="59">
        <f>C56+C57</f>
        <v>108300</v>
      </c>
      <c r="D55" s="59"/>
      <c r="E55" s="59"/>
      <c r="F55" s="59"/>
      <c r="G55" s="69"/>
    </row>
    <row r="56" spans="1:35" s="48" customFormat="1" ht="15.75" hidden="1" customHeight="1">
      <c r="A56" s="52">
        <v>1.1000000000000001</v>
      </c>
      <c r="B56" s="132" t="s">
        <v>106</v>
      </c>
      <c r="C56" s="59">
        <f>项目投资!B27</f>
        <v>88300</v>
      </c>
      <c r="D56" s="59"/>
      <c r="E56" s="59"/>
      <c r="F56" s="59"/>
      <c r="G56" s="69"/>
    </row>
    <row r="57" spans="1:35" s="48" customFormat="1" ht="15.75" hidden="1" customHeight="1">
      <c r="A57" s="52">
        <v>1.2</v>
      </c>
      <c r="B57" s="52" t="s">
        <v>107</v>
      </c>
      <c r="C57" s="59">
        <f>项目投资!B26</f>
        <v>20000</v>
      </c>
      <c r="D57" s="59"/>
      <c r="E57" s="59"/>
      <c r="F57" s="59"/>
      <c r="G57" s="69"/>
    </row>
    <row r="58" spans="1:35" ht="15.75" hidden="1" customHeight="1">
      <c r="A58" s="119" t="s">
        <v>24</v>
      </c>
      <c r="B58" s="119" t="s">
        <v>108</v>
      </c>
      <c r="C58" s="133">
        <f t="shared" ref="C58:E58" si="22">C59+C60</f>
        <v>6818.0875680661629</v>
      </c>
      <c r="D58" s="133">
        <f t="shared" si="22"/>
        <v>200502.70510901566</v>
      </c>
      <c r="E58" s="133">
        <f t="shared" si="22"/>
        <v>188438.51310901539</v>
      </c>
      <c r="F58" s="133">
        <f t="shared" ref="F58" si="23">F59+F60</f>
        <v>339318.1230533928</v>
      </c>
      <c r="G58" s="69"/>
    </row>
    <row r="59" spans="1:35" ht="15.75" hidden="1" customHeight="1">
      <c r="A59" s="119" t="s">
        <v>72</v>
      </c>
      <c r="B59" s="119" t="s">
        <v>109</v>
      </c>
      <c r="C59" s="133">
        <f t="shared" ref="C59:E59" si="24">C23</f>
        <v>484.75423473283007</v>
      </c>
      <c r="D59" s="133">
        <f t="shared" si="24"/>
        <v>194169.37177568232</v>
      </c>
      <c r="E59" s="133">
        <f t="shared" si="24"/>
        <v>182105.17977568205</v>
      </c>
      <c r="F59" s="133">
        <f t="shared" ref="F59" si="25">F23</f>
        <v>320318.1230533928</v>
      </c>
      <c r="G59" s="69"/>
    </row>
    <row r="60" spans="1:35" ht="15.75" hidden="1" customHeight="1">
      <c r="A60" s="119" t="s">
        <v>27</v>
      </c>
      <c r="B60" s="119" t="s">
        <v>110</v>
      </c>
      <c r="C60" s="133">
        <f>'2022年'!D18</f>
        <v>6333.333333333333</v>
      </c>
      <c r="D60" s="133">
        <f>'2023年'!D18</f>
        <v>6333.333333333333</v>
      </c>
      <c r="E60" s="133">
        <f>'2024年'!D18</f>
        <v>6333.333333333333</v>
      </c>
      <c r="F60" s="133">
        <f>项目投资!I26</f>
        <v>19000</v>
      </c>
      <c r="G60" s="69"/>
    </row>
    <row r="61" spans="1:35" ht="15.75" hidden="1" customHeight="1">
      <c r="A61" s="119" t="s">
        <v>30</v>
      </c>
      <c r="B61" s="119" t="s">
        <v>111</v>
      </c>
      <c r="C61" s="134"/>
      <c r="D61" s="134"/>
      <c r="E61" s="134"/>
      <c r="F61" s="133"/>
      <c r="G61" s="69"/>
    </row>
    <row r="62" spans="1:35" hidden="1"/>
    <row r="63" spans="1:35" hidden="1">
      <c r="B63"/>
    </row>
    <row r="104" spans="5:6" ht="20.100000000000001" customHeight="1">
      <c r="E104" s="250" t="s">
        <v>259</v>
      </c>
      <c r="F104" s="250"/>
    </row>
    <row r="105" spans="5:6" ht="20.100000000000001" customHeight="1">
      <c r="E105" s="250"/>
      <c r="F105" s="250"/>
    </row>
    <row r="106" spans="5:6" ht="20.100000000000001" customHeight="1">
      <c r="E106" s="250"/>
      <c r="F106" s="250"/>
    </row>
    <row r="107" spans="5:6" ht="20.100000000000001" customHeight="1">
      <c r="E107" s="250"/>
      <c r="F107" s="250"/>
    </row>
    <row r="108" spans="5:6" ht="20.100000000000001" customHeight="1">
      <c r="E108" s="250"/>
      <c r="F108" s="250"/>
    </row>
    <row r="109" spans="5:6" ht="20.100000000000001" customHeight="1">
      <c r="E109" s="250"/>
      <c r="F109" s="250"/>
    </row>
  </sheetData>
  <mergeCells count="3">
    <mergeCell ref="A1:F1"/>
    <mergeCell ref="A2:A3"/>
    <mergeCell ref="E104:F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112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113</v>
      </c>
      <c r="B2" s="77"/>
    </row>
    <row r="3" spans="1:13" ht="16.899999999999999" customHeight="1">
      <c r="A3" s="78" t="s">
        <v>16</v>
      </c>
      <c r="B3" s="78" t="s">
        <v>114</v>
      </c>
      <c r="C3" s="251" t="s">
        <v>115</v>
      </c>
      <c r="D3" s="251"/>
      <c r="E3" s="251"/>
      <c r="F3" s="80"/>
      <c r="G3" s="81"/>
      <c r="H3" s="82"/>
      <c r="I3" s="82"/>
      <c r="J3" s="82" t="s">
        <v>116</v>
      </c>
      <c r="K3" s="82"/>
      <c r="L3" s="82"/>
      <c r="M3" s="103"/>
    </row>
    <row r="4" spans="1:13" ht="16.149999999999999" customHeight="1">
      <c r="A4" s="83"/>
      <c r="B4" s="83" t="s">
        <v>117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118</v>
      </c>
    </row>
    <row r="5" spans="1:13" ht="15.6" customHeight="1">
      <c r="A5" s="85">
        <v>1</v>
      </c>
      <c r="B5" s="86" t="s">
        <v>119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240000</v>
      </c>
      <c r="G5" s="87">
        <f t="shared" si="1"/>
        <v>1600000</v>
      </c>
      <c r="H5" s="87">
        <f t="shared" si="1"/>
        <v>1600000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3440000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120</v>
      </c>
      <c r="C6" s="89"/>
      <c r="D6" s="89"/>
      <c r="E6" s="89" t="e">
        <f>损益表!#REF!</f>
        <v>#REF!</v>
      </c>
      <c r="F6" s="89">
        <f>损益表!C4</f>
        <v>240000</v>
      </c>
      <c r="G6" s="89">
        <f>损益表!D4</f>
        <v>1600000</v>
      </c>
      <c r="H6" s="89">
        <f>损益表!E4</f>
        <v>1600000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损益表!F4</f>
        <v>3440000</v>
      </c>
      <c r="M6" s="91" t="e">
        <f t="shared" si="2"/>
        <v>#REF!</v>
      </c>
    </row>
    <row r="7" spans="1:13" ht="15.6" customHeight="1">
      <c r="A7" s="85">
        <v>1.2</v>
      </c>
      <c r="B7" s="88" t="s">
        <v>121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122</v>
      </c>
      <c r="C8" s="89" t="s">
        <v>123</v>
      </c>
      <c r="D8" s="89" t="s">
        <v>123</v>
      </c>
      <c r="E8" s="89" t="s">
        <v>123</v>
      </c>
      <c r="F8" s="89" t="s">
        <v>123</v>
      </c>
      <c r="G8" s="89" t="s">
        <v>123</v>
      </c>
      <c r="H8" s="89" t="s">
        <v>123</v>
      </c>
      <c r="I8" s="89" t="s">
        <v>123</v>
      </c>
      <c r="J8" s="89" t="s">
        <v>123</v>
      </c>
      <c r="K8" s="89" t="s">
        <v>123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124</v>
      </c>
      <c r="C9" s="89" t="s">
        <v>123</v>
      </c>
      <c r="D9" s="89" t="s">
        <v>123</v>
      </c>
      <c r="E9" s="89" t="s">
        <v>123</v>
      </c>
      <c r="F9" s="89" t="s">
        <v>123</v>
      </c>
      <c r="G9" s="89" t="s">
        <v>123</v>
      </c>
      <c r="H9" s="89" t="s">
        <v>123</v>
      </c>
      <c r="I9" s="89" t="s">
        <v>123</v>
      </c>
      <c r="J9" s="89" t="s">
        <v>123</v>
      </c>
      <c r="K9" s="89" t="s">
        <v>123</v>
      </c>
      <c r="L9" s="89" t="s">
        <v>123</v>
      </c>
      <c r="M9" s="91">
        <f t="shared" si="2"/>
        <v>0</v>
      </c>
    </row>
    <row r="10" spans="1:13" ht="15.6" customHeight="1">
      <c r="A10" s="90">
        <v>2</v>
      </c>
      <c r="B10" s="86" t="s">
        <v>125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126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127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128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129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57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131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240000</v>
      </c>
      <c r="G17" s="87">
        <f t="shared" si="4"/>
        <v>1600000</v>
      </c>
      <c r="H17" s="87">
        <f t="shared" si="4"/>
        <v>1600000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3440000</v>
      </c>
      <c r="M17" s="91" t="e">
        <f t="shared" si="2"/>
        <v>#REF!</v>
      </c>
    </row>
    <row r="18" spans="1:18" ht="12">
      <c r="A18" s="92">
        <v>4</v>
      </c>
      <c r="B18" s="88" t="s">
        <v>132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123</v>
      </c>
    </row>
    <row r="19" spans="1:18" s="72" customFormat="1" ht="12">
      <c r="A19" s="92">
        <v>5</v>
      </c>
      <c r="B19" s="88" t="s">
        <v>133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240000</v>
      </c>
      <c r="G19" s="89">
        <f t="shared" si="6"/>
        <v>1600000</v>
      </c>
      <c r="H19" s="89">
        <f t="shared" si="6"/>
        <v>1600000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3440000</v>
      </c>
      <c r="M19" s="91" t="e">
        <f>SUM(C19:L19)</f>
        <v>#REF!</v>
      </c>
    </row>
    <row r="20" spans="1:18" s="72" customFormat="1" ht="12">
      <c r="A20" s="85">
        <v>6</v>
      </c>
      <c r="B20" s="88" t="s">
        <v>134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123</v>
      </c>
    </row>
    <row r="21" spans="1:18" ht="12">
      <c r="A21" s="93"/>
      <c r="B21" s="94" t="s">
        <v>135</v>
      </c>
      <c r="C21" s="94"/>
      <c r="D21" s="94"/>
      <c r="E21" s="94" t="s">
        <v>136</v>
      </c>
      <c r="F21" s="94"/>
      <c r="G21" s="94"/>
      <c r="H21" s="94"/>
      <c r="I21" s="94" t="s">
        <v>137</v>
      </c>
      <c r="J21" s="94"/>
      <c r="K21" s="94"/>
      <c r="L21" s="94"/>
      <c r="M21" s="105"/>
    </row>
    <row r="22" spans="1:18" ht="12">
      <c r="A22" s="95"/>
      <c r="B22" s="96" t="s">
        <v>138</v>
      </c>
      <c r="C22" s="96"/>
      <c r="D22" s="97" t="s">
        <v>139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140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20" activePane="bottomRight" state="frozen"/>
      <selection pane="topRight"/>
      <selection pane="bottomLeft"/>
      <selection pane="bottomRight" activeCell="C23" sqref="C23"/>
    </sheetView>
  </sheetViews>
  <sheetFormatPr defaultColWidth="9" defaultRowHeight="16.5"/>
  <cols>
    <col min="1" max="1" width="5.125" style="48" customWidth="1"/>
    <col min="2" max="2" width="17.5" style="48" customWidth="1"/>
    <col min="3" max="3" width="16.125" style="49" bestFit="1" customWidth="1"/>
    <col min="4" max="4" width="18.75" style="49" customWidth="1"/>
    <col min="5" max="5" width="12.375" style="48" customWidth="1"/>
    <col min="6" max="6" width="10.125" style="48" customWidth="1"/>
    <col min="7" max="13" width="9" style="48" customWidth="1"/>
    <col min="14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52" t="s">
        <v>142</v>
      </c>
      <c r="B1" s="252"/>
      <c r="C1" s="256" t="s">
        <v>248</v>
      </c>
      <c r="D1" s="257"/>
    </row>
    <row r="2" spans="1:33">
      <c r="A2" s="252" t="s">
        <v>143</v>
      </c>
      <c r="B2" s="252"/>
      <c r="C2" s="258" t="s">
        <v>260</v>
      </c>
      <c r="D2" s="258"/>
    </row>
    <row r="3" spans="1:33">
      <c r="A3" s="252" t="s">
        <v>144</v>
      </c>
      <c r="B3" s="252"/>
      <c r="C3" s="188" t="str">
        <f>销量!C5</f>
        <v>副驾驶员座椅</v>
      </c>
      <c r="D3" s="253" t="s">
        <v>18</v>
      </c>
    </row>
    <row r="4" spans="1:33">
      <c r="A4" s="252" t="s">
        <v>145</v>
      </c>
      <c r="B4" s="252"/>
      <c r="C4" s="188" t="str">
        <f>销量!C6</f>
        <v>YZ16625200010</v>
      </c>
      <c r="D4" s="254"/>
    </row>
    <row r="5" spans="1:33">
      <c r="A5" s="252" t="s">
        <v>146</v>
      </c>
      <c r="B5" s="252"/>
      <c r="C5" s="51"/>
      <c r="D5" s="255"/>
      <c r="AG5" s="48" t="s">
        <v>19</v>
      </c>
    </row>
    <row r="6" spans="1:33" ht="17.25">
      <c r="A6" s="52" t="s">
        <v>16</v>
      </c>
      <c r="B6" s="53" t="s">
        <v>147</v>
      </c>
      <c r="C6" s="23">
        <f>销量!C9</f>
        <v>300</v>
      </c>
      <c r="D6" s="54">
        <f t="shared" ref="D6:D15" si="0">SUM(C6:C6)</f>
        <v>300</v>
      </c>
      <c r="O6" s="238"/>
      <c r="AE6" s="52" t="s">
        <v>16</v>
      </c>
      <c r="AF6" s="53" t="s">
        <v>3</v>
      </c>
      <c r="AG6" s="48" t="s">
        <v>20</v>
      </c>
    </row>
    <row r="7" spans="1:33">
      <c r="A7" s="50">
        <v>1</v>
      </c>
      <c r="B7" s="53" t="s">
        <v>21</v>
      </c>
      <c r="C7" s="54">
        <f>C6*销量!C8</f>
        <v>240000</v>
      </c>
      <c r="D7" s="54">
        <f t="shared" si="0"/>
        <v>240000</v>
      </c>
      <c r="E7" s="49"/>
      <c r="O7" s="238"/>
      <c r="AE7" s="52" t="s">
        <v>22</v>
      </c>
      <c r="AF7" s="53" t="s">
        <v>21</v>
      </c>
      <c r="AG7" s="48" t="s">
        <v>20</v>
      </c>
    </row>
    <row r="8" spans="1:33">
      <c r="A8" s="50">
        <v>2</v>
      </c>
      <c r="B8" s="50" t="s">
        <v>23</v>
      </c>
      <c r="C8" s="54"/>
      <c r="D8" s="54">
        <f t="shared" si="0"/>
        <v>0</v>
      </c>
      <c r="E8" s="69"/>
      <c r="O8" s="239"/>
      <c r="AE8" s="52" t="s">
        <v>24</v>
      </c>
      <c r="AF8" s="50" t="s">
        <v>25</v>
      </c>
      <c r="AG8" s="48" t="s">
        <v>20</v>
      </c>
    </row>
    <row r="9" spans="1:33">
      <c r="A9" s="50">
        <v>3</v>
      </c>
      <c r="B9" s="53" t="s">
        <v>26</v>
      </c>
      <c r="C9" s="54">
        <f>+C7-C8</f>
        <v>240000</v>
      </c>
      <c r="D9" s="54">
        <f t="shared" si="0"/>
        <v>240000</v>
      </c>
      <c r="O9" s="238"/>
      <c r="AE9" s="52" t="s">
        <v>27</v>
      </c>
      <c r="AF9" s="53" t="s">
        <v>26</v>
      </c>
      <c r="AG9" s="48" t="s">
        <v>28</v>
      </c>
    </row>
    <row r="10" spans="1:33">
      <c r="A10" s="50">
        <v>4</v>
      </c>
      <c r="B10" s="52" t="s">
        <v>29</v>
      </c>
      <c r="C10" s="54">
        <f>C6*材料成本!E41</f>
        <v>147672</v>
      </c>
      <c r="D10" s="54">
        <f t="shared" si="0"/>
        <v>147672</v>
      </c>
      <c r="O10" s="240"/>
      <c r="AE10" s="52" t="s">
        <v>30</v>
      </c>
      <c r="AF10" s="52" t="s">
        <v>29</v>
      </c>
      <c r="AG10" s="48" t="s">
        <v>31</v>
      </c>
    </row>
    <row r="11" spans="1:33">
      <c r="A11" s="50">
        <v>5</v>
      </c>
      <c r="B11" s="52" t="s">
        <v>32</v>
      </c>
      <c r="C11" s="54">
        <f>+C6*C36</f>
        <v>13492.796729389283</v>
      </c>
      <c r="D11" s="54">
        <f t="shared" si="0"/>
        <v>13492.796729389283</v>
      </c>
      <c r="O11" s="240"/>
      <c r="AE11" s="52" t="s">
        <v>33</v>
      </c>
      <c r="AF11" s="52" t="s">
        <v>32</v>
      </c>
    </row>
    <row r="12" spans="1:33">
      <c r="A12" s="50">
        <v>6</v>
      </c>
      <c r="B12" s="52" t="s">
        <v>34</v>
      </c>
      <c r="C12" s="54">
        <f>+C6*C37</f>
        <v>3618.2375042583853</v>
      </c>
      <c r="D12" s="54">
        <f t="shared" si="0"/>
        <v>3618.2375042583853</v>
      </c>
      <c r="O12" s="240"/>
      <c r="AE12" s="52" t="s">
        <v>35</v>
      </c>
      <c r="AF12" s="52" t="s">
        <v>34</v>
      </c>
    </row>
    <row r="13" spans="1:33">
      <c r="A13" s="50">
        <v>7</v>
      </c>
      <c r="B13" s="52" t="s">
        <v>36</v>
      </c>
      <c r="C13" s="54">
        <f>+C6*C38</f>
        <v>9599.9999999999982</v>
      </c>
      <c r="D13" s="54">
        <f t="shared" si="0"/>
        <v>9599.9999999999982</v>
      </c>
      <c r="O13" s="240"/>
      <c r="AE13" s="52" t="s">
        <v>37</v>
      </c>
      <c r="AF13" s="52" t="s">
        <v>36</v>
      </c>
      <c r="AG13" s="48" t="s">
        <v>20</v>
      </c>
    </row>
    <row r="14" spans="1:33">
      <c r="A14" s="50">
        <v>8</v>
      </c>
      <c r="B14" s="55" t="s">
        <v>38</v>
      </c>
      <c r="C14" s="54">
        <f>SUM(C11:C13)</f>
        <v>26711.034233647668</v>
      </c>
      <c r="D14" s="54">
        <f t="shared" si="0"/>
        <v>26711.034233647668</v>
      </c>
      <c r="O14" s="241"/>
      <c r="AE14" s="52" t="s">
        <v>39</v>
      </c>
      <c r="AF14" s="55" t="s">
        <v>38</v>
      </c>
    </row>
    <row r="15" spans="1:33">
      <c r="A15" s="50">
        <v>9</v>
      </c>
      <c r="B15" s="55" t="s">
        <v>40</v>
      </c>
      <c r="C15" s="54">
        <f>+C9-C10-C14</f>
        <v>65616.965766352339</v>
      </c>
      <c r="D15" s="54">
        <f t="shared" si="0"/>
        <v>65616.965766352339</v>
      </c>
      <c r="O15" s="241"/>
      <c r="AE15" s="52" t="s">
        <v>41</v>
      </c>
      <c r="AF15" s="55" t="s">
        <v>40</v>
      </c>
    </row>
    <row r="16" spans="1:33">
      <c r="A16" s="50">
        <v>10</v>
      </c>
      <c r="B16" s="52" t="s">
        <v>42</v>
      </c>
      <c r="C16" s="56">
        <f>+C15/C9</f>
        <v>0.27340402402646807</v>
      </c>
      <c r="D16" s="56">
        <f t="shared" ref="D16" si="1">+D15/D9</f>
        <v>0.27340402402646807</v>
      </c>
      <c r="O16" s="240"/>
      <c r="AE16" s="52" t="s">
        <v>43</v>
      </c>
      <c r="AF16" s="52" t="s">
        <v>42</v>
      </c>
    </row>
    <row r="17" spans="1:33">
      <c r="A17" s="50">
        <v>11</v>
      </c>
      <c r="B17" s="52" t="s">
        <v>44</v>
      </c>
      <c r="C17" s="54">
        <f>C6*C43+C18</f>
        <v>17133.333333333332</v>
      </c>
      <c r="D17" s="54">
        <f>SUM(C17:C17)</f>
        <v>17133.333333333332</v>
      </c>
      <c r="E17" s="170"/>
      <c r="F17" s="171"/>
      <c r="G17" s="171"/>
      <c r="O17" s="240"/>
      <c r="AE17" s="52" t="s">
        <v>45</v>
      </c>
      <c r="AF17" s="52" t="s">
        <v>44</v>
      </c>
    </row>
    <row r="18" spans="1:33" s="46" customFormat="1">
      <c r="A18" s="50">
        <v>12</v>
      </c>
      <c r="B18" s="57" t="s">
        <v>148</v>
      </c>
      <c r="C18" s="58">
        <f>$D$18/$D$6*C6</f>
        <v>6333.333333333333</v>
      </c>
      <c r="D18" s="58">
        <f>项目投资!D26</f>
        <v>6333.333333333333</v>
      </c>
      <c r="E18" s="172" t="s">
        <v>149</v>
      </c>
      <c r="F18" s="172"/>
      <c r="G18" s="172"/>
      <c r="O18" s="242"/>
    </row>
    <row r="19" spans="1:33">
      <c r="A19" s="50">
        <v>13</v>
      </c>
      <c r="B19" s="52" t="s">
        <v>46</v>
      </c>
      <c r="C19" s="54">
        <f>C6*C44</f>
        <v>1680.0000000000002</v>
      </c>
      <c r="D19" s="54">
        <f>SUM(C19:C19)</f>
        <v>1680.0000000000002</v>
      </c>
      <c r="E19" s="173"/>
      <c r="F19" s="171"/>
      <c r="G19" s="171"/>
      <c r="O19" s="240"/>
      <c r="AE19" s="52" t="s">
        <v>47</v>
      </c>
      <c r="AF19" s="52" t="s">
        <v>46</v>
      </c>
      <c r="AG19" s="48" t="s">
        <v>20</v>
      </c>
    </row>
    <row r="20" spans="1:33">
      <c r="A20" s="50">
        <v>14</v>
      </c>
      <c r="B20" s="52" t="s">
        <v>48</v>
      </c>
      <c r="C20" s="54">
        <f>C6*C45</f>
        <v>7200</v>
      </c>
      <c r="D20" s="54">
        <f>SUM(C20:C20)</f>
        <v>7200</v>
      </c>
      <c r="O20" s="240"/>
      <c r="AE20" s="52" t="s">
        <v>49</v>
      </c>
      <c r="AF20" s="52" t="s">
        <v>48</v>
      </c>
    </row>
    <row r="21" spans="1:33">
      <c r="A21" s="50">
        <v>15</v>
      </c>
      <c r="B21" s="52" t="s">
        <v>50</v>
      </c>
      <c r="C21" s="59">
        <f>$D$21/$D$6*C6</f>
        <v>29433.333333333328</v>
      </c>
      <c r="D21" s="54">
        <f>项目投资!D27</f>
        <v>29433.333333333332</v>
      </c>
      <c r="O21" s="240"/>
      <c r="AE21" s="52"/>
      <c r="AF21" s="52"/>
    </row>
    <row r="22" spans="1:33">
      <c r="A22" s="50">
        <v>16</v>
      </c>
      <c r="B22" s="52" t="s">
        <v>51</v>
      </c>
      <c r="C22" s="54">
        <f>C6*C47</f>
        <v>9600</v>
      </c>
      <c r="D22" s="54">
        <f>SUM(C22:C22)</f>
        <v>9600</v>
      </c>
      <c r="O22" s="240"/>
      <c r="AE22" s="52" t="s">
        <v>52</v>
      </c>
      <c r="AF22" s="52" t="s">
        <v>51</v>
      </c>
    </row>
    <row r="23" spans="1:33">
      <c r="A23" s="50">
        <v>17</v>
      </c>
      <c r="B23" s="55" t="s">
        <v>53</v>
      </c>
      <c r="C23" s="59">
        <f>+C22+C21+C20+C19+C17</f>
        <v>65046.666666666657</v>
      </c>
      <c r="D23" s="59">
        <f t="shared" ref="D23" si="2">+D22+D21+D20+D19+D17</f>
        <v>65046.666666666657</v>
      </c>
      <c r="O23" s="241"/>
      <c r="AE23" s="52" t="s">
        <v>54</v>
      </c>
      <c r="AF23" s="55" t="s">
        <v>53</v>
      </c>
    </row>
    <row r="24" spans="1:33">
      <c r="A24" s="50">
        <v>18</v>
      </c>
      <c r="B24" s="60" t="s">
        <v>55</v>
      </c>
      <c r="C24" s="59">
        <f>+C15-C23</f>
        <v>570.29909968568245</v>
      </c>
      <c r="D24" s="59">
        <f t="shared" ref="D24" si="3">+D15-D23</f>
        <v>570.29909968568245</v>
      </c>
      <c r="F24" s="71"/>
      <c r="O24" s="240"/>
      <c r="AE24" s="52" t="s">
        <v>56</v>
      </c>
      <c r="AF24" s="52" t="s">
        <v>55</v>
      </c>
    </row>
    <row r="25" spans="1:33">
      <c r="A25" s="50">
        <v>19</v>
      </c>
      <c r="B25" s="52" t="s">
        <v>150</v>
      </c>
      <c r="C25" s="59">
        <f>IF(C24&lt;0,0,C24*0.15)</f>
        <v>85.544864952852365</v>
      </c>
      <c r="D25" s="59">
        <f>IF(D24&lt;0,0,D24*0.15)</f>
        <v>85.544864952852365</v>
      </c>
      <c r="E25" s="67"/>
      <c r="F25" s="67"/>
      <c r="G25" s="67"/>
      <c r="O25" s="240"/>
      <c r="AE25" s="52" t="s">
        <v>58</v>
      </c>
      <c r="AF25" s="52" t="s">
        <v>57</v>
      </c>
    </row>
    <row r="26" spans="1:33">
      <c r="A26" s="50">
        <v>20</v>
      </c>
      <c r="B26" s="52" t="s">
        <v>59</v>
      </c>
      <c r="C26" s="59">
        <f t="shared" ref="C26" si="4">C24-C25</f>
        <v>484.75423473283007</v>
      </c>
      <c r="D26" s="54">
        <f>D24</f>
        <v>570.29909968568245</v>
      </c>
      <c r="E26" s="67"/>
      <c r="F26" s="67"/>
      <c r="G26" s="67"/>
      <c r="O26" s="240"/>
      <c r="AE26" s="52" t="s">
        <v>60</v>
      </c>
      <c r="AF26" s="52" t="s">
        <v>59</v>
      </c>
    </row>
    <row r="27" spans="1:33">
      <c r="A27" s="50">
        <v>21</v>
      </c>
      <c r="B27" s="52" t="s">
        <v>63</v>
      </c>
      <c r="C27" s="61">
        <f t="shared" ref="C27:D27" si="5">C26/C7</f>
        <v>2.0198093113867918E-3</v>
      </c>
      <c r="D27" s="61">
        <f t="shared" si="5"/>
        <v>2.3762462486903438E-3</v>
      </c>
      <c r="E27" s="67"/>
      <c r="F27" s="67"/>
      <c r="G27" s="67"/>
      <c r="O27" s="240"/>
      <c r="AE27" s="52" t="s">
        <v>62</v>
      </c>
      <c r="AF27" s="52" t="s">
        <v>63</v>
      </c>
    </row>
    <row r="28" spans="1:33">
      <c r="E28" s="67"/>
      <c r="F28" s="67"/>
      <c r="G28" s="67"/>
      <c r="O28" s="240"/>
    </row>
    <row r="29" spans="1:33">
      <c r="A29" s="48" t="s">
        <v>64</v>
      </c>
      <c r="D29" s="49" t="s">
        <v>151</v>
      </c>
      <c r="E29" s="67"/>
      <c r="F29" s="67"/>
      <c r="G29" s="67"/>
      <c r="O29" s="240"/>
      <c r="AE29" s="48" t="s">
        <v>64</v>
      </c>
    </row>
    <row r="30" spans="1:33">
      <c r="A30" s="52" t="s">
        <v>67</v>
      </c>
      <c r="B30" s="55" t="s">
        <v>68</v>
      </c>
      <c r="C30" s="59"/>
      <c r="D30" s="59"/>
      <c r="E30" s="67"/>
      <c r="F30" s="67"/>
      <c r="G30" s="67"/>
      <c r="I30" s="67"/>
      <c r="O30" s="241"/>
      <c r="AE30" s="52" t="s">
        <v>69</v>
      </c>
      <c r="AF30" s="55" t="s">
        <v>68</v>
      </c>
    </row>
    <row r="31" spans="1:33">
      <c r="A31" s="62">
        <v>1</v>
      </c>
      <c r="B31" s="57" t="s">
        <v>70</v>
      </c>
      <c r="C31" s="63">
        <f>销量!C8</f>
        <v>800</v>
      </c>
      <c r="D31" s="59"/>
      <c r="E31" s="67"/>
      <c r="F31" s="67"/>
      <c r="G31" s="67"/>
      <c r="I31" s="67"/>
      <c r="O31" s="240"/>
      <c r="AE31" s="52" t="s">
        <v>22</v>
      </c>
      <c r="AF31" s="52" t="s">
        <v>70</v>
      </c>
    </row>
    <row r="32" spans="1:33">
      <c r="A32" s="62">
        <v>2</v>
      </c>
      <c r="B32" s="52" t="s">
        <v>152</v>
      </c>
      <c r="C32" s="54">
        <f>C31*1</f>
        <v>800</v>
      </c>
      <c r="D32" s="59"/>
      <c r="E32" s="67"/>
      <c r="F32" s="67"/>
      <c r="G32" s="67"/>
      <c r="H32" s="67"/>
      <c r="I32" s="67"/>
      <c r="J32" s="67"/>
      <c r="K32" s="67"/>
      <c r="O32" s="240"/>
      <c r="AE32" s="52"/>
      <c r="AF32" s="52"/>
    </row>
    <row r="33" spans="1:32">
      <c r="A33" s="62">
        <v>3</v>
      </c>
      <c r="B33" s="57" t="s">
        <v>71</v>
      </c>
      <c r="C33" s="54">
        <f>材料成本!E41</f>
        <v>492.23999999999995</v>
      </c>
      <c r="D33" s="59"/>
      <c r="F33" s="67"/>
      <c r="G33" s="67"/>
      <c r="H33" s="67"/>
      <c r="I33" s="67"/>
      <c r="J33" s="67"/>
      <c r="K33" s="67"/>
      <c r="O33" s="240"/>
      <c r="AE33" s="52" t="s">
        <v>24</v>
      </c>
      <c r="AF33" s="52" t="s">
        <v>71</v>
      </c>
    </row>
    <row r="34" spans="1:32" ht="17.25" customHeight="1">
      <c r="A34" s="62">
        <v>4</v>
      </c>
      <c r="B34" s="52" t="s">
        <v>73</v>
      </c>
      <c r="C34" s="64">
        <f>C32-C33</f>
        <v>307.76000000000005</v>
      </c>
      <c r="D34" s="59"/>
      <c r="F34" s="67"/>
      <c r="G34" s="67"/>
      <c r="H34" s="67"/>
      <c r="I34" s="67"/>
      <c r="J34" s="67"/>
      <c r="K34" s="67"/>
      <c r="O34" s="240"/>
      <c r="AE34" s="52" t="s">
        <v>72</v>
      </c>
      <c r="AF34" s="52" t="s">
        <v>73</v>
      </c>
    </row>
    <row r="35" spans="1:32">
      <c r="A35" s="52" t="s">
        <v>69</v>
      </c>
      <c r="B35" s="55" t="s">
        <v>10</v>
      </c>
      <c r="C35" s="59"/>
      <c r="D35" s="59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41"/>
      <c r="AE35" s="52" t="s">
        <v>75</v>
      </c>
      <c r="AF35" s="55" t="s">
        <v>10</v>
      </c>
    </row>
    <row r="36" spans="1:32">
      <c r="A36" s="62">
        <v>1</v>
      </c>
      <c r="B36" s="52" t="s">
        <v>76</v>
      </c>
      <c r="C36" s="58">
        <f>标准成本!E4</f>
        <v>44.97598909796428</v>
      </c>
      <c r="D36" s="63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40"/>
      <c r="AE36" s="52" t="s">
        <v>72</v>
      </c>
      <c r="AF36" s="52" t="s">
        <v>76</v>
      </c>
    </row>
    <row r="37" spans="1:32">
      <c r="A37" s="62">
        <v>2</v>
      </c>
      <c r="B37" s="52" t="s">
        <v>77</v>
      </c>
      <c r="C37" s="58">
        <f>标准成本!E6</f>
        <v>12.060791680861284</v>
      </c>
      <c r="D37" s="63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240"/>
      <c r="AE37" s="52" t="s">
        <v>27</v>
      </c>
      <c r="AF37" s="52" t="s">
        <v>77</v>
      </c>
    </row>
    <row r="38" spans="1:32">
      <c r="A38" s="62">
        <v>3</v>
      </c>
      <c r="B38" s="52" t="s">
        <v>78</v>
      </c>
      <c r="C38" s="58">
        <f>标准成本!E10</f>
        <v>31.999999999999996</v>
      </c>
      <c r="D38" s="63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40"/>
      <c r="AE38" s="52" t="s">
        <v>33</v>
      </c>
      <c r="AF38" s="52" t="s">
        <v>78</v>
      </c>
    </row>
    <row r="39" spans="1:32">
      <c r="A39" s="52" t="s">
        <v>75</v>
      </c>
      <c r="B39" s="55" t="s">
        <v>80</v>
      </c>
      <c r="C39" s="59"/>
      <c r="D39" s="59"/>
      <c r="O39" s="241"/>
      <c r="AE39" s="52" t="s">
        <v>79</v>
      </c>
      <c r="AF39" s="55" t="s">
        <v>80</v>
      </c>
    </row>
    <row r="40" spans="1:32">
      <c r="A40" s="62">
        <v>1</v>
      </c>
      <c r="B40" s="52" t="s">
        <v>82</v>
      </c>
      <c r="C40" s="59">
        <f>C34-C36-C37-C38</f>
        <v>218.7232192211745</v>
      </c>
      <c r="D40" s="59"/>
      <c r="O40" s="240"/>
      <c r="AE40" s="52" t="s">
        <v>22</v>
      </c>
      <c r="AF40" s="52" t="s">
        <v>82</v>
      </c>
    </row>
    <row r="41" spans="1:32">
      <c r="A41" s="62">
        <v>2</v>
      </c>
      <c r="B41" s="52" t="s">
        <v>83</v>
      </c>
      <c r="C41" s="59"/>
      <c r="D41" s="59"/>
      <c r="O41" s="240"/>
      <c r="AE41" s="52" t="s">
        <v>24</v>
      </c>
      <c r="AF41" s="52" t="s">
        <v>83</v>
      </c>
    </row>
    <row r="42" spans="1:32">
      <c r="A42" s="52" t="s">
        <v>79</v>
      </c>
      <c r="B42" s="55" t="s">
        <v>85</v>
      </c>
      <c r="C42" s="59"/>
      <c r="D42" s="59"/>
      <c r="O42" s="241"/>
      <c r="AE42" s="52" t="s">
        <v>84</v>
      </c>
      <c r="AF42" s="55" t="s">
        <v>85</v>
      </c>
    </row>
    <row r="43" spans="1:32">
      <c r="A43" s="62">
        <v>1</v>
      </c>
      <c r="B43" s="60" t="s">
        <v>86</v>
      </c>
      <c r="C43" s="58">
        <f>标准成本!E5</f>
        <v>36</v>
      </c>
      <c r="D43" s="59"/>
      <c r="O43" s="240"/>
      <c r="AE43" s="52" t="s">
        <v>22</v>
      </c>
      <c r="AF43" s="52" t="s">
        <v>86</v>
      </c>
    </row>
    <row r="44" spans="1:32">
      <c r="A44" s="62">
        <v>2</v>
      </c>
      <c r="B44" s="60" t="s">
        <v>87</v>
      </c>
      <c r="C44" s="58">
        <f>标准成本!E9</f>
        <v>5.6000000000000005</v>
      </c>
      <c r="D44" s="59"/>
      <c r="O44" s="240"/>
      <c r="AE44" s="52" t="s">
        <v>24</v>
      </c>
      <c r="AF44" s="52" t="s">
        <v>87</v>
      </c>
    </row>
    <row r="45" spans="1:32">
      <c r="A45" s="62">
        <v>3</v>
      </c>
      <c r="B45" s="60" t="s">
        <v>88</v>
      </c>
      <c r="C45" s="65">
        <f>标准成本!E8</f>
        <v>24</v>
      </c>
      <c r="D45" s="59"/>
      <c r="O45" s="240"/>
      <c r="AE45" s="52" t="s">
        <v>72</v>
      </c>
      <c r="AF45" s="52" t="s">
        <v>88</v>
      </c>
    </row>
    <row r="46" spans="1:32" s="47" customFormat="1">
      <c r="A46" s="62">
        <v>4</v>
      </c>
      <c r="B46" s="60" t="s">
        <v>89</v>
      </c>
      <c r="C46" s="65">
        <f>C21/C6</f>
        <v>98.1111111111111</v>
      </c>
      <c r="D46" s="65"/>
      <c r="O46" s="243"/>
      <c r="AE46" s="60" t="s">
        <v>30</v>
      </c>
      <c r="AF46" s="60" t="s">
        <v>91</v>
      </c>
    </row>
    <row r="47" spans="1:32" s="47" customFormat="1">
      <c r="A47" s="62">
        <v>5</v>
      </c>
      <c r="B47" s="60" t="s">
        <v>91</v>
      </c>
      <c r="C47" s="65">
        <f>标准成本!E11</f>
        <v>32</v>
      </c>
      <c r="D47" s="65"/>
      <c r="O47" s="243"/>
      <c r="AE47" s="60" t="s">
        <v>30</v>
      </c>
      <c r="AF47" s="60" t="s">
        <v>91</v>
      </c>
    </row>
    <row r="48" spans="1:32">
      <c r="A48" s="52" t="s">
        <v>84</v>
      </c>
      <c r="B48" s="55" t="s">
        <v>102</v>
      </c>
      <c r="C48" s="59">
        <f>C40-C43-C44-C45-C47-C46</f>
        <v>23.012108110063409</v>
      </c>
      <c r="D48" s="59"/>
      <c r="O48" s="241"/>
      <c r="AE48" s="52" t="s">
        <v>101</v>
      </c>
      <c r="AF48" s="55" t="s">
        <v>102</v>
      </c>
    </row>
    <row r="51" spans="2:9">
      <c r="C51" s="66"/>
    </row>
    <row r="54" spans="2:9">
      <c r="B54" s="67"/>
      <c r="C54" s="68"/>
      <c r="D54" s="68"/>
      <c r="E54" s="67"/>
      <c r="F54" s="67"/>
      <c r="G54" s="67"/>
      <c r="H54" s="67"/>
      <c r="I54" s="67"/>
    </row>
    <row r="55" spans="2:9">
      <c r="B55" s="67"/>
      <c r="C55" s="68"/>
      <c r="D55" s="68"/>
      <c r="E55" s="67"/>
      <c r="F55" s="67"/>
      <c r="G55" s="67"/>
      <c r="H55" s="67"/>
      <c r="I55" s="67"/>
    </row>
    <row r="56" spans="2:9">
      <c r="B56" s="67"/>
      <c r="C56" s="68"/>
      <c r="D56" s="68"/>
      <c r="E56" s="67"/>
      <c r="F56" s="67"/>
      <c r="G56" s="67"/>
      <c r="H56" s="67"/>
      <c r="I56" s="67"/>
    </row>
    <row r="57" spans="2:9">
      <c r="B57" s="67"/>
      <c r="C57" s="68"/>
      <c r="D57" s="68"/>
      <c r="E57" s="67"/>
      <c r="F57" s="67"/>
      <c r="G57" s="67"/>
      <c r="H57" s="67"/>
      <c r="I57" s="67"/>
    </row>
    <row r="58" spans="2:9">
      <c r="B58" s="67"/>
      <c r="C58" s="68"/>
      <c r="D58" s="68"/>
      <c r="E58" s="67"/>
      <c r="F58" s="67"/>
      <c r="G58" s="67"/>
      <c r="H58" s="67"/>
      <c r="I58" s="67"/>
    </row>
    <row r="59" spans="2:9">
      <c r="B59" s="67"/>
      <c r="C59" s="68"/>
      <c r="D59" s="68"/>
      <c r="E59" s="67"/>
      <c r="F59" s="67"/>
      <c r="G59" s="67"/>
      <c r="H59" s="67"/>
      <c r="I59" s="67"/>
    </row>
    <row r="60" spans="2:9">
      <c r="B60" s="67"/>
      <c r="C60" s="68"/>
      <c r="D60" s="68"/>
      <c r="E60" s="67"/>
      <c r="F60" s="67"/>
      <c r="G60" s="67"/>
      <c r="H60" s="67"/>
      <c r="I60" s="67"/>
    </row>
    <row r="61" spans="2:9">
      <c r="B61" s="67"/>
      <c r="C61" s="68"/>
      <c r="D61" s="68"/>
      <c r="E61" s="67"/>
      <c r="F61" s="67"/>
      <c r="G61" s="67"/>
      <c r="H61" s="67"/>
      <c r="I61" s="67"/>
    </row>
    <row r="62" spans="2:9">
      <c r="B62" s="67"/>
      <c r="C62" s="68"/>
      <c r="D62" s="68"/>
      <c r="E62" s="67"/>
      <c r="F62" s="67"/>
      <c r="G62" s="67"/>
      <c r="H62" s="67"/>
      <c r="I62" s="67"/>
    </row>
    <row r="63" spans="2:9">
      <c r="B63" s="67"/>
      <c r="C63" s="68"/>
      <c r="D63" s="68"/>
      <c r="E63" s="67"/>
      <c r="F63" s="67"/>
      <c r="G63" s="67"/>
      <c r="H63" s="67"/>
      <c r="I63" s="67"/>
    </row>
    <row r="64" spans="2:9">
      <c r="B64" s="67"/>
      <c r="C64" s="68"/>
      <c r="D64" s="68"/>
      <c r="E64" s="67"/>
      <c r="F64" s="67"/>
      <c r="G64" s="67"/>
      <c r="H64" s="67"/>
      <c r="I64" s="67"/>
    </row>
    <row r="65" spans="2:9">
      <c r="B65" s="67"/>
      <c r="C65" s="68"/>
      <c r="D65" s="68"/>
      <c r="E65" s="67"/>
      <c r="F65" s="67"/>
      <c r="G65" s="67"/>
      <c r="H65" s="67"/>
      <c r="I65" s="67"/>
    </row>
    <row r="66" spans="2:9">
      <c r="B66" s="67"/>
      <c r="C66" s="68"/>
      <c r="D66" s="68"/>
      <c r="E66" s="67"/>
      <c r="F66" s="67"/>
      <c r="G66" s="67"/>
      <c r="H66" s="67"/>
      <c r="I66" s="67"/>
    </row>
    <row r="67" spans="2:9">
      <c r="B67" s="67"/>
      <c r="C67" s="68"/>
      <c r="D67" s="68"/>
      <c r="E67" s="67"/>
    </row>
    <row r="68" spans="2:9">
      <c r="B68" s="67"/>
      <c r="C68" s="68"/>
      <c r="D68" s="68"/>
      <c r="E68" s="67"/>
    </row>
    <row r="69" spans="2:9">
      <c r="B69" s="67"/>
      <c r="C69" s="68"/>
      <c r="D69" s="68"/>
      <c r="E69" s="67"/>
    </row>
    <row r="70" spans="2:9">
      <c r="B70" s="67"/>
      <c r="C70" s="68"/>
      <c r="D70" s="68"/>
      <c r="E70" s="67"/>
    </row>
    <row r="71" spans="2:9">
      <c r="B71" s="67"/>
      <c r="C71" s="68"/>
      <c r="D71" s="68"/>
      <c r="E71" s="67"/>
    </row>
    <row r="72" spans="2:9">
      <c r="B72" s="67"/>
      <c r="C72" s="68"/>
      <c r="D72" s="68"/>
      <c r="E72" s="67"/>
    </row>
    <row r="73" spans="2:9">
      <c r="B73" s="67"/>
      <c r="C73" s="68"/>
      <c r="D73" s="68"/>
      <c r="E73" s="67"/>
    </row>
    <row r="74" spans="2:9">
      <c r="B74" s="67"/>
      <c r="C74" s="68"/>
      <c r="D74" s="68"/>
      <c r="E74" s="67"/>
    </row>
  </sheetData>
  <mergeCells count="8">
    <mergeCell ref="A4:B4"/>
    <mergeCell ref="A5:B5"/>
    <mergeCell ref="D3:D5"/>
    <mergeCell ref="A1:B1"/>
    <mergeCell ref="C1:D1"/>
    <mergeCell ref="A2:B2"/>
    <mergeCell ref="C2:D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29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1" width="5.125" style="48" customWidth="1"/>
    <col min="2" max="2" width="17.5" style="48" customWidth="1"/>
    <col min="3" max="3" width="16.125" style="49" bestFit="1" customWidth="1"/>
    <col min="4" max="4" width="18.75" style="49" customWidth="1"/>
    <col min="5" max="5" width="12.375" style="48" customWidth="1"/>
    <col min="6" max="6" width="10.125" style="48" customWidth="1"/>
    <col min="7" max="13" width="9" style="48" customWidth="1"/>
    <col min="14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52" t="s">
        <v>142</v>
      </c>
      <c r="B1" s="252"/>
      <c r="C1" s="256" t="s">
        <v>249</v>
      </c>
      <c r="D1" s="257"/>
    </row>
    <row r="2" spans="1:33">
      <c r="A2" s="252" t="s">
        <v>143</v>
      </c>
      <c r="B2" s="252"/>
      <c r="C2" s="258" t="str">
        <f>'2022年'!C2:D2</f>
        <v>陕重汽</v>
      </c>
      <c r="D2" s="258"/>
    </row>
    <row r="3" spans="1:33">
      <c r="A3" s="252" t="s">
        <v>144</v>
      </c>
      <c r="B3" s="252"/>
      <c r="C3" s="188" t="str">
        <f>'2022年'!C3</f>
        <v>副驾驶员座椅</v>
      </c>
      <c r="D3" s="253" t="s">
        <v>18</v>
      </c>
    </row>
    <row r="4" spans="1:33">
      <c r="A4" s="252" t="s">
        <v>145</v>
      </c>
      <c r="B4" s="252"/>
      <c r="C4" s="188" t="str">
        <f>'2022年'!C4</f>
        <v>YZ16625200010</v>
      </c>
      <c r="D4" s="254"/>
    </row>
    <row r="5" spans="1:33">
      <c r="A5" s="252" t="s">
        <v>146</v>
      </c>
      <c r="B5" s="252"/>
      <c r="C5" s="51"/>
      <c r="D5" s="255"/>
      <c r="AG5" s="48" t="s">
        <v>19</v>
      </c>
    </row>
    <row r="6" spans="1:33" ht="17.25">
      <c r="A6" s="52" t="s">
        <v>16</v>
      </c>
      <c r="B6" s="53" t="s">
        <v>147</v>
      </c>
      <c r="C6" s="23">
        <f>销量!C10</f>
        <v>2000</v>
      </c>
      <c r="D6" s="54">
        <f t="shared" ref="D6:D15" si="0">SUM(C6:C6)</f>
        <v>2000</v>
      </c>
      <c r="O6" s="238"/>
      <c r="AE6" s="52" t="s">
        <v>16</v>
      </c>
      <c r="AF6" s="53" t="s">
        <v>3</v>
      </c>
      <c r="AG6" s="48" t="s">
        <v>20</v>
      </c>
    </row>
    <row r="7" spans="1:33">
      <c r="A7" s="160">
        <v>1</v>
      </c>
      <c r="B7" s="53" t="s">
        <v>21</v>
      </c>
      <c r="C7" s="54">
        <f>C6*销量!C8</f>
        <v>1600000</v>
      </c>
      <c r="D7" s="54">
        <f t="shared" si="0"/>
        <v>1600000</v>
      </c>
      <c r="E7" s="49"/>
      <c r="O7" s="238"/>
      <c r="AE7" s="52" t="s">
        <v>22</v>
      </c>
      <c r="AF7" s="53" t="s">
        <v>21</v>
      </c>
      <c r="AG7" s="48" t="s">
        <v>20</v>
      </c>
    </row>
    <row r="8" spans="1:33">
      <c r="A8" s="160">
        <v>2</v>
      </c>
      <c r="B8" s="160" t="s">
        <v>23</v>
      </c>
      <c r="C8" s="54">
        <f>C7*(1-销量!$L$7)</f>
        <v>32000.000000000029</v>
      </c>
      <c r="D8" s="54">
        <f t="shared" si="0"/>
        <v>32000.000000000029</v>
      </c>
      <c r="E8" s="69"/>
      <c r="O8" s="239"/>
      <c r="AE8" s="52" t="s">
        <v>24</v>
      </c>
      <c r="AF8" s="160" t="s">
        <v>25</v>
      </c>
      <c r="AG8" s="48" t="s">
        <v>20</v>
      </c>
    </row>
    <row r="9" spans="1:33">
      <c r="A9" s="160">
        <v>3</v>
      </c>
      <c r="B9" s="53" t="s">
        <v>26</v>
      </c>
      <c r="C9" s="54">
        <f>+C7-C8</f>
        <v>1568000</v>
      </c>
      <c r="D9" s="54">
        <f t="shared" si="0"/>
        <v>1568000</v>
      </c>
      <c r="O9" s="238"/>
      <c r="AE9" s="52" t="s">
        <v>27</v>
      </c>
      <c r="AF9" s="53" t="s">
        <v>26</v>
      </c>
      <c r="AG9" s="48" t="s">
        <v>28</v>
      </c>
    </row>
    <row r="10" spans="1:33">
      <c r="A10" s="160">
        <v>4</v>
      </c>
      <c r="B10" s="52" t="s">
        <v>29</v>
      </c>
      <c r="C10" s="54">
        <f>C6*材料成本!F41</f>
        <v>964790.39999999991</v>
      </c>
      <c r="D10" s="54">
        <f t="shared" si="0"/>
        <v>964790.39999999991</v>
      </c>
      <c r="O10" s="240"/>
      <c r="AE10" s="52" t="s">
        <v>30</v>
      </c>
      <c r="AF10" s="52" t="s">
        <v>29</v>
      </c>
      <c r="AG10" s="48" t="s">
        <v>31</v>
      </c>
    </row>
    <row r="11" spans="1:33">
      <c r="A11" s="160">
        <v>5</v>
      </c>
      <c r="B11" s="52" t="s">
        <v>32</v>
      </c>
      <c r="C11" s="54">
        <f>+C6*C36</f>
        <v>89951.978195928561</v>
      </c>
      <c r="D11" s="54">
        <f t="shared" si="0"/>
        <v>89951.978195928561</v>
      </c>
      <c r="O11" s="240"/>
      <c r="AE11" s="52" t="s">
        <v>33</v>
      </c>
      <c r="AF11" s="52" t="s">
        <v>32</v>
      </c>
    </row>
    <row r="12" spans="1:33">
      <c r="A12" s="160">
        <v>6</v>
      </c>
      <c r="B12" s="52" t="s">
        <v>34</v>
      </c>
      <c r="C12" s="54">
        <f>+C6*C37</f>
        <v>24121.583361722569</v>
      </c>
      <c r="D12" s="54">
        <f t="shared" si="0"/>
        <v>24121.583361722569</v>
      </c>
      <c r="O12" s="240"/>
      <c r="AE12" s="52" t="s">
        <v>35</v>
      </c>
      <c r="AF12" s="52" t="s">
        <v>34</v>
      </c>
    </row>
    <row r="13" spans="1:33">
      <c r="A13" s="160">
        <v>7</v>
      </c>
      <c r="B13" s="52" t="s">
        <v>36</v>
      </c>
      <c r="C13" s="54">
        <f>+C6*C38</f>
        <v>63999.999999999993</v>
      </c>
      <c r="D13" s="54">
        <f t="shared" si="0"/>
        <v>63999.999999999993</v>
      </c>
      <c r="O13" s="240"/>
      <c r="AE13" s="52" t="s">
        <v>37</v>
      </c>
      <c r="AF13" s="52" t="s">
        <v>36</v>
      </c>
      <c r="AG13" s="48" t="s">
        <v>20</v>
      </c>
    </row>
    <row r="14" spans="1:33">
      <c r="A14" s="160">
        <v>8</v>
      </c>
      <c r="B14" s="55" t="s">
        <v>38</v>
      </c>
      <c r="C14" s="54">
        <f>SUM(C11:C13)</f>
        <v>178073.56155765112</v>
      </c>
      <c r="D14" s="54">
        <f t="shared" si="0"/>
        <v>178073.56155765112</v>
      </c>
      <c r="O14" s="241"/>
      <c r="AE14" s="52" t="s">
        <v>39</v>
      </c>
      <c r="AF14" s="55" t="s">
        <v>38</v>
      </c>
    </row>
    <row r="15" spans="1:33">
      <c r="A15" s="160">
        <v>9</v>
      </c>
      <c r="B15" s="55" t="s">
        <v>40</v>
      </c>
      <c r="C15" s="54">
        <f>+C9-C10-C14</f>
        <v>425136.03844234894</v>
      </c>
      <c r="D15" s="54">
        <f t="shared" si="0"/>
        <v>425136.03844234894</v>
      </c>
      <c r="O15" s="241"/>
      <c r="AE15" s="52" t="s">
        <v>41</v>
      </c>
      <c r="AF15" s="55" t="s">
        <v>40</v>
      </c>
    </row>
    <row r="16" spans="1:33">
      <c r="A16" s="160">
        <v>10</v>
      </c>
      <c r="B16" s="52" t="s">
        <v>42</v>
      </c>
      <c r="C16" s="56">
        <f>+C15/C9</f>
        <v>0.27113267757802867</v>
      </c>
      <c r="D16" s="56">
        <f t="shared" ref="D16" si="1">+D15/D9</f>
        <v>0.27113267757802867</v>
      </c>
      <c r="O16" s="240"/>
      <c r="AE16" s="52" t="s">
        <v>43</v>
      </c>
      <c r="AF16" s="52" t="s">
        <v>42</v>
      </c>
    </row>
    <row r="17" spans="1:33">
      <c r="A17" s="160">
        <v>11</v>
      </c>
      <c r="B17" s="52" t="s">
        <v>44</v>
      </c>
      <c r="C17" s="54">
        <f>C6*C43+C18</f>
        <v>78333.333333333328</v>
      </c>
      <c r="D17" s="54">
        <f>SUM(C17:C17)</f>
        <v>78333.333333333328</v>
      </c>
      <c r="E17" s="69"/>
      <c r="O17" s="240"/>
      <c r="AE17" s="52" t="s">
        <v>45</v>
      </c>
      <c r="AF17" s="52" t="s">
        <v>44</v>
      </c>
    </row>
    <row r="18" spans="1:33" s="46" customFormat="1">
      <c r="A18" s="160">
        <v>12</v>
      </c>
      <c r="B18" s="57" t="s">
        <v>148</v>
      </c>
      <c r="C18" s="58">
        <f>$D$18/$D$6*C6</f>
        <v>6333.333333333333</v>
      </c>
      <c r="D18" s="58">
        <f>项目投资!D26</f>
        <v>6333.333333333333</v>
      </c>
      <c r="E18" s="70" t="s">
        <v>149</v>
      </c>
      <c r="F18" s="70"/>
      <c r="G18" s="70"/>
      <c r="O18" s="242"/>
    </row>
    <row r="19" spans="1:33">
      <c r="A19" s="160">
        <v>13</v>
      </c>
      <c r="B19" s="52" t="s">
        <v>46</v>
      </c>
      <c r="C19" s="54">
        <f>C6*C44</f>
        <v>11200.000000000002</v>
      </c>
      <c r="D19" s="54">
        <f>SUM(C19:C19)</f>
        <v>11200.000000000002</v>
      </c>
      <c r="E19" s="46"/>
      <c r="O19" s="240"/>
      <c r="AE19" s="52" t="s">
        <v>47</v>
      </c>
      <c r="AF19" s="52" t="s">
        <v>46</v>
      </c>
      <c r="AG19" s="48" t="s">
        <v>20</v>
      </c>
    </row>
    <row r="20" spans="1:33">
      <c r="A20" s="160">
        <v>14</v>
      </c>
      <c r="B20" s="52" t="s">
        <v>48</v>
      </c>
      <c r="C20" s="54">
        <f>C6*C45</f>
        <v>48000</v>
      </c>
      <c r="D20" s="54">
        <f>SUM(C20:C20)</f>
        <v>48000</v>
      </c>
      <c r="O20" s="240"/>
      <c r="AE20" s="52" t="s">
        <v>49</v>
      </c>
      <c r="AF20" s="52" t="s">
        <v>48</v>
      </c>
    </row>
    <row r="21" spans="1:33">
      <c r="A21" s="160">
        <v>15</v>
      </c>
      <c r="B21" s="52" t="s">
        <v>50</v>
      </c>
      <c r="C21" s="59">
        <f>$D$21/$D$6*C6</f>
        <v>29433.333333333332</v>
      </c>
      <c r="D21" s="54">
        <f>项目投资!D27</f>
        <v>29433.333333333332</v>
      </c>
      <c r="O21" s="240"/>
      <c r="AE21" s="52"/>
      <c r="AF21" s="52"/>
    </row>
    <row r="22" spans="1:33">
      <c r="A22" s="160">
        <v>16</v>
      </c>
      <c r="B22" s="52" t="s">
        <v>51</v>
      </c>
      <c r="C22" s="54">
        <f>C6*C47</f>
        <v>64000</v>
      </c>
      <c r="D22" s="54">
        <f>SUM(C22:C22)</f>
        <v>64000</v>
      </c>
      <c r="O22" s="240"/>
      <c r="AE22" s="52" t="s">
        <v>52</v>
      </c>
      <c r="AF22" s="52" t="s">
        <v>51</v>
      </c>
    </row>
    <row r="23" spans="1:33">
      <c r="A23" s="160">
        <v>17</v>
      </c>
      <c r="B23" s="55" t="s">
        <v>53</v>
      </c>
      <c r="C23" s="59">
        <f>+C22+C21+C20+C19+C17</f>
        <v>230966.66666666663</v>
      </c>
      <c r="D23" s="59">
        <f t="shared" ref="D23" si="2">+D22+D21+D20+D19+D17</f>
        <v>230966.66666666663</v>
      </c>
      <c r="O23" s="241"/>
      <c r="AE23" s="52" t="s">
        <v>54</v>
      </c>
      <c r="AF23" s="55" t="s">
        <v>53</v>
      </c>
    </row>
    <row r="24" spans="1:33">
      <c r="A24" s="160">
        <v>18</v>
      </c>
      <c r="B24" s="60" t="s">
        <v>55</v>
      </c>
      <c r="C24" s="59">
        <f>+C15-C23</f>
        <v>194169.37177568232</v>
      </c>
      <c r="D24" s="59">
        <f t="shared" ref="D24" si="3">+D15-D23</f>
        <v>194169.37177568232</v>
      </c>
      <c r="F24" s="71"/>
      <c r="O24" s="240"/>
      <c r="AE24" s="52" t="s">
        <v>56</v>
      </c>
      <c r="AF24" s="52" t="s">
        <v>55</v>
      </c>
    </row>
    <row r="25" spans="1:33">
      <c r="A25" s="160">
        <v>19</v>
      </c>
      <c r="B25" s="52" t="s">
        <v>150</v>
      </c>
      <c r="C25" s="59">
        <f>IF(C24&lt;0,0,C24*0.15)</f>
        <v>29125.405766352345</v>
      </c>
      <c r="D25" s="59">
        <f>IF(D24&lt;0,0,D24*0.15)</f>
        <v>29125.405766352345</v>
      </c>
      <c r="E25" s="67"/>
      <c r="F25" s="67"/>
      <c r="G25" s="67"/>
      <c r="O25" s="240"/>
      <c r="AE25" s="52" t="s">
        <v>58</v>
      </c>
      <c r="AF25" s="52" t="s">
        <v>57</v>
      </c>
    </row>
    <row r="26" spans="1:33">
      <c r="A26" s="160">
        <v>20</v>
      </c>
      <c r="B26" s="52" t="s">
        <v>59</v>
      </c>
      <c r="C26" s="59">
        <f t="shared" ref="C26" si="4">C24-C25</f>
        <v>165043.96600932998</v>
      </c>
      <c r="D26" s="54">
        <f>D24</f>
        <v>194169.37177568232</v>
      </c>
      <c r="E26" s="67"/>
      <c r="F26" s="67"/>
      <c r="G26" s="67"/>
      <c r="O26" s="240"/>
      <c r="AE26" s="52" t="s">
        <v>60</v>
      </c>
      <c r="AF26" s="52" t="s">
        <v>59</v>
      </c>
    </row>
    <row r="27" spans="1:33">
      <c r="A27" s="160">
        <v>21</v>
      </c>
      <c r="B27" s="52" t="s">
        <v>63</v>
      </c>
      <c r="C27" s="61">
        <f t="shared" ref="C27:D27" si="5">C26/C7</f>
        <v>0.10315247875583124</v>
      </c>
      <c r="D27" s="61">
        <f t="shared" si="5"/>
        <v>0.12135585735980145</v>
      </c>
      <c r="E27" s="67"/>
      <c r="F27" s="67"/>
      <c r="G27" s="67"/>
      <c r="O27" s="240"/>
      <c r="AE27" s="52" t="s">
        <v>62</v>
      </c>
      <c r="AF27" s="52" t="s">
        <v>63</v>
      </c>
    </row>
    <row r="28" spans="1:33">
      <c r="E28" s="67"/>
      <c r="F28" s="67"/>
      <c r="G28" s="67"/>
      <c r="O28" s="240"/>
    </row>
    <row r="29" spans="1:33">
      <c r="A29" s="48" t="s">
        <v>64</v>
      </c>
      <c r="D29" s="49" t="s">
        <v>151</v>
      </c>
      <c r="E29" s="67"/>
      <c r="F29" s="67"/>
      <c r="G29" s="67"/>
      <c r="O29" s="240"/>
      <c r="AE29" s="48" t="s">
        <v>64</v>
      </c>
    </row>
    <row r="30" spans="1:33">
      <c r="A30" s="52" t="s">
        <v>67</v>
      </c>
      <c r="B30" s="55" t="s">
        <v>68</v>
      </c>
      <c r="C30" s="59"/>
      <c r="D30" s="59"/>
      <c r="E30" s="67"/>
      <c r="F30" s="67"/>
      <c r="G30" s="67"/>
      <c r="I30" s="67"/>
      <c r="O30" s="241"/>
      <c r="AE30" s="52" t="s">
        <v>69</v>
      </c>
      <c r="AF30" s="55" t="s">
        <v>68</v>
      </c>
    </row>
    <row r="31" spans="1:33">
      <c r="A31" s="160">
        <v>1</v>
      </c>
      <c r="B31" s="57" t="s">
        <v>70</v>
      </c>
      <c r="C31" s="63">
        <f>销量!C8</f>
        <v>800</v>
      </c>
      <c r="D31" s="59"/>
      <c r="E31" s="67"/>
      <c r="F31" s="67"/>
      <c r="G31" s="67"/>
      <c r="I31" s="67"/>
      <c r="O31" s="240"/>
      <c r="AE31" s="52" t="s">
        <v>22</v>
      </c>
      <c r="AF31" s="52" t="s">
        <v>70</v>
      </c>
    </row>
    <row r="32" spans="1:33">
      <c r="A32" s="160">
        <v>2</v>
      </c>
      <c r="B32" s="52" t="s">
        <v>152</v>
      </c>
      <c r="C32" s="54">
        <f>C9/C6</f>
        <v>784</v>
      </c>
      <c r="D32" s="59"/>
      <c r="E32" s="67"/>
      <c r="F32" s="67"/>
      <c r="G32" s="67"/>
      <c r="H32" s="67"/>
      <c r="I32" s="67"/>
      <c r="J32" s="67"/>
      <c r="K32" s="67"/>
      <c r="O32" s="240"/>
      <c r="AE32" s="52"/>
      <c r="AF32" s="52"/>
    </row>
    <row r="33" spans="1:32">
      <c r="A33" s="160">
        <v>3</v>
      </c>
      <c r="B33" s="57" t="s">
        <v>71</v>
      </c>
      <c r="C33" s="54">
        <f>材料成本!F41</f>
        <v>482.39519999999993</v>
      </c>
      <c r="D33" s="59"/>
      <c r="F33" s="67"/>
      <c r="G33" s="67"/>
      <c r="H33" s="67"/>
      <c r="I33" s="67"/>
      <c r="J33" s="67"/>
      <c r="K33" s="67"/>
      <c r="O33" s="240"/>
      <c r="AE33" s="52" t="s">
        <v>24</v>
      </c>
      <c r="AF33" s="52" t="s">
        <v>71</v>
      </c>
    </row>
    <row r="34" spans="1:32" ht="17.25" customHeight="1">
      <c r="A34" s="160">
        <v>4</v>
      </c>
      <c r="B34" s="52" t="s">
        <v>73</v>
      </c>
      <c r="C34" s="64">
        <f>C32-C33</f>
        <v>301.60480000000007</v>
      </c>
      <c r="D34" s="59"/>
      <c r="F34" s="67"/>
      <c r="G34" s="67"/>
      <c r="H34" s="67"/>
      <c r="I34" s="67"/>
      <c r="J34" s="67"/>
      <c r="K34" s="67"/>
      <c r="O34" s="240"/>
      <c r="AE34" s="52" t="s">
        <v>72</v>
      </c>
      <c r="AF34" s="52" t="s">
        <v>73</v>
      </c>
    </row>
    <row r="35" spans="1:32">
      <c r="A35" s="52" t="s">
        <v>69</v>
      </c>
      <c r="B35" s="55" t="s">
        <v>10</v>
      </c>
      <c r="C35" s="59"/>
      <c r="D35" s="59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41"/>
      <c r="AE35" s="52" t="s">
        <v>75</v>
      </c>
      <c r="AF35" s="55" t="s">
        <v>10</v>
      </c>
    </row>
    <row r="36" spans="1:32">
      <c r="A36" s="160">
        <v>1</v>
      </c>
      <c r="B36" s="52" t="s">
        <v>76</v>
      </c>
      <c r="C36" s="58">
        <f>'2022年'!C36</f>
        <v>44.97598909796428</v>
      </c>
      <c r="D36" s="63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40"/>
      <c r="AE36" s="52" t="s">
        <v>72</v>
      </c>
      <c r="AF36" s="52" t="s">
        <v>76</v>
      </c>
    </row>
    <row r="37" spans="1:32">
      <c r="A37" s="160">
        <v>2</v>
      </c>
      <c r="B37" s="52" t="s">
        <v>77</v>
      </c>
      <c r="C37" s="58">
        <f>'2022年'!C37</f>
        <v>12.060791680861284</v>
      </c>
      <c r="D37" s="63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240"/>
      <c r="AE37" s="52" t="s">
        <v>27</v>
      </c>
      <c r="AF37" s="52" t="s">
        <v>77</v>
      </c>
    </row>
    <row r="38" spans="1:32">
      <c r="A38" s="160">
        <v>3</v>
      </c>
      <c r="B38" s="52" t="s">
        <v>78</v>
      </c>
      <c r="C38" s="58">
        <f>'2022年'!C38</f>
        <v>31.999999999999996</v>
      </c>
      <c r="D38" s="63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40"/>
      <c r="AE38" s="52" t="s">
        <v>33</v>
      </c>
      <c r="AF38" s="52" t="s">
        <v>78</v>
      </c>
    </row>
    <row r="39" spans="1:32">
      <c r="A39" s="52" t="s">
        <v>75</v>
      </c>
      <c r="B39" s="55" t="s">
        <v>80</v>
      </c>
      <c r="C39" s="59"/>
      <c r="D39" s="59"/>
      <c r="O39" s="241"/>
      <c r="AE39" s="52" t="s">
        <v>79</v>
      </c>
      <c r="AF39" s="55" t="s">
        <v>80</v>
      </c>
    </row>
    <row r="40" spans="1:32">
      <c r="A40" s="160">
        <v>1</v>
      </c>
      <c r="B40" s="52" t="s">
        <v>82</v>
      </c>
      <c r="C40" s="59">
        <f>C34-C36-C37-C38</f>
        <v>212.56801922117452</v>
      </c>
      <c r="D40" s="59"/>
      <c r="O40" s="240"/>
      <c r="AE40" s="52" t="s">
        <v>22</v>
      </c>
      <c r="AF40" s="52" t="s">
        <v>82</v>
      </c>
    </row>
    <row r="41" spans="1:32">
      <c r="A41" s="160">
        <v>2</v>
      </c>
      <c r="B41" s="52" t="s">
        <v>83</v>
      </c>
      <c r="C41" s="59"/>
      <c r="D41" s="59"/>
      <c r="O41" s="240"/>
      <c r="AE41" s="52" t="s">
        <v>24</v>
      </c>
      <c r="AF41" s="52" t="s">
        <v>83</v>
      </c>
    </row>
    <row r="42" spans="1:32">
      <c r="A42" s="52" t="s">
        <v>79</v>
      </c>
      <c r="B42" s="55" t="s">
        <v>85</v>
      </c>
      <c r="C42" s="59"/>
      <c r="D42" s="59"/>
      <c r="O42" s="241"/>
      <c r="AE42" s="52" t="s">
        <v>84</v>
      </c>
      <c r="AF42" s="55" t="s">
        <v>85</v>
      </c>
    </row>
    <row r="43" spans="1:32">
      <c r="A43" s="160">
        <v>1</v>
      </c>
      <c r="B43" s="60" t="s">
        <v>86</v>
      </c>
      <c r="C43" s="58">
        <f>'2022年'!C43</f>
        <v>36</v>
      </c>
      <c r="D43" s="59"/>
      <c r="O43" s="240"/>
      <c r="AE43" s="52" t="s">
        <v>22</v>
      </c>
      <c r="AF43" s="52" t="s">
        <v>86</v>
      </c>
    </row>
    <row r="44" spans="1:32">
      <c r="A44" s="160">
        <v>2</v>
      </c>
      <c r="B44" s="60" t="s">
        <v>87</v>
      </c>
      <c r="C44" s="58">
        <f>'2022年'!C44</f>
        <v>5.6000000000000005</v>
      </c>
      <c r="D44" s="59"/>
      <c r="O44" s="240"/>
      <c r="AE44" s="52" t="s">
        <v>24</v>
      </c>
      <c r="AF44" s="52" t="s">
        <v>87</v>
      </c>
    </row>
    <row r="45" spans="1:32">
      <c r="A45" s="160">
        <v>3</v>
      </c>
      <c r="B45" s="60" t="s">
        <v>88</v>
      </c>
      <c r="C45" s="58">
        <f>'2022年'!C45</f>
        <v>24</v>
      </c>
      <c r="D45" s="59"/>
      <c r="O45" s="240"/>
      <c r="AE45" s="52" t="s">
        <v>72</v>
      </c>
      <c r="AF45" s="52" t="s">
        <v>88</v>
      </c>
    </row>
    <row r="46" spans="1:32" s="47" customFormat="1">
      <c r="A46" s="160">
        <v>4</v>
      </c>
      <c r="B46" s="60" t="s">
        <v>89</v>
      </c>
      <c r="C46" s="65">
        <f>C21/C6</f>
        <v>14.716666666666667</v>
      </c>
      <c r="D46" s="65"/>
      <c r="O46" s="243"/>
      <c r="AE46" s="60" t="s">
        <v>30</v>
      </c>
      <c r="AF46" s="60" t="s">
        <v>91</v>
      </c>
    </row>
    <row r="47" spans="1:32" s="47" customFormat="1">
      <c r="A47" s="160">
        <v>5</v>
      </c>
      <c r="B47" s="60" t="s">
        <v>91</v>
      </c>
      <c r="C47" s="65">
        <f>'2022年'!C47</f>
        <v>32</v>
      </c>
      <c r="D47" s="65"/>
      <c r="O47" s="243"/>
      <c r="AE47" s="60" t="s">
        <v>30</v>
      </c>
      <c r="AF47" s="60" t="s">
        <v>91</v>
      </c>
    </row>
    <row r="48" spans="1:32">
      <c r="A48" s="52" t="s">
        <v>84</v>
      </c>
      <c r="B48" s="55" t="s">
        <v>102</v>
      </c>
      <c r="C48" s="59">
        <f>C40-C43-C44-C45-C47-C46</f>
        <v>100.25135255450786</v>
      </c>
      <c r="D48" s="59"/>
      <c r="O48" s="241"/>
      <c r="AE48" s="52" t="s">
        <v>101</v>
      </c>
      <c r="AF48" s="55" t="s">
        <v>102</v>
      </c>
    </row>
    <row r="51" spans="2:9">
      <c r="C51" s="66"/>
    </row>
    <row r="54" spans="2:9">
      <c r="B54" s="67"/>
      <c r="C54" s="68"/>
      <c r="D54" s="68"/>
      <c r="E54" s="67"/>
      <c r="F54" s="67"/>
      <c r="G54" s="67"/>
      <c r="H54" s="67"/>
      <c r="I54" s="67"/>
    </row>
    <row r="55" spans="2:9">
      <c r="B55" s="67"/>
      <c r="C55" s="68"/>
      <c r="D55" s="68"/>
      <c r="E55" s="67"/>
      <c r="F55" s="67"/>
      <c r="G55" s="67"/>
      <c r="H55" s="67"/>
      <c r="I55" s="67"/>
    </row>
    <row r="56" spans="2:9">
      <c r="B56" s="67"/>
      <c r="C56" s="68"/>
      <c r="D56" s="68"/>
      <c r="E56" s="67"/>
      <c r="F56" s="67"/>
      <c r="G56" s="67"/>
      <c r="H56" s="67"/>
      <c r="I56" s="67"/>
    </row>
    <row r="57" spans="2:9">
      <c r="B57" s="67"/>
      <c r="C57" s="68"/>
      <c r="D57" s="68"/>
      <c r="E57" s="67"/>
      <c r="F57" s="67"/>
      <c r="G57" s="67"/>
      <c r="H57" s="67"/>
      <c r="I57" s="67"/>
    </row>
    <row r="58" spans="2:9">
      <c r="B58" s="67"/>
      <c r="C58" s="68"/>
      <c r="D58" s="68"/>
      <c r="E58" s="67"/>
      <c r="F58" s="67"/>
      <c r="G58" s="67"/>
      <c r="H58" s="67"/>
      <c r="I58" s="67"/>
    </row>
    <row r="59" spans="2:9">
      <c r="B59" s="67"/>
      <c r="C59" s="68"/>
      <c r="D59" s="68"/>
      <c r="E59" s="67"/>
      <c r="F59" s="67"/>
      <c r="G59" s="67"/>
      <c r="H59" s="67"/>
      <c r="I59" s="67"/>
    </row>
    <row r="60" spans="2:9">
      <c r="B60" s="67"/>
      <c r="C60" s="68"/>
      <c r="D60" s="68"/>
      <c r="E60" s="67"/>
      <c r="F60" s="67"/>
      <c r="G60" s="67"/>
      <c r="H60" s="67"/>
      <c r="I60" s="67"/>
    </row>
    <row r="61" spans="2:9">
      <c r="B61" s="67"/>
      <c r="C61" s="68"/>
      <c r="D61" s="68"/>
      <c r="E61" s="67"/>
      <c r="F61" s="67"/>
      <c r="G61" s="67"/>
      <c r="H61" s="67"/>
      <c r="I61" s="67"/>
    </row>
    <row r="62" spans="2:9">
      <c r="B62" s="67"/>
      <c r="C62" s="68"/>
      <c r="D62" s="68"/>
      <c r="E62" s="67"/>
      <c r="F62" s="67"/>
      <c r="G62" s="67"/>
      <c r="H62" s="67"/>
      <c r="I62" s="67"/>
    </row>
    <row r="63" spans="2:9">
      <c r="B63" s="67"/>
      <c r="C63" s="68"/>
      <c r="D63" s="68"/>
      <c r="E63" s="67"/>
      <c r="F63" s="67"/>
      <c r="G63" s="67"/>
      <c r="H63" s="67"/>
      <c r="I63" s="67"/>
    </row>
    <row r="64" spans="2:9">
      <c r="B64" s="67"/>
      <c r="C64" s="68"/>
      <c r="D64" s="68"/>
      <c r="E64" s="67"/>
      <c r="F64" s="67"/>
      <c r="G64" s="67"/>
      <c r="H64" s="67"/>
      <c r="I64" s="67"/>
    </row>
    <row r="65" spans="2:9">
      <c r="B65" s="67"/>
      <c r="C65" s="68"/>
      <c r="D65" s="68"/>
      <c r="E65" s="67"/>
      <c r="F65" s="67"/>
      <c r="G65" s="67"/>
      <c r="H65" s="67"/>
      <c r="I65" s="67"/>
    </row>
    <row r="66" spans="2:9">
      <c r="B66" s="67"/>
      <c r="C66" s="68"/>
      <c r="D66" s="68"/>
      <c r="E66" s="67"/>
      <c r="F66" s="67"/>
      <c r="G66" s="67"/>
      <c r="H66" s="67"/>
      <c r="I66" s="67"/>
    </row>
    <row r="67" spans="2:9">
      <c r="B67" s="67"/>
      <c r="C67" s="68"/>
      <c r="D67" s="68"/>
      <c r="E67" s="67"/>
    </row>
    <row r="68" spans="2:9">
      <c r="B68" s="67"/>
      <c r="C68" s="68"/>
      <c r="D68" s="68"/>
      <c r="E68" s="67"/>
    </row>
    <row r="69" spans="2:9">
      <c r="B69" s="67"/>
      <c r="C69" s="68"/>
      <c r="D69" s="68"/>
      <c r="E69" s="67"/>
    </row>
    <row r="70" spans="2:9">
      <c r="B70" s="67"/>
      <c r="C70" s="68"/>
      <c r="D70" s="68"/>
      <c r="E70" s="67"/>
    </row>
    <row r="71" spans="2:9">
      <c r="B71" s="67"/>
      <c r="C71" s="68"/>
      <c r="D71" s="68"/>
      <c r="E71" s="67"/>
    </row>
    <row r="72" spans="2:9">
      <c r="B72" s="67"/>
      <c r="C72" s="68"/>
      <c r="D72" s="68"/>
      <c r="E72" s="67"/>
    </row>
    <row r="73" spans="2:9">
      <c r="B73" s="67"/>
      <c r="C73" s="68"/>
      <c r="D73" s="68"/>
      <c r="E73" s="67"/>
    </row>
    <row r="74" spans="2:9">
      <c r="B74" s="67"/>
      <c r="C74" s="68"/>
      <c r="D74" s="68"/>
      <c r="E74" s="67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17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5.125" style="48" customWidth="1"/>
    <col min="2" max="2" width="17.5" style="48" customWidth="1"/>
    <col min="3" max="3" width="16.125" style="49" bestFit="1" customWidth="1"/>
    <col min="4" max="4" width="18.75" style="49" customWidth="1"/>
    <col min="5" max="5" width="12.375" style="48" customWidth="1"/>
    <col min="6" max="6" width="10.125" style="48" customWidth="1"/>
    <col min="7" max="13" width="9" style="48" customWidth="1"/>
    <col min="14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52" t="s">
        <v>142</v>
      </c>
      <c r="B1" s="252"/>
      <c r="C1" s="256" t="s">
        <v>250</v>
      </c>
      <c r="D1" s="257"/>
    </row>
    <row r="2" spans="1:33">
      <c r="A2" s="252" t="s">
        <v>143</v>
      </c>
      <c r="B2" s="252"/>
      <c r="C2" s="258" t="str">
        <f>'2022年'!C2:D2</f>
        <v>陕重汽</v>
      </c>
      <c r="D2" s="258"/>
    </row>
    <row r="3" spans="1:33">
      <c r="A3" s="252" t="s">
        <v>144</v>
      </c>
      <c r="B3" s="252"/>
      <c r="C3" s="188" t="str">
        <f>'2022年'!C3</f>
        <v>副驾驶员座椅</v>
      </c>
      <c r="D3" s="253" t="s">
        <v>18</v>
      </c>
    </row>
    <row r="4" spans="1:33">
      <c r="A4" s="252" t="s">
        <v>145</v>
      </c>
      <c r="B4" s="252"/>
      <c r="C4" s="188" t="str">
        <f>'2022年'!C4</f>
        <v>YZ16625200010</v>
      </c>
      <c r="D4" s="254"/>
    </row>
    <row r="5" spans="1:33">
      <c r="A5" s="252" t="s">
        <v>146</v>
      </c>
      <c r="B5" s="252"/>
      <c r="C5" s="51"/>
      <c r="D5" s="255"/>
      <c r="AG5" s="48" t="s">
        <v>19</v>
      </c>
    </row>
    <row r="6" spans="1:33" ht="17.25">
      <c r="A6" s="52" t="s">
        <v>16</v>
      </c>
      <c r="B6" s="53" t="s">
        <v>147</v>
      </c>
      <c r="C6" s="23">
        <f>销量!C11</f>
        <v>2000</v>
      </c>
      <c r="D6" s="54">
        <f t="shared" ref="D6:D15" si="0">SUM(C6:C6)</f>
        <v>2000</v>
      </c>
      <c r="O6" s="238"/>
      <c r="AE6" s="52" t="s">
        <v>16</v>
      </c>
      <c r="AF6" s="53" t="s">
        <v>3</v>
      </c>
      <c r="AG6" s="48" t="s">
        <v>20</v>
      </c>
    </row>
    <row r="7" spans="1:33">
      <c r="A7" s="160">
        <v>1</v>
      </c>
      <c r="B7" s="53" t="s">
        <v>21</v>
      </c>
      <c r="C7" s="54">
        <f>C6*销量!C8</f>
        <v>1600000</v>
      </c>
      <c r="D7" s="54">
        <f t="shared" si="0"/>
        <v>1600000</v>
      </c>
      <c r="E7" s="49"/>
      <c r="O7" s="238"/>
      <c r="AE7" s="52" t="s">
        <v>22</v>
      </c>
      <c r="AF7" s="53" t="s">
        <v>21</v>
      </c>
      <c r="AG7" s="48" t="s">
        <v>20</v>
      </c>
    </row>
    <row r="8" spans="1:33">
      <c r="A8" s="160">
        <v>2</v>
      </c>
      <c r="B8" s="160" t="s">
        <v>23</v>
      </c>
      <c r="C8" s="54">
        <f>C7*(1-销量!$L$8)</f>
        <v>63360.000000000131</v>
      </c>
      <c r="D8" s="54">
        <f t="shared" si="0"/>
        <v>63360.000000000131</v>
      </c>
      <c r="E8" s="69"/>
      <c r="O8" s="239"/>
      <c r="AE8" s="52" t="s">
        <v>24</v>
      </c>
      <c r="AF8" s="160" t="s">
        <v>25</v>
      </c>
      <c r="AG8" s="48" t="s">
        <v>20</v>
      </c>
    </row>
    <row r="9" spans="1:33">
      <c r="A9" s="160">
        <v>3</v>
      </c>
      <c r="B9" s="53" t="s">
        <v>26</v>
      </c>
      <c r="C9" s="54">
        <f>+C7-C8</f>
        <v>1536639.9999999998</v>
      </c>
      <c r="D9" s="54">
        <f t="shared" si="0"/>
        <v>1536639.9999999998</v>
      </c>
      <c r="O9" s="238"/>
      <c r="AE9" s="52" t="s">
        <v>27</v>
      </c>
      <c r="AF9" s="53" t="s">
        <v>26</v>
      </c>
      <c r="AG9" s="48" t="s">
        <v>28</v>
      </c>
    </row>
    <row r="10" spans="1:33">
      <c r="A10" s="160">
        <v>4</v>
      </c>
      <c r="B10" s="52" t="s">
        <v>29</v>
      </c>
      <c r="C10" s="54">
        <f>C6*材料成本!G41</f>
        <v>945494.59199999995</v>
      </c>
      <c r="D10" s="54">
        <f t="shared" si="0"/>
        <v>945494.59199999995</v>
      </c>
      <c r="O10" s="240"/>
      <c r="AE10" s="52" t="s">
        <v>30</v>
      </c>
      <c r="AF10" s="52" t="s">
        <v>29</v>
      </c>
      <c r="AG10" s="48" t="s">
        <v>31</v>
      </c>
    </row>
    <row r="11" spans="1:33">
      <c r="A11" s="160">
        <v>5</v>
      </c>
      <c r="B11" s="52" t="s">
        <v>32</v>
      </c>
      <c r="C11" s="54">
        <f>+C6*C36</f>
        <v>89951.978195928561</v>
      </c>
      <c r="D11" s="54">
        <f t="shared" si="0"/>
        <v>89951.978195928561</v>
      </c>
      <c r="O11" s="240"/>
      <c r="AE11" s="52" t="s">
        <v>33</v>
      </c>
      <c r="AF11" s="52" t="s">
        <v>32</v>
      </c>
    </row>
    <row r="12" spans="1:33">
      <c r="A12" s="160">
        <v>6</v>
      </c>
      <c r="B12" s="52" t="s">
        <v>34</v>
      </c>
      <c r="C12" s="54">
        <f>+C6*C37</f>
        <v>24121.583361722569</v>
      </c>
      <c r="D12" s="54">
        <f t="shared" si="0"/>
        <v>24121.583361722569</v>
      </c>
      <c r="O12" s="240"/>
      <c r="AE12" s="52" t="s">
        <v>35</v>
      </c>
      <c r="AF12" s="52" t="s">
        <v>34</v>
      </c>
    </row>
    <row r="13" spans="1:33">
      <c r="A13" s="160">
        <v>7</v>
      </c>
      <c r="B13" s="52" t="s">
        <v>36</v>
      </c>
      <c r="C13" s="54">
        <f>+C6*C38</f>
        <v>63999.999999999993</v>
      </c>
      <c r="D13" s="54">
        <f t="shared" si="0"/>
        <v>63999.999999999993</v>
      </c>
      <c r="O13" s="240"/>
      <c r="AE13" s="52" t="s">
        <v>37</v>
      </c>
      <c r="AF13" s="52" t="s">
        <v>36</v>
      </c>
      <c r="AG13" s="48" t="s">
        <v>20</v>
      </c>
    </row>
    <row r="14" spans="1:33">
      <c r="A14" s="160">
        <v>8</v>
      </c>
      <c r="B14" s="55" t="s">
        <v>38</v>
      </c>
      <c r="C14" s="54">
        <f>SUM(C11:C13)</f>
        <v>178073.56155765112</v>
      </c>
      <c r="D14" s="54">
        <f t="shared" si="0"/>
        <v>178073.56155765112</v>
      </c>
      <c r="O14" s="241"/>
      <c r="AE14" s="52" t="s">
        <v>39</v>
      </c>
      <c r="AF14" s="55" t="s">
        <v>38</v>
      </c>
    </row>
    <row r="15" spans="1:33">
      <c r="A15" s="160">
        <v>9</v>
      </c>
      <c r="B15" s="55" t="s">
        <v>40</v>
      </c>
      <c r="C15" s="54">
        <f>+C9-C10-C14</f>
        <v>413071.84644234867</v>
      </c>
      <c r="D15" s="54">
        <f t="shared" si="0"/>
        <v>413071.84644234867</v>
      </c>
      <c r="O15" s="241"/>
      <c r="AE15" s="52" t="s">
        <v>41</v>
      </c>
      <c r="AF15" s="55" t="s">
        <v>40</v>
      </c>
    </row>
    <row r="16" spans="1:33">
      <c r="A16" s="160">
        <v>10</v>
      </c>
      <c r="B16" s="52" t="s">
        <v>42</v>
      </c>
      <c r="C16" s="56">
        <f>+C15/C9</f>
        <v>0.26881497712043728</v>
      </c>
      <c r="D16" s="56">
        <f t="shared" ref="D16" si="1">+D15/D9</f>
        <v>0.26881497712043728</v>
      </c>
      <c r="O16" s="240"/>
      <c r="AE16" s="52" t="s">
        <v>43</v>
      </c>
      <c r="AF16" s="52" t="s">
        <v>42</v>
      </c>
    </row>
    <row r="17" spans="1:33">
      <c r="A17" s="160">
        <v>11</v>
      </c>
      <c r="B17" s="52" t="s">
        <v>44</v>
      </c>
      <c r="C17" s="54">
        <f>C6*C43+C18</f>
        <v>78333.333333333328</v>
      </c>
      <c r="D17" s="54">
        <f>SUM(C17:C17)</f>
        <v>78333.333333333328</v>
      </c>
      <c r="E17" s="69"/>
      <c r="O17" s="240"/>
      <c r="AE17" s="52" t="s">
        <v>45</v>
      </c>
      <c r="AF17" s="52" t="s">
        <v>44</v>
      </c>
    </row>
    <row r="18" spans="1:33" s="46" customFormat="1">
      <c r="A18" s="160">
        <v>12</v>
      </c>
      <c r="B18" s="57" t="s">
        <v>148</v>
      </c>
      <c r="C18" s="58">
        <f>$D$18/$D$6*C6</f>
        <v>6333.333333333333</v>
      </c>
      <c r="D18" s="58">
        <f>项目投资!D26</f>
        <v>6333.333333333333</v>
      </c>
      <c r="E18" s="70" t="s">
        <v>149</v>
      </c>
      <c r="F18" s="70"/>
      <c r="G18" s="70"/>
      <c r="O18" s="242"/>
    </row>
    <row r="19" spans="1:33">
      <c r="A19" s="160">
        <v>13</v>
      </c>
      <c r="B19" s="52" t="s">
        <v>46</v>
      </c>
      <c r="C19" s="54">
        <f>C6*C44</f>
        <v>11200.000000000002</v>
      </c>
      <c r="D19" s="54">
        <f>SUM(C19:C19)</f>
        <v>11200.000000000002</v>
      </c>
      <c r="E19" s="46"/>
      <c r="O19" s="240"/>
      <c r="AE19" s="52" t="s">
        <v>47</v>
      </c>
      <c r="AF19" s="52" t="s">
        <v>46</v>
      </c>
      <c r="AG19" s="48" t="s">
        <v>20</v>
      </c>
    </row>
    <row r="20" spans="1:33">
      <c r="A20" s="160">
        <v>14</v>
      </c>
      <c r="B20" s="52" t="s">
        <v>48</v>
      </c>
      <c r="C20" s="54">
        <f>C6*C45</f>
        <v>48000</v>
      </c>
      <c r="D20" s="54">
        <f>SUM(C20:C20)</f>
        <v>48000</v>
      </c>
      <c r="O20" s="240"/>
      <c r="AE20" s="52" t="s">
        <v>49</v>
      </c>
      <c r="AF20" s="52" t="s">
        <v>48</v>
      </c>
    </row>
    <row r="21" spans="1:33">
      <c r="A21" s="160">
        <v>15</v>
      </c>
      <c r="B21" s="52" t="s">
        <v>50</v>
      </c>
      <c r="C21" s="59">
        <f>$D$21/$D$6*C6</f>
        <v>29433.333333333332</v>
      </c>
      <c r="D21" s="54">
        <f>项目投资!D27</f>
        <v>29433.333333333332</v>
      </c>
      <c r="O21" s="240"/>
      <c r="AE21" s="52"/>
      <c r="AF21" s="52"/>
    </row>
    <row r="22" spans="1:33">
      <c r="A22" s="160">
        <v>16</v>
      </c>
      <c r="B22" s="52" t="s">
        <v>51</v>
      </c>
      <c r="C22" s="54">
        <f>C6*C47</f>
        <v>64000</v>
      </c>
      <c r="D22" s="54">
        <f>SUM(C22:C22)</f>
        <v>64000</v>
      </c>
      <c r="O22" s="240"/>
      <c r="AE22" s="52" t="s">
        <v>52</v>
      </c>
      <c r="AF22" s="52" t="s">
        <v>51</v>
      </c>
    </row>
    <row r="23" spans="1:33">
      <c r="A23" s="160">
        <v>17</v>
      </c>
      <c r="B23" s="55" t="s">
        <v>53</v>
      </c>
      <c r="C23" s="59">
        <f>+C22+C21+C20+C19+C17</f>
        <v>230966.66666666663</v>
      </c>
      <c r="D23" s="59">
        <f t="shared" ref="D23" si="2">+D22+D21+D20+D19+D17</f>
        <v>230966.66666666663</v>
      </c>
      <c r="O23" s="241"/>
      <c r="AE23" s="52" t="s">
        <v>54</v>
      </c>
      <c r="AF23" s="55" t="s">
        <v>53</v>
      </c>
    </row>
    <row r="24" spans="1:33">
      <c r="A24" s="160">
        <v>18</v>
      </c>
      <c r="B24" s="60" t="s">
        <v>55</v>
      </c>
      <c r="C24" s="59">
        <f>+C15-C23</f>
        <v>182105.17977568205</v>
      </c>
      <c r="D24" s="59">
        <f t="shared" ref="D24" si="3">+D15-D23</f>
        <v>182105.17977568205</v>
      </c>
      <c r="F24" s="71"/>
      <c r="O24" s="240"/>
      <c r="AE24" s="52" t="s">
        <v>56</v>
      </c>
      <c r="AF24" s="52" t="s">
        <v>55</v>
      </c>
    </row>
    <row r="25" spans="1:33">
      <c r="A25" s="160">
        <v>19</v>
      </c>
      <c r="B25" s="52" t="s">
        <v>150</v>
      </c>
      <c r="C25" s="59">
        <f>IF(C24&lt;0,0,C24*0.15)</f>
        <v>27315.776966352307</v>
      </c>
      <c r="D25" s="59">
        <f>IF(D24&lt;0,0,D24*0.15)</f>
        <v>27315.776966352307</v>
      </c>
      <c r="E25" s="67"/>
      <c r="F25" s="67"/>
      <c r="G25" s="67"/>
      <c r="O25" s="240"/>
      <c r="AE25" s="52" t="s">
        <v>58</v>
      </c>
      <c r="AF25" s="52" t="s">
        <v>57</v>
      </c>
    </row>
    <row r="26" spans="1:33">
      <c r="A26" s="160">
        <v>20</v>
      </c>
      <c r="B26" s="52" t="s">
        <v>59</v>
      </c>
      <c r="C26" s="59">
        <f t="shared" ref="C26" si="4">C24-C25</f>
        <v>154789.40280932974</v>
      </c>
      <c r="D26" s="54">
        <f>D24</f>
        <v>182105.17977568205</v>
      </c>
      <c r="E26" s="67"/>
      <c r="F26" s="67"/>
      <c r="G26" s="67"/>
      <c r="O26" s="240"/>
      <c r="AE26" s="52" t="s">
        <v>60</v>
      </c>
      <c r="AF26" s="52" t="s">
        <v>59</v>
      </c>
    </row>
    <row r="27" spans="1:33">
      <c r="A27" s="160">
        <v>21</v>
      </c>
      <c r="B27" s="52" t="s">
        <v>63</v>
      </c>
      <c r="C27" s="61">
        <f t="shared" ref="C27:D27" si="5">C26/C7</f>
        <v>9.6743376755831084E-2</v>
      </c>
      <c r="D27" s="61">
        <f t="shared" si="5"/>
        <v>0.11381573735980127</v>
      </c>
      <c r="E27" s="187"/>
      <c r="F27" s="67"/>
      <c r="G27" s="67"/>
      <c r="O27" s="240"/>
      <c r="AE27" s="52" t="s">
        <v>62</v>
      </c>
      <c r="AF27" s="52" t="s">
        <v>63</v>
      </c>
    </row>
    <row r="28" spans="1:33">
      <c r="E28" s="67"/>
      <c r="F28" s="67"/>
      <c r="G28" s="67"/>
      <c r="O28" s="240"/>
    </row>
    <row r="29" spans="1:33">
      <c r="A29" s="48" t="s">
        <v>64</v>
      </c>
      <c r="D29" s="49" t="s">
        <v>151</v>
      </c>
      <c r="E29" s="67"/>
      <c r="F29" s="67"/>
      <c r="G29" s="67"/>
      <c r="O29" s="240"/>
      <c r="AE29" s="48" t="s">
        <v>64</v>
      </c>
    </row>
    <row r="30" spans="1:33">
      <c r="A30" s="52" t="s">
        <v>67</v>
      </c>
      <c r="B30" s="55" t="s">
        <v>68</v>
      </c>
      <c r="C30" s="59"/>
      <c r="D30" s="59"/>
      <c r="E30" s="67"/>
      <c r="F30" s="67"/>
      <c r="G30" s="67"/>
      <c r="I30" s="67"/>
      <c r="O30" s="241"/>
      <c r="AE30" s="52" t="s">
        <v>69</v>
      </c>
      <c r="AF30" s="55" t="s">
        <v>68</v>
      </c>
    </row>
    <row r="31" spans="1:33">
      <c r="A31" s="160">
        <v>1</v>
      </c>
      <c r="B31" s="57" t="s">
        <v>70</v>
      </c>
      <c r="C31" s="63">
        <f>销量!C8</f>
        <v>800</v>
      </c>
      <c r="D31" s="59"/>
      <c r="E31" s="67"/>
      <c r="F31" s="67"/>
      <c r="G31" s="67"/>
      <c r="I31" s="67"/>
      <c r="O31" s="240"/>
      <c r="AE31" s="52" t="s">
        <v>22</v>
      </c>
      <c r="AF31" s="52" t="s">
        <v>70</v>
      </c>
    </row>
    <row r="32" spans="1:33">
      <c r="A32" s="160">
        <v>2</v>
      </c>
      <c r="B32" s="52" t="s">
        <v>152</v>
      </c>
      <c r="C32" s="54">
        <f>C9/C6</f>
        <v>768.31999999999994</v>
      </c>
      <c r="D32" s="59"/>
      <c r="E32" s="67"/>
      <c r="F32" s="67"/>
      <c r="G32" s="67"/>
      <c r="H32" s="67"/>
      <c r="I32" s="67"/>
      <c r="J32" s="67"/>
      <c r="K32" s="67"/>
      <c r="O32" s="240"/>
      <c r="AE32" s="52"/>
      <c r="AF32" s="52"/>
    </row>
    <row r="33" spans="1:32">
      <c r="A33" s="160">
        <v>3</v>
      </c>
      <c r="B33" s="57" t="s">
        <v>71</v>
      </c>
      <c r="C33" s="54">
        <f>材料成本!G41</f>
        <v>472.74729599999995</v>
      </c>
      <c r="D33" s="59"/>
      <c r="F33" s="67"/>
      <c r="G33" s="67"/>
      <c r="H33" s="67"/>
      <c r="I33" s="67"/>
      <c r="J33" s="67"/>
      <c r="K33" s="67"/>
      <c r="O33" s="240"/>
      <c r="AE33" s="52" t="s">
        <v>24</v>
      </c>
      <c r="AF33" s="52" t="s">
        <v>71</v>
      </c>
    </row>
    <row r="34" spans="1:32" ht="17.25" customHeight="1">
      <c r="A34" s="160">
        <v>4</v>
      </c>
      <c r="B34" s="52" t="s">
        <v>73</v>
      </c>
      <c r="C34" s="64">
        <f>C32-C33</f>
        <v>295.57270399999999</v>
      </c>
      <c r="D34" s="59"/>
      <c r="F34" s="67"/>
      <c r="G34" s="67"/>
      <c r="H34" s="67"/>
      <c r="I34" s="67"/>
      <c r="J34" s="67"/>
      <c r="K34" s="67"/>
      <c r="O34" s="240"/>
      <c r="AE34" s="52" t="s">
        <v>72</v>
      </c>
      <c r="AF34" s="52" t="s">
        <v>73</v>
      </c>
    </row>
    <row r="35" spans="1:32">
      <c r="A35" s="52" t="s">
        <v>69</v>
      </c>
      <c r="B35" s="55" t="s">
        <v>10</v>
      </c>
      <c r="C35" s="59"/>
      <c r="D35" s="59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41"/>
      <c r="AE35" s="52" t="s">
        <v>75</v>
      </c>
      <c r="AF35" s="55" t="s">
        <v>10</v>
      </c>
    </row>
    <row r="36" spans="1:32">
      <c r="A36" s="160">
        <v>1</v>
      </c>
      <c r="B36" s="52" t="s">
        <v>76</v>
      </c>
      <c r="C36" s="58">
        <f>'2022年'!C36</f>
        <v>44.97598909796428</v>
      </c>
      <c r="D36" s="63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40"/>
      <c r="AE36" s="52" t="s">
        <v>72</v>
      </c>
      <c r="AF36" s="52" t="s">
        <v>76</v>
      </c>
    </row>
    <row r="37" spans="1:32">
      <c r="A37" s="160">
        <v>2</v>
      </c>
      <c r="B37" s="52" t="s">
        <v>77</v>
      </c>
      <c r="C37" s="58">
        <f>'2022年'!C37</f>
        <v>12.060791680861284</v>
      </c>
      <c r="D37" s="63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240"/>
      <c r="AE37" s="52" t="s">
        <v>27</v>
      </c>
      <c r="AF37" s="52" t="s">
        <v>77</v>
      </c>
    </row>
    <row r="38" spans="1:32">
      <c r="A38" s="160">
        <v>3</v>
      </c>
      <c r="B38" s="52" t="s">
        <v>78</v>
      </c>
      <c r="C38" s="58">
        <f>'2022年'!C38</f>
        <v>31.999999999999996</v>
      </c>
      <c r="D38" s="63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40"/>
      <c r="AE38" s="52" t="s">
        <v>33</v>
      </c>
      <c r="AF38" s="52" t="s">
        <v>78</v>
      </c>
    </row>
    <row r="39" spans="1:32">
      <c r="A39" s="52" t="s">
        <v>75</v>
      </c>
      <c r="B39" s="55" t="s">
        <v>80</v>
      </c>
      <c r="C39" s="59"/>
      <c r="D39" s="59"/>
      <c r="O39" s="241"/>
      <c r="AE39" s="52" t="s">
        <v>79</v>
      </c>
      <c r="AF39" s="55" t="s">
        <v>80</v>
      </c>
    </row>
    <row r="40" spans="1:32">
      <c r="A40" s="160">
        <v>1</v>
      </c>
      <c r="B40" s="52" t="s">
        <v>82</v>
      </c>
      <c r="C40" s="59">
        <f>C34-C36-C37-C38</f>
        <v>206.53592322117441</v>
      </c>
      <c r="D40" s="59"/>
      <c r="O40" s="240"/>
      <c r="AE40" s="52" t="s">
        <v>22</v>
      </c>
      <c r="AF40" s="52" t="s">
        <v>82</v>
      </c>
    </row>
    <row r="41" spans="1:32">
      <c r="A41" s="160">
        <v>2</v>
      </c>
      <c r="B41" s="52" t="s">
        <v>83</v>
      </c>
      <c r="C41" s="59"/>
      <c r="D41" s="59"/>
      <c r="O41" s="240"/>
      <c r="AE41" s="52" t="s">
        <v>24</v>
      </c>
      <c r="AF41" s="52" t="s">
        <v>83</v>
      </c>
    </row>
    <row r="42" spans="1:32">
      <c r="A42" s="52" t="s">
        <v>79</v>
      </c>
      <c r="B42" s="55" t="s">
        <v>85</v>
      </c>
      <c r="C42" s="59"/>
      <c r="D42" s="59"/>
      <c r="O42" s="241"/>
      <c r="AE42" s="52" t="s">
        <v>84</v>
      </c>
      <c r="AF42" s="55" t="s">
        <v>85</v>
      </c>
    </row>
    <row r="43" spans="1:32">
      <c r="A43" s="160">
        <v>1</v>
      </c>
      <c r="B43" s="60" t="s">
        <v>86</v>
      </c>
      <c r="C43" s="58">
        <f>'2022年'!C43</f>
        <v>36</v>
      </c>
      <c r="D43" s="59"/>
      <c r="O43" s="240"/>
      <c r="AE43" s="52" t="s">
        <v>22</v>
      </c>
      <c r="AF43" s="52" t="s">
        <v>86</v>
      </c>
    </row>
    <row r="44" spans="1:32">
      <c r="A44" s="160">
        <v>2</v>
      </c>
      <c r="B44" s="60" t="s">
        <v>87</v>
      </c>
      <c r="C44" s="58">
        <f>'2022年'!C44</f>
        <v>5.6000000000000005</v>
      </c>
      <c r="D44" s="59"/>
      <c r="O44" s="240"/>
      <c r="AE44" s="52" t="s">
        <v>24</v>
      </c>
      <c r="AF44" s="52" t="s">
        <v>87</v>
      </c>
    </row>
    <row r="45" spans="1:32">
      <c r="A45" s="160">
        <v>3</v>
      </c>
      <c r="B45" s="60" t="s">
        <v>88</v>
      </c>
      <c r="C45" s="58">
        <f>'2022年'!C45</f>
        <v>24</v>
      </c>
      <c r="D45" s="59"/>
      <c r="O45" s="240"/>
      <c r="AE45" s="52" t="s">
        <v>72</v>
      </c>
      <c r="AF45" s="52" t="s">
        <v>88</v>
      </c>
    </row>
    <row r="46" spans="1:32" s="47" customFormat="1">
      <c r="A46" s="160">
        <v>4</v>
      </c>
      <c r="B46" s="60" t="s">
        <v>89</v>
      </c>
      <c r="C46" s="65">
        <f>C21/C6</f>
        <v>14.716666666666667</v>
      </c>
      <c r="D46" s="65"/>
      <c r="O46" s="243"/>
      <c r="AE46" s="60" t="s">
        <v>30</v>
      </c>
      <c r="AF46" s="60" t="s">
        <v>91</v>
      </c>
    </row>
    <row r="47" spans="1:32" s="47" customFormat="1">
      <c r="A47" s="160">
        <v>5</v>
      </c>
      <c r="B47" s="60" t="s">
        <v>91</v>
      </c>
      <c r="C47" s="65">
        <f>'2022年'!C47</f>
        <v>32</v>
      </c>
      <c r="D47" s="65"/>
      <c r="O47" s="243"/>
      <c r="AE47" s="60" t="s">
        <v>30</v>
      </c>
      <c r="AF47" s="60" t="s">
        <v>91</v>
      </c>
    </row>
    <row r="48" spans="1:32">
      <c r="A48" s="52" t="s">
        <v>84</v>
      </c>
      <c r="B48" s="55" t="s">
        <v>102</v>
      </c>
      <c r="C48" s="59">
        <f>C40-C43-C44-C45-C47-C46</f>
        <v>94.219256554507751</v>
      </c>
      <c r="D48" s="59"/>
      <c r="O48" s="241"/>
      <c r="AE48" s="52" t="s">
        <v>101</v>
      </c>
      <c r="AF48" s="55" t="s">
        <v>102</v>
      </c>
    </row>
    <row r="51" spans="2:9">
      <c r="C51" s="66"/>
    </row>
    <row r="54" spans="2:9">
      <c r="B54" s="67"/>
      <c r="C54" s="68"/>
      <c r="D54" s="68"/>
      <c r="E54" s="67"/>
      <c r="F54" s="67"/>
      <c r="G54" s="67"/>
      <c r="H54" s="67"/>
      <c r="I54" s="67"/>
    </row>
    <row r="55" spans="2:9">
      <c r="B55" s="67"/>
      <c r="C55" s="68"/>
      <c r="D55" s="68"/>
      <c r="E55" s="67"/>
      <c r="F55" s="67"/>
      <c r="G55" s="67"/>
      <c r="H55" s="67"/>
      <c r="I55" s="67"/>
    </row>
    <row r="56" spans="2:9">
      <c r="B56" s="67"/>
      <c r="C56" s="68"/>
      <c r="D56" s="68"/>
      <c r="E56" s="67"/>
      <c r="F56" s="67"/>
      <c r="G56" s="67"/>
      <c r="H56" s="67"/>
      <c r="I56" s="67"/>
    </row>
    <row r="57" spans="2:9">
      <c r="B57" s="67"/>
      <c r="C57" s="68"/>
      <c r="D57" s="68"/>
      <c r="E57" s="67"/>
      <c r="F57" s="67"/>
      <c r="G57" s="67"/>
      <c r="H57" s="67"/>
      <c r="I57" s="67"/>
    </row>
    <row r="58" spans="2:9">
      <c r="B58" s="67"/>
      <c r="C58" s="68"/>
      <c r="D58" s="68"/>
      <c r="E58" s="67"/>
      <c r="F58" s="67"/>
      <c r="G58" s="67"/>
      <c r="H58" s="67"/>
      <c r="I58" s="67"/>
    </row>
    <row r="59" spans="2:9">
      <c r="B59" s="67"/>
      <c r="C59" s="68"/>
      <c r="D59" s="68"/>
      <c r="E59" s="67"/>
      <c r="F59" s="67"/>
      <c r="G59" s="67"/>
      <c r="H59" s="67"/>
      <c r="I59" s="67"/>
    </row>
    <row r="60" spans="2:9">
      <c r="B60" s="67"/>
      <c r="C60" s="68"/>
      <c r="D60" s="68"/>
      <c r="E60" s="67"/>
      <c r="F60" s="67"/>
      <c r="G60" s="67"/>
      <c r="H60" s="67"/>
      <c r="I60" s="67"/>
    </row>
    <row r="61" spans="2:9">
      <c r="B61" s="67"/>
      <c r="C61" s="68"/>
      <c r="D61" s="68"/>
      <c r="E61" s="67"/>
      <c r="F61" s="67"/>
      <c r="G61" s="67"/>
      <c r="H61" s="67"/>
      <c r="I61" s="67"/>
    </row>
    <row r="62" spans="2:9">
      <c r="B62" s="67"/>
      <c r="C62" s="68"/>
      <c r="D62" s="68"/>
      <c r="E62" s="67"/>
      <c r="F62" s="67"/>
      <c r="G62" s="67"/>
      <c r="H62" s="67"/>
      <c r="I62" s="67"/>
    </row>
    <row r="63" spans="2:9">
      <c r="B63" s="67"/>
      <c r="C63" s="68"/>
      <c r="D63" s="68"/>
      <c r="E63" s="67"/>
      <c r="F63" s="67"/>
      <c r="G63" s="67"/>
      <c r="H63" s="67"/>
      <c r="I63" s="67"/>
    </row>
    <row r="64" spans="2:9">
      <c r="B64" s="67"/>
      <c r="C64" s="68"/>
      <c r="D64" s="68"/>
      <c r="E64" s="67"/>
      <c r="F64" s="67"/>
      <c r="G64" s="67"/>
      <c r="H64" s="67"/>
      <c r="I64" s="67"/>
    </row>
    <row r="65" spans="2:9">
      <c r="B65" s="67"/>
      <c r="C65" s="68"/>
      <c r="D65" s="68"/>
      <c r="E65" s="67"/>
      <c r="F65" s="67"/>
      <c r="G65" s="67"/>
      <c r="H65" s="67"/>
      <c r="I65" s="67"/>
    </row>
    <row r="66" spans="2:9">
      <c r="B66" s="67"/>
      <c r="C66" s="68"/>
      <c r="D66" s="68"/>
      <c r="E66" s="67"/>
      <c r="F66" s="67"/>
      <c r="G66" s="67"/>
      <c r="H66" s="67"/>
      <c r="I66" s="67"/>
    </row>
    <row r="67" spans="2:9">
      <c r="B67" s="67"/>
      <c r="C67" s="68"/>
      <c r="D67" s="68"/>
      <c r="E67" s="67"/>
    </row>
    <row r="68" spans="2:9">
      <c r="B68" s="67"/>
      <c r="C68" s="68"/>
      <c r="D68" s="68"/>
      <c r="E68" s="67"/>
    </row>
    <row r="69" spans="2:9">
      <c r="B69" s="67"/>
      <c r="C69" s="68"/>
      <c r="D69" s="68"/>
      <c r="E69" s="67"/>
    </row>
    <row r="70" spans="2:9">
      <c r="B70" s="67"/>
      <c r="C70" s="68"/>
      <c r="D70" s="68"/>
      <c r="E70" s="67"/>
    </row>
    <row r="71" spans="2:9">
      <c r="B71" s="67"/>
      <c r="C71" s="68"/>
      <c r="D71" s="68"/>
      <c r="E71" s="67"/>
    </row>
    <row r="72" spans="2:9">
      <c r="B72" s="67"/>
      <c r="C72" s="68"/>
      <c r="D72" s="68"/>
      <c r="E72" s="67"/>
    </row>
    <row r="73" spans="2:9">
      <c r="B73" s="67"/>
      <c r="C73" s="68"/>
      <c r="D73" s="68"/>
      <c r="E73" s="67"/>
    </row>
    <row r="74" spans="2:9">
      <c r="B74" s="67"/>
      <c r="C74" s="68"/>
      <c r="D74" s="68"/>
      <c r="E74" s="67"/>
    </row>
  </sheetData>
  <mergeCells count="8">
    <mergeCell ref="A1:B1"/>
    <mergeCell ref="C1:D1"/>
    <mergeCell ref="A2:B2"/>
    <mergeCell ref="C2:D2"/>
    <mergeCell ref="A3:B3"/>
    <mergeCell ref="D3:D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J32" sqref="J3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52" t="s">
        <v>142</v>
      </c>
      <c r="B1" s="252"/>
      <c r="C1" s="256" t="s">
        <v>251</v>
      </c>
      <c r="D1" s="262"/>
      <c r="E1" s="262"/>
      <c r="F1" s="262"/>
      <c r="G1" s="262"/>
      <c r="H1" s="262"/>
      <c r="I1" s="257"/>
    </row>
    <row r="2" spans="1:38">
      <c r="A2" s="252" t="s">
        <v>143</v>
      </c>
      <c r="B2" s="252"/>
      <c r="C2" s="259" t="str">
        <f>'2022年'!C2:D2</f>
        <v>陕重汽</v>
      </c>
      <c r="D2" s="260"/>
      <c r="E2" s="260"/>
      <c r="F2" s="260"/>
      <c r="G2" s="260"/>
      <c r="H2" s="260"/>
      <c r="I2" s="261"/>
    </row>
    <row r="3" spans="1:38">
      <c r="A3" s="252" t="s">
        <v>144</v>
      </c>
      <c r="B3" s="252"/>
      <c r="C3" s="161" t="str">
        <f>销量!C5</f>
        <v>副驾驶员座椅</v>
      </c>
      <c r="D3" s="161">
        <f>销量!D5</f>
        <v>0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53" t="s">
        <v>18</v>
      </c>
    </row>
    <row r="4" spans="1:38" ht="16.5" customHeight="1">
      <c r="A4" s="252" t="s">
        <v>145</v>
      </c>
      <c r="B4" s="252"/>
      <c r="C4" s="161" t="str">
        <f>销量!C6</f>
        <v>YZ16625200010</v>
      </c>
      <c r="D4" s="161">
        <f>销量!D6</f>
        <v>0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54"/>
    </row>
    <row r="5" spans="1:38">
      <c r="A5" s="252" t="s">
        <v>146</v>
      </c>
      <c r="B5" s="252"/>
      <c r="C5" s="51"/>
      <c r="D5" s="51"/>
      <c r="E5" s="51"/>
      <c r="F5" s="51"/>
      <c r="G5" s="51"/>
      <c r="H5" s="51"/>
      <c r="I5" s="255"/>
      <c r="AL5" s="48" t="s">
        <v>19</v>
      </c>
    </row>
    <row r="6" spans="1:38" ht="17.25">
      <c r="A6" s="52" t="s">
        <v>16</v>
      </c>
      <c r="B6" s="53" t="s">
        <v>147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4">
        <f>SUM(C6:H6)</f>
        <v>0</v>
      </c>
      <c r="T6" s="53" t="s">
        <v>3</v>
      </c>
      <c r="AJ6" s="52" t="s">
        <v>16</v>
      </c>
      <c r="AK6" s="53" t="s">
        <v>3</v>
      </c>
      <c r="AL6" s="48" t="s">
        <v>20</v>
      </c>
    </row>
    <row r="7" spans="1:38">
      <c r="A7" s="160">
        <v>1</v>
      </c>
      <c r="B7" s="53" t="s">
        <v>21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0</v>
      </c>
      <c r="J7" s="49"/>
      <c r="T7" s="53" t="s">
        <v>21</v>
      </c>
      <c r="AJ7" s="52" t="s">
        <v>22</v>
      </c>
      <c r="AK7" s="53" t="s">
        <v>21</v>
      </c>
      <c r="AL7" s="48" t="s">
        <v>20</v>
      </c>
    </row>
    <row r="8" spans="1:38">
      <c r="A8" s="160">
        <v>2</v>
      </c>
      <c r="B8" s="160" t="s">
        <v>23</v>
      </c>
      <c r="C8" s="54">
        <f>C7*(1-销量!$L$9)</f>
        <v>0</v>
      </c>
      <c r="D8" s="54">
        <f>D7*(1-销量!$L$9)</f>
        <v>0</v>
      </c>
      <c r="E8" s="54">
        <f>E7*(1-销量!$L$9)</f>
        <v>0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0</v>
      </c>
      <c r="J8" s="69"/>
      <c r="T8" s="160" t="s">
        <v>25</v>
      </c>
      <c r="AJ8" s="52" t="s">
        <v>24</v>
      </c>
      <c r="AK8" s="160" t="s">
        <v>25</v>
      </c>
      <c r="AL8" s="48" t="s">
        <v>20</v>
      </c>
    </row>
    <row r="9" spans="1:38">
      <c r="A9" s="160">
        <v>3</v>
      </c>
      <c r="B9" s="53" t="s">
        <v>26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26</v>
      </c>
      <c r="AJ9" s="52" t="s">
        <v>27</v>
      </c>
      <c r="AK9" s="53" t="s">
        <v>26</v>
      </c>
      <c r="AL9" s="48" t="s">
        <v>28</v>
      </c>
    </row>
    <row r="10" spans="1:38">
      <c r="A10" s="160">
        <v>4</v>
      </c>
      <c r="B10" s="52" t="s">
        <v>29</v>
      </c>
      <c r="C10" s="54">
        <f>C6*材料成本!H41</f>
        <v>0</v>
      </c>
      <c r="D10" s="54">
        <f>D6*材料成本!H42</f>
        <v>0</v>
      </c>
      <c r="E10" s="54">
        <f>E6*材料成本!H43</f>
        <v>0</v>
      </c>
      <c r="F10" s="54">
        <f>F6*材料成本!H44</f>
        <v>0</v>
      </c>
      <c r="G10" s="54">
        <f>G6*材料成本!H45</f>
        <v>0</v>
      </c>
      <c r="H10" s="54">
        <f>H6*材料成本!H46</f>
        <v>0</v>
      </c>
      <c r="I10" s="54">
        <f t="shared" si="0"/>
        <v>0</v>
      </c>
      <c r="T10" s="52" t="s">
        <v>29</v>
      </c>
      <c r="AJ10" s="52" t="s">
        <v>30</v>
      </c>
      <c r="AK10" s="52" t="s">
        <v>29</v>
      </c>
      <c r="AL10" s="48" t="s">
        <v>31</v>
      </c>
    </row>
    <row r="11" spans="1:38">
      <c r="A11" s="160">
        <v>5</v>
      </c>
      <c r="B11" s="52" t="s">
        <v>32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32</v>
      </c>
      <c r="AJ11" s="52" t="s">
        <v>33</v>
      </c>
      <c r="AK11" s="52" t="s">
        <v>32</v>
      </c>
    </row>
    <row r="12" spans="1:38">
      <c r="A12" s="160">
        <v>6</v>
      </c>
      <c r="B12" s="52" t="s">
        <v>34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34</v>
      </c>
      <c r="AJ12" s="52" t="s">
        <v>35</v>
      </c>
      <c r="AK12" s="52" t="s">
        <v>34</v>
      </c>
    </row>
    <row r="13" spans="1:38">
      <c r="A13" s="160">
        <v>7</v>
      </c>
      <c r="B13" s="52" t="s">
        <v>36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36</v>
      </c>
      <c r="AJ13" s="52" t="s">
        <v>37</v>
      </c>
      <c r="AK13" s="52" t="s">
        <v>36</v>
      </c>
      <c r="AL13" s="48" t="s">
        <v>20</v>
      </c>
    </row>
    <row r="14" spans="1:38">
      <c r="A14" s="160">
        <v>8</v>
      </c>
      <c r="B14" s="55" t="s">
        <v>38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38</v>
      </c>
      <c r="AJ14" s="52" t="s">
        <v>39</v>
      </c>
      <c r="AK14" s="55" t="s">
        <v>38</v>
      </c>
    </row>
    <row r="15" spans="1:38">
      <c r="A15" s="160">
        <v>9</v>
      </c>
      <c r="B15" s="55" t="s">
        <v>40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T15" s="55" t="s">
        <v>40</v>
      </c>
      <c r="AJ15" s="52" t="s">
        <v>41</v>
      </c>
      <c r="AK15" s="55" t="s">
        <v>40</v>
      </c>
    </row>
    <row r="16" spans="1:38">
      <c r="A16" s="160">
        <v>10</v>
      </c>
      <c r="B16" s="52" t="s">
        <v>42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T16" s="52" t="s">
        <v>42</v>
      </c>
      <c r="AJ16" s="52" t="s">
        <v>43</v>
      </c>
      <c r="AK16" s="52" t="s">
        <v>42</v>
      </c>
    </row>
    <row r="17" spans="1:38">
      <c r="A17" s="160">
        <v>11</v>
      </c>
      <c r="B17" s="52" t="s">
        <v>44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44</v>
      </c>
      <c r="AJ17" s="52" t="s">
        <v>45</v>
      </c>
      <c r="AK17" s="52" t="s">
        <v>44</v>
      </c>
    </row>
    <row r="18" spans="1:38" s="46" customFormat="1">
      <c r="A18" s="160">
        <v>12</v>
      </c>
      <c r="B18" s="57" t="s">
        <v>148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6333.333333333333</v>
      </c>
      <c r="J18" s="70" t="s">
        <v>149</v>
      </c>
      <c r="K18" s="70"/>
      <c r="L18" s="70"/>
    </row>
    <row r="19" spans="1:38">
      <c r="A19" s="160">
        <v>13</v>
      </c>
      <c r="B19" s="52" t="s">
        <v>46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>SUM(C19:C19)</f>
        <v>0</v>
      </c>
      <c r="J19" s="46"/>
      <c r="T19" s="52" t="s">
        <v>46</v>
      </c>
      <c r="AJ19" s="52" t="s">
        <v>47</v>
      </c>
      <c r="AK19" s="52" t="s">
        <v>46</v>
      </c>
      <c r="AL19" s="48" t="s">
        <v>20</v>
      </c>
    </row>
    <row r="20" spans="1:38">
      <c r="A20" s="160">
        <v>14</v>
      </c>
      <c r="B20" s="52" t="s">
        <v>48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ref="I20" si="13">SUM(C20:H20)</f>
        <v>0</v>
      </c>
      <c r="T20" s="52" t="s">
        <v>48</v>
      </c>
      <c r="AJ20" s="52" t="s">
        <v>49</v>
      </c>
      <c r="AK20" s="52" t="s">
        <v>48</v>
      </c>
    </row>
    <row r="21" spans="1:38">
      <c r="A21" s="160">
        <v>15</v>
      </c>
      <c r="B21" s="52" t="s">
        <v>50</v>
      </c>
      <c r="C21" s="59" t="e">
        <f>$I$21/$I$6*C6</f>
        <v>#DIV/0!</v>
      </c>
      <c r="D21" s="59" t="e">
        <f t="shared" ref="D21:H21" si="14">$I$21/$I$6*D6</f>
        <v>#DIV/0!</v>
      </c>
      <c r="E21" s="59" t="e">
        <f t="shared" si="14"/>
        <v>#DIV/0!</v>
      </c>
      <c r="F21" s="59" t="e">
        <f t="shared" si="14"/>
        <v>#DIV/0!</v>
      </c>
      <c r="G21" s="59" t="e">
        <f t="shared" si="14"/>
        <v>#DIV/0!</v>
      </c>
      <c r="H21" s="59" t="e">
        <f t="shared" si="14"/>
        <v>#DIV/0!</v>
      </c>
      <c r="I21" s="54">
        <f>项目投资!D27</f>
        <v>29433.333333333332</v>
      </c>
      <c r="T21" s="52" t="s">
        <v>50</v>
      </c>
      <c r="AJ21" s="52"/>
      <c r="AK21" s="52"/>
    </row>
    <row r="22" spans="1:38">
      <c r="A22" s="160">
        <v>16</v>
      </c>
      <c r="B22" s="52" t="s">
        <v>51</v>
      </c>
      <c r="C22" s="54">
        <f>C6*C47</f>
        <v>0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0</v>
      </c>
      <c r="T22" s="52" t="s">
        <v>51</v>
      </c>
      <c r="AJ22" s="52" t="s">
        <v>52</v>
      </c>
      <c r="AK22" s="52" t="s">
        <v>51</v>
      </c>
    </row>
    <row r="23" spans="1:38">
      <c r="A23" s="160">
        <v>17</v>
      </c>
      <c r="B23" s="55" t="s">
        <v>53</v>
      </c>
      <c r="C23" s="59" t="e">
        <f>+C22+C21+C20+C19+C17</f>
        <v>#DIV/0!</v>
      </c>
      <c r="D23" s="59" t="e">
        <f t="shared" ref="D23:H23" si="17">+D22+D21+D20+D19+D17</f>
        <v>#DIV/0!</v>
      </c>
      <c r="E23" s="59" t="e">
        <f t="shared" si="17"/>
        <v>#DIV/0!</v>
      </c>
      <c r="F23" s="59" t="e">
        <f t="shared" si="17"/>
        <v>#DIV/0!</v>
      </c>
      <c r="G23" s="59" t="e">
        <f t="shared" si="17"/>
        <v>#DIV/0!</v>
      </c>
      <c r="H23" s="59" t="e">
        <f t="shared" si="17"/>
        <v>#DIV/0!</v>
      </c>
      <c r="I23" s="59" t="e">
        <f t="shared" ref="I23" si="18">+I22+I21+I20+I19+I17</f>
        <v>#DIV/0!</v>
      </c>
      <c r="T23" s="55" t="s">
        <v>53</v>
      </c>
      <c r="AJ23" s="52" t="s">
        <v>54</v>
      </c>
      <c r="AK23" s="55" t="s">
        <v>53</v>
      </c>
    </row>
    <row r="24" spans="1:38">
      <c r="A24" s="160">
        <v>18</v>
      </c>
      <c r="B24" s="60" t="s">
        <v>55</v>
      </c>
      <c r="C24" s="59" t="e">
        <f>+C15-C23</f>
        <v>#DIV/0!</v>
      </c>
      <c r="D24" s="59" t="e">
        <f t="shared" ref="D24:H24" si="19">+D15-D23</f>
        <v>#DIV/0!</v>
      </c>
      <c r="E24" s="59" t="e">
        <f t="shared" si="19"/>
        <v>#DIV/0!</v>
      </c>
      <c r="F24" s="59" t="e">
        <f t="shared" si="19"/>
        <v>#DIV/0!</v>
      </c>
      <c r="G24" s="59" t="e">
        <f t="shared" si="19"/>
        <v>#DIV/0!</v>
      </c>
      <c r="H24" s="59" t="e">
        <f t="shared" si="19"/>
        <v>#DIV/0!</v>
      </c>
      <c r="I24" s="59" t="e">
        <f t="shared" ref="I24" si="20">+I15-I23</f>
        <v>#DIV/0!</v>
      </c>
      <c r="K24" s="71"/>
      <c r="T24" s="52" t="s">
        <v>55</v>
      </c>
      <c r="AJ24" s="52" t="s">
        <v>56</v>
      </c>
      <c r="AK24" s="52" t="s">
        <v>55</v>
      </c>
    </row>
    <row r="25" spans="1:38">
      <c r="A25" s="160">
        <v>19</v>
      </c>
      <c r="B25" s="52" t="s">
        <v>150</v>
      </c>
      <c r="C25" s="59" t="e">
        <f>IF(C24&lt;0,0,C24*0.25)</f>
        <v>#DIV/0!</v>
      </c>
      <c r="D25" s="59" t="e">
        <f t="shared" ref="D25:I25" si="21">IF(D24&lt;0,0,D24*0.25)</f>
        <v>#DIV/0!</v>
      </c>
      <c r="E25" s="59" t="e">
        <f t="shared" si="21"/>
        <v>#DIV/0!</v>
      </c>
      <c r="F25" s="59" t="e">
        <f t="shared" si="21"/>
        <v>#DIV/0!</v>
      </c>
      <c r="G25" s="59" t="e">
        <f t="shared" si="21"/>
        <v>#DIV/0!</v>
      </c>
      <c r="H25" s="59" t="e">
        <f t="shared" si="21"/>
        <v>#DIV/0!</v>
      </c>
      <c r="I25" s="59" t="e">
        <f t="shared" si="21"/>
        <v>#DIV/0!</v>
      </c>
      <c r="J25" s="67"/>
      <c r="K25" s="67"/>
      <c r="L25" s="67"/>
      <c r="T25" s="52" t="s">
        <v>57</v>
      </c>
      <c r="AJ25" s="52" t="s">
        <v>58</v>
      </c>
      <c r="AK25" s="52" t="s">
        <v>57</v>
      </c>
    </row>
    <row r="26" spans="1:38">
      <c r="A26" s="160">
        <v>20</v>
      </c>
      <c r="B26" s="52" t="s">
        <v>59</v>
      </c>
      <c r="C26" s="59" t="e">
        <f t="shared" ref="C26:H26" si="22">C24-C25</f>
        <v>#DIV/0!</v>
      </c>
      <c r="D26" s="59" t="e">
        <f t="shared" si="22"/>
        <v>#DIV/0!</v>
      </c>
      <c r="E26" s="59" t="e">
        <f t="shared" si="22"/>
        <v>#DIV/0!</v>
      </c>
      <c r="F26" s="59" t="e">
        <f t="shared" si="22"/>
        <v>#DIV/0!</v>
      </c>
      <c r="G26" s="59" t="e">
        <f t="shared" si="22"/>
        <v>#DIV/0!</v>
      </c>
      <c r="H26" s="59" t="e">
        <f t="shared" si="22"/>
        <v>#DIV/0!</v>
      </c>
      <c r="I26" s="54" t="e">
        <f>+SUM(C26:H26)</f>
        <v>#DIV/0!</v>
      </c>
      <c r="J26" s="67"/>
      <c r="K26" s="67"/>
      <c r="L26" s="67"/>
      <c r="T26" s="52" t="s">
        <v>59</v>
      </c>
      <c r="AJ26" s="52" t="s">
        <v>60</v>
      </c>
      <c r="AK26" s="52" t="s">
        <v>59</v>
      </c>
    </row>
    <row r="27" spans="1:38">
      <c r="A27" s="160">
        <v>21</v>
      </c>
      <c r="B27" s="52" t="s">
        <v>63</v>
      </c>
      <c r="C27" s="61" t="e">
        <f t="shared" ref="C27:I27" si="23">C26/C7</f>
        <v>#DIV/0!</v>
      </c>
      <c r="D27" s="61" t="e">
        <f t="shared" ref="D27:H27" si="24">D26/D7</f>
        <v>#DIV/0!</v>
      </c>
      <c r="E27" s="61" t="e">
        <f t="shared" si="24"/>
        <v>#DIV/0!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 t="e">
        <f t="shared" si="23"/>
        <v>#DIV/0!</v>
      </c>
      <c r="J27" s="67"/>
      <c r="K27" s="67"/>
      <c r="L27" s="67"/>
      <c r="T27" s="52" t="s">
        <v>63</v>
      </c>
      <c r="AJ27" s="52" t="s">
        <v>62</v>
      </c>
      <c r="AK27" s="52" t="s">
        <v>63</v>
      </c>
    </row>
    <row r="28" spans="1:38">
      <c r="J28" s="67"/>
      <c r="K28" s="67"/>
      <c r="L28" s="67"/>
      <c r="T28" s="52"/>
    </row>
    <row r="29" spans="1:38">
      <c r="A29" s="48" t="s">
        <v>64</v>
      </c>
      <c r="I29" s="49" t="s">
        <v>151</v>
      </c>
      <c r="J29" s="67"/>
      <c r="K29" s="67"/>
      <c r="L29" s="67"/>
      <c r="T29" s="52"/>
      <c r="AJ29" s="48" t="s">
        <v>64</v>
      </c>
    </row>
    <row r="30" spans="1:38">
      <c r="A30" s="52" t="s">
        <v>67</v>
      </c>
      <c r="B30" s="55" t="s">
        <v>68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68</v>
      </c>
      <c r="AJ30" s="52" t="s">
        <v>69</v>
      </c>
      <c r="AK30" s="55" t="s">
        <v>68</v>
      </c>
    </row>
    <row r="31" spans="1:38">
      <c r="A31" s="160">
        <v>1</v>
      </c>
      <c r="B31" s="57" t="s">
        <v>70</v>
      </c>
      <c r="C31" s="63">
        <f>销量!C8</f>
        <v>800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70</v>
      </c>
      <c r="AJ31" s="52" t="s">
        <v>22</v>
      </c>
      <c r="AK31" s="52" t="s">
        <v>70</v>
      </c>
    </row>
    <row r="32" spans="1:38">
      <c r="A32" s="160">
        <v>2</v>
      </c>
      <c r="B32" s="52" t="s">
        <v>152</v>
      </c>
      <c r="C32" s="54" t="e">
        <f>C9/C6</f>
        <v>#DIV/0!</v>
      </c>
      <c r="D32" s="54" t="e">
        <f t="shared" ref="D32:H32" si="25">D9/D6</f>
        <v>#DIV/0!</v>
      </c>
      <c r="E32" s="54" t="e">
        <f t="shared" si="25"/>
        <v>#DIV/0!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71</v>
      </c>
      <c r="C33" s="54">
        <f>材料成本!H41</f>
        <v>463.29235007999995</v>
      </c>
      <c r="D33" s="54">
        <f>材料成本!H42</f>
        <v>0</v>
      </c>
      <c r="E33" s="54">
        <f>材料成本!H43</f>
        <v>0</v>
      </c>
      <c r="F33" s="54">
        <f>材料成本!H44</f>
        <v>0</v>
      </c>
      <c r="G33" s="54">
        <f>材料成本!H45</f>
        <v>0</v>
      </c>
      <c r="H33" s="54">
        <f>材料成本!H46</f>
        <v>0</v>
      </c>
      <c r="I33" s="59"/>
      <c r="K33" s="67"/>
      <c r="L33" s="67"/>
      <c r="M33" s="67"/>
      <c r="N33" s="67"/>
      <c r="O33" s="67"/>
      <c r="P33" s="67"/>
      <c r="T33" s="52" t="s">
        <v>71</v>
      </c>
      <c r="AJ33" s="52" t="s">
        <v>24</v>
      </c>
      <c r="AK33" s="52" t="s">
        <v>71</v>
      </c>
    </row>
    <row r="34" spans="1:37" ht="17.25" customHeight="1">
      <c r="A34" s="160">
        <v>4</v>
      </c>
      <c r="B34" s="52" t="s">
        <v>73</v>
      </c>
      <c r="C34" s="64" t="e">
        <f>C32-C33</f>
        <v>#DIV/0!</v>
      </c>
      <c r="D34" s="64" t="e">
        <f t="shared" ref="D34:H34" si="26">D32-D33</f>
        <v>#DIV/0!</v>
      </c>
      <c r="E34" s="64" t="e">
        <f t="shared" si="26"/>
        <v>#DIV/0!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73</v>
      </c>
      <c r="AJ34" s="52" t="s">
        <v>72</v>
      </c>
      <c r="AK34" s="52" t="s">
        <v>73</v>
      </c>
    </row>
    <row r="35" spans="1:37">
      <c r="A35" s="52" t="s">
        <v>69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10</v>
      </c>
      <c r="AJ35" s="52" t="s">
        <v>75</v>
      </c>
      <c r="AK35" s="55" t="s">
        <v>10</v>
      </c>
    </row>
    <row r="36" spans="1:37">
      <c r="A36" s="160">
        <v>1</v>
      </c>
      <c r="B36" s="52" t="s">
        <v>76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76</v>
      </c>
      <c r="AJ36" s="52" t="s">
        <v>72</v>
      </c>
      <c r="AK36" s="52" t="s">
        <v>76</v>
      </c>
    </row>
    <row r="37" spans="1:37">
      <c r="A37" s="160">
        <v>2</v>
      </c>
      <c r="B37" s="52" t="s">
        <v>77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77</v>
      </c>
      <c r="AJ37" s="52" t="s">
        <v>27</v>
      </c>
      <c r="AK37" s="52" t="s">
        <v>77</v>
      </c>
    </row>
    <row r="38" spans="1:37">
      <c r="A38" s="160">
        <v>3</v>
      </c>
      <c r="B38" s="52" t="s">
        <v>78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78</v>
      </c>
      <c r="AJ38" s="52" t="s">
        <v>33</v>
      </c>
      <c r="AK38" s="52" t="s">
        <v>78</v>
      </c>
    </row>
    <row r="39" spans="1:37">
      <c r="A39" s="52" t="s">
        <v>75</v>
      </c>
      <c r="B39" s="55" t="s">
        <v>80</v>
      </c>
      <c r="C39" s="59"/>
      <c r="D39" s="59"/>
      <c r="E39" s="59"/>
      <c r="F39" s="59"/>
      <c r="G39" s="59"/>
      <c r="H39" s="59"/>
      <c r="I39" s="59"/>
      <c r="T39" s="55" t="s">
        <v>80</v>
      </c>
      <c r="AJ39" s="52" t="s">
        <v>79</v>
      </c>
      <c r="AK39" s="55" t="s">
        <v>80</v>
      </c>
    </row>
    <row r="40" spans="1:37">
      <c r="A40" s="160">
        <v>1</v>
      </c>
      <c r="B40" s="52" t="s">
        <v>82</v>
      </c>
      <c r="C40" s="59" t="e">
        <f>C34-C36-C37-C38</f>
        <v>#DIV/0!</v>
      </c>
      <c r="D40" s="59" t="e">
        <f t="shared" ref="D40:H40" si="27">D34-D36-D37-D38</f>
        <v>#DIV/0!</v>
      </c>
      <c r="E40" s="59" t="e">
        <f t="shared" si="27"/>
        <v>#DIV/0!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82</v>
      </c>
      <c r="AJ40" s="52" t="s">
        <v>22</v>
      </c>
      <c r="AK40" s="52" t="s">
        <v>82</v>
      </c>
    </row>
    <row r="41" spans="1:37">
      <c r="A41" s="160">
        <v>2</v>
      </c>
      <c r="B41" s="52" t="s">
        <v>83</v>
      </c>
      <c r="C41" s="59"/>
      <c r="D41" s="59"/>
      <c r="E41" s="59"/>
      <c r="F41" s="59"/>
      <c r="G41" s="59"/>
      <c r="H41" s="59"/>
      <c r="I41" s="59"/>
      <c r="T41" s="52" t="s">
        <v>83</v>
      </c>
      <c r="AJ41" s="52" t="s">
        <v>24</v>
      </c>
      <c r="AK41" s="52" t="s">
        <v>83</v>
      </c>
    </row>
    <row r="42" spans="1:37">
      <c r="A42" s="52" t="s">
        <v>79</v>
      </c>
      <c r="B42" s="55" t="s">
        <v>85</v>
      </c>
      <c r="C42" s="59"/>
      <c r="D42" s="59"/>
      <c r="E42" s="59"/>
      <c r="F42" s="59"/>
      <c r="G42" s="59"/>
      <c r="H42" s="59"/>
      <c r="I42" s="59"/>
      <c r="T42" s="55" t="s">
        <v>85</v>
      </c>
      <c r="AJ42" s="52" t="s">
        <v>84</v>
      </c>
      <c r="AK42" s="55" t="s">
        <v>85</v>
      </c>
    </row>
    <row r="43" spans="1:37">
      <c r="A43" s="160">
        <v>1</v>
      </c>
      <c r="B43" s="60" t="s">
        <v>86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86</v>
      </c>
      <c r="AJ43" s="52" t="s">
        <v>22</v>
      </c>
      <c r="AK43" s="52" t="s">
        <v>86</v>
      </c>
    </row>
    <row r="44" spans="1:37">
      <c r="A44" s="160">
        <v>2</v>
      </c>
      <c r="B44" s="60" t="s">
        <v>87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87</v>
      </c>
      <c r="AJ44" s="52" t="s">
        <v>24</v>
      </c>
      <c r="AK44" s="52" t="s">
        <v>87</v>
      </c>
    </row>
    <row r="45" spans="1:37">
      <c r="A45" s="160">
        <v>3</v>
      </c>
      <c r="B45" s="60" t="s">
        <v>88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88</v>
      </c>
      <c r="AJ45" s="52" t="s">
        <v>72</v>
      </c>
      <c r="AK45" s="52" t="s">
        <v>88</v>
      </c>
    </row>
    <row r="46" spans="1:37" s="47" customFormat="1">
      <c r="A46" s="160">
        <v>4</v>
      </c>
      <c r="B46" s="60" t="s">
        <v>89</v>
      </c>
      <c r="C46" s="65" t="e">
        <f>C21/C6</f>
        <v>#DIV/0!</v>
      </c>
      <c r="D46" s="65" t="e">
        <f t="shared" ref="D46:H46" si="28">D21/D6</f>
        <v>#DIV/0!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91</v>
      </c>
      <c r="AJ46" s="60" t="s">
        <v>30</v>
      </c>
      <c r="AK46" s="60" t="s">
        <v>91</v>
      </c>
    </row>
    <row r="47" spans="1:37" s="47" customFormat="1">
      <c r="A47" s="160">
        <v>5</v>
      </c>
      <c r="B47" s="60" t="s">
        <v>91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91</v>
      </c>
      <c r="AJ47" s="60" t="s">
        <v>30</v>
      </c>
      <c r="AK47" s="60" t="s">
        <v>91</v>
      </c>
    </row>
    <row r="48" spans="1:37">
      <c r="A48" s="52" t="s">
        <v>84</v>
      </c>
      <c r="B48" s="55" t="s">
        <v>102</v>
      </c>
      <c r="C48" s="59" t="e">
        <f>C40-C43-C44-C45-C47-C46</f>
        <v>#DIV/0!</v>
      </c>
      <c r="D48" s="59" t="e">
        <f t="shared" ref="D48:H48" si="29">D40-D43-D44-D45-D47-D46</f>
        <v>#DIV/0!</v>
      </c>
      <c r="E48" s="59" t="e">
        <f t="shared" si="29"/>
        <v>#DIV/0!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102</v>
      </c>
      <c r="AJ48" s="52" t="s">
        <v>101</v>
      </c>
      <c r="AK48" s="55" t="s">
        <v>102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6" activePane="bottomRight" state="frozen"/>
      <selection pane="topRight"/>
      <selection pane="bottomLeft"/>
      <selection pane="bottomRight" activeCell="K40" sqref="K40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hidden="1" customWidth="1"/>
    <col min="4" max="4" width="13.25" style="49" customWidth="1"/>
    <col min="5" max="5" width="13.25" style="49" hidden="1" customWidth="1"/>
    <col min="6" max="6" width="13.25" style="49" customWidth="1"/>
    <col min="7" max="8" width="13.25" style="49" hidden="1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52" t="s">
        <v>142</v>
      </c>
      <c r="B1" s="252"/>
      <c r="C1" s="256" t="s">
        <v>252</v>
      </c>
      <c r="D1" s="262"/>
      <c r="E1" s="262"/>
      <c r="F1" s="262"/>
      <c r="G1" s="262"/>
      <c r="H1" s="262"/>
      <c r="I1" s="257"/>
    </row>
    <row r="2" spans="1:38">
      <c r="A2" s="252" t="s">
        <v>143</v>
      </c>
      <c r="B2" s="252"/>
      <c r="C2" s="258" t="str">
        <f>'2022年'!C2:D2</f>
        <v>陕重汽</v>
      </c>
      <c r="D2" s="258"/>
      <c r="E2" s="258"/>
      <c r="F2" s="258"/>
      <c r="G2" s="258"/>
      <c r="H2" s="258"/>
      <c r="I2" s="258"/>
    </row>
    <row r="3" spans="1:38">
      <c r="A3" s="252" t="s">
        <v>144</v>
      </c>
      <c r="B3" s="252"/>
      <c r="C3" s="161" t="str">
        <f>销量!C5</f>
        <v>副驾驶员座椅</v>
      </c>
      <c r="D3" s="161">
        <f>销量!D5</f>
        <v>0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53" t="s">
        <v>18</v>
      </c>
    </row>
    <row r="4" spans="1:38">
      <c r="A4" s="252" t="s">
        <v>145</v>
      </c>
      <c r="B4" s="252"/>
      <c r="C4" s="161" t="str">
        <f>销量!C6</f>
        <v>YZ16625200010</v>
      </c>
      <c r="D4" s="161">
        <f>销量!D6</f>
        <v>0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54"/>
    </row>
    <row r="5" spans="1:38">
      <c r="A5" s="252" t="s">
        <v>146</v>
      </c>
      <c r="B5" s="252"/>
      <c r="C5" s="51"/>
      <c r="D5" s="51"/>
      <c r="E5" s="51"/>
      <c r="F5" s="51"/>
      <c r="G5" s="51"/>
      <c r="H5" s="51"/>
      <c r="I5" s="255"/>
      <c r="AL5" s="48" t="s">
        <v>19</v>
      </c>
    </row>
    <row r="6" spans="1:38" ht="17.25">
      <c r="A6" s="52" t="s">
        <v>16</v>
      </c>
      <c r="B6" s="53" t="s">
        <v>147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4">
        <f>SUM(C6:H6)</f>
        <v>0</v>
      </c>
      <c r="T6" s="53" t="s">
        <v>3</v>
      </c>
      <c r="AJ6" s="52" t="s">
        <v>16</v>
      </c>
      <c r="AK6" s="53" t="s">
        <v>3</v>
      </c>
      <c r="AL6" s="48" t="s">
        <v>20</v>
      </c>
    </row>
    <row r="7" spans="1:38">
      <c r="A7" s="160">
        <v>1</v>
      </c>
      <c r="B7" s="53" t="s">
        <v>21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0</v>
      </c>
      <c r="J7" s="49"/>
      <c r="T7" s="53" t="s">
        <v>21</v>
      </c>
      <c r="AJ7" s="52" t="s">
        <v>22</v>
      </c>
      <c r="AK7" s="53" t="s">
        <v>21</v>
      </c>
      <c r="AL7" s="48" t="s">
        <v>20</v>
      </c>
    </row>
    <row r="8" spans="1:38">
      <c r="A8" s="160">
        <v>2</v>
      </c>
      <c r="B8" s="160" t="s">
        <v>23</v>
      </c>
      <c r="C8" s="54">
        <f>C7*(1-销量!$L$10)</f>
        <v>0</v>
      </c>
      <c r="D8" s="54">
        <f>D7*(1-销量!$L$10)</f>
        <v>0</v>
      </c>
      <c r="E8" s="54">
        <f>E7*(1-销量!$L$10)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0</v>
      </c>
      <c r="J8" s="69"/>
      <c r="T8" s="160" t="s">
        <v>25</v>
      </c>
      <c r="AJ8" s="52" t="s">
        <v>24</v>
      </c>
      <c r="AK8" s="160" t="s">
        <v>25</v>
      </c>
      <c r="AL8" s="48" t="s">
        <v>20</v>
      </c>
    </row>
    <row r="9" spans="1:38">
      <c r="A9" s="160">
        <v>3</v>
      </c>
      <c r="B9" s="53" t="s">
        <v>26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26</v>
      </c>
      <c r="AJ9" s="52" t="s">
        <v>27</v>
      </c>
      <c r="AK9" s="53" t="s">
        <v>26</v>
      </c>
      <c r="AL9" s="48" t="s">
        <v>28</v>
      </c>
    </row>
    <row r="10" spans="1:38">
      <c r="A10" s="160">
        <v>4</v>
      </c>
      <c r="B10" s="52" t="s">
        <v>29</v>
      </c>
      <c r="C10" s="54">
        <f>C6*材料成本!I41</f>
        <v>0</v>
      </c>
      <c r="D10" s="54">
        <f>D6*材料成本!I42</f>
        <v>0</v>
      </c>
      <c r="E10" s="54">
        <f>E6*材料成本!I43</f>
        <v>0</v>
      </c>
      <c r="F10" s="54">
        <f>F6*材料成本!I44</f>
        <v>0</v>
      </c>
      <c r="G10" s="54">
        <f>G6*材料成本!I45</f>
        <v>0</v>
      </c>
      <c r="H10" s="54">
        <f>H6*材料成本!I46</f>
        <v>0</v>
      </c>
      <c r="I10" s="54">
        <f t="shared" si="0"/>
        <v>0</v>
      </c>
      <c r="T10" s="52" t="s">
        <v>29</v>
      </c>
      <c r="AJ10" s="52" t="s">
        <v>30</v>
      </c>
      <c r="AK10" s="52" t="s">
        <v>29</v>
      </c>
      <c r="AL10" s="48" t="s">
        <v>31</v>
      </c>
    </row>
    <row r="11" spans="1:38">
      <c r="A11" s="160">
        <v>5</v>
      </c>
      <c r="B11" s="52" t="s">
        <v>32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32</v>
      </c>
      <c r="AJ11" s="52" t="s">
        <v>33</v>
      </c>
      <c r="AK11" s="52" t="s">
        <v>32</v>
      </c>
    </row>
    <row r="12" spans="1:38">
      <c r="A12" s="160">
        <v>6</v>
      </c>
      <c r="B12" s="52" t="s">
        <v>34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34</v>
      </c>
      <c r="AJ12" s="52" t="s">
        <v>35</v>
      </c>
      <c r="AK12" s="52" t="s">
        <v>34</v>
      </c>
    </row>
    <row r="13" spans="1:38">
      <c r="A13" s="160">
        <v>7</v>
      </c>
      <c r="B13" s="52" t="s">
        <v>36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36</v>
      </c>
      <c r="AJ13" s="52" t="s">
        <v>37</v>
      </c>
      <c r="AK13" s="52" t="s">
        <v>36</v>
      </c>
      <c r="AL13" s="48" t="s">
        <v>20</v>
      </c>
    </row>
    <row r="14" spans="1:38">
      <c r="A14" s="160">
        <v>8</v>
      </c>
      <c r="B14" s="55" t="s">
        <v>38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38</v>
      </c>
      <c r="AJ14" s="52" t="s">
        <v>39</v>
      </c>
      <c r="AK14" s="55" t="s">
        <v>38</v>
      </c>
    </row>
    <row r="15" spans="1:38">
      <c r="A15" s="160">
        <v>9</v>
      </c>
      <c r="B15" s="55" t="s">
        <v>40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T15" s="55" t="s">
        <v>40</v>
      </c>
      <c r="AJ15" s="52" t="s">
        <v>41</v>
      </c>
      <c r="AK15" s="55" t="s">
        <v>40</v>
      </c>
    </row>
    <row r="16" spans="1:38">
      <c r="A16" s="160">
        <v>10</v>
      </c>
      <c r="B16" s="52" t="s">
        <v>42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T16" s="52" t="s">
        <v>42</v>
      </c>
      <c r="AJ16" s="52" t="s">
        <v>43</v>
      </c>
      <c r="AK16" s="52" t="s">
        <v>42</v>
      </c>
    </row>
    <row r="17" spans="1:38">
      <c r="A17" s="160">
        <v>11</v>
      </c>
      <c r="B17" s="52" t="s">
        <v>44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44</v>
      </c>
      <c r="AJ17" s="52" t="s">
        <v>45</v>
      </c>
      <c r="AK17" s="52" t="s">
        <v>44</v>
      </c>
    </row>
    <row r="18" spans="1:38" s="46" customFormat="1">
      <c r="A18" s="160">
        <v>12</v>
      </c>
      <c r="B18" s="57" t="s">
        <v>148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6333.333333333333</v>
      </c>
      <c r="J18" s="70" t="s">
        <v>149</v>
      </c>
      <c r="K18" s="70"/>
      <c r="L18" s="70"/>
    </row>
    <row r="19" spans="1:38">
      <c r="A19" s="160">
        <v>13</v>
      </c>
      <c r="B19" s="52" t="s">
        <v>46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0</v>
      </c>
      <c r="J19" s="46"/>
      <c r="T19" s="52" t="s">
        <v>46</v>
      </c>
      <c r="AJ19" s="52" t="s">
        <v>47</v>
      </c>
      <c r="AK19" s="52" t="s">
        <v>46</v>
      </c>
      <c r="AL19" s="48" t="s">
        <v>20</v>
      </c>
    </row>
    <row r="20" spans="1:38">
      <c r="A20" s="160">
        <v>14</v>
      </c>
      <c r="B20" s="52" t="s">
        <v>48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0</v>
      </c>
      <c r="T20" s="52" t="s">
        <v>48</v>
      </c>
      <c r="AJ20" s="52" t="s">
        <v>49</v>
      </c>
      <c r="AK20" s="52" t="s">
        <v>48</v>
      </c>
    </row>
    <row r="21" spans="1:38">
      <c r="A21" s="160">
        <v>15</v>
      </c>
      <c r="B21" s="52" t="s">
        <v>50</v>
      </c>
      <c r="C21" s="59" t="e">
        <f>$I$21/$I$6*C6</f>
        <v>#DIV/0!</v>
      </c>
      <c r="D21" s="59" t="e">
        <f t="shared" ref="D21:H21" si="13">$I$21/$I$6*D6</f>
        <v>#DIV/0!</v>
      </c>
      <c r="E21" s="59" t="e">
        <f t="shared" si="13"/>
        <v>#DIV/0!</v>
      </c>
      <c r="F21" s="59" t="e">
        <f t="shared" si="13"/>
        <v>#DIV/0!</v>
      </c>
      <c r="G21" s="59" t="e">
        <f t="shared" si="13"/>
        <v>#DIV/0!</v>
      </c>
      <c r="H21" s="59" t="e">
        <f t="shared" si="13"/>
        <v>#DIV/0!</v>
      </c>
      <c r="I21" s="54">
        <f>项目投资!D27</f>
        <v>29433.333333333332</v>
      </c>
      <c r="T21" s="52" t="s">
        <v>50</v>
      </c>
      <c r="AJ21" s="52"/>
      <c r="AK21" s="52"/>
    </row>
    <row r="22" spans="1:38">
      <c r="A22" s="160">
        <v>16</v>
      </c>
      <c r="B22" s="52" t="s">
        <v>51</v>
      </c>
      <c r="C22" s="54">
        <f>C6*C47</f>
        <v>0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0</v>
      </c>
      <c r="T22" s="52" t="s">
        <v>51</v>
      </c>
      <c r="AJ22" s="52" t="s">
        <v>52</v>
      </c>
      <c r="AK22" s="52" t="s">
        <v>51</v>
      </c>
    </row>
    <row r="23" spans="1:38">
      <c r="A23" s="160">
        <v>17</v>
      </c>
      <c r="B23" s="55" t="s">
        <v>53</v>
      </c>
      <c r="C23" s="59" t="e">
        <f>+C22+C21+C20+C19+C17</f>
        <v>#DIV/0!</v>
      </c>
      <c r="D23" s="59" t="e">
        <f t="shared" ref="D23:H23" si="15">+D22+D21+D20+D19+D17</f>
        <v>#DIV/0!</v>
      </c>
      <c r="E23" s="59" t="e">
        <f t="shared" si="15"/>
        <v>#DIV/0!</v>
      </c>
      <c r="F23" s="59" t="e">
        <f t="shared" si="15"/>
        <v>#DIV/0!</v>
      </c>
      <c r="G23" s="59" t="e">
        <f t="shared" si="15"/>
        <v>#DIV/0!</v>
      </c>
      <c r="H23" s="59" t="e">
        <f t="shared" si="15"/>
        <v>#DIV/0!</v>
      </c>
      <c r="I23" s="59" t="e">
        <f t="shared" ref="I23" si="16">+I22+I21+I20+I19+I17</f>
        <v>#DIV/0!</v>
      </c>
      <c r="T23" s="55" t="s">
        <v>53</v>
      </c>
      <c r="AJ23" s="52" t="s">
        <v>54</v>
      </c>
      <c r="AK23" s="55" t="s">
        <v>53</v>
      </c>
    </row>
    <row r="24" spans="1:38">
      <c r="A24" s="160">
        <v>18</v>
      </c>
      <c r="B24" s="60" t="s">
        <v>55</v>
      </c>
      <c r="C24" s="59" t="e">
        <f>+C15-C23</f>
        <v>#DIV/0!</v>
      </c>
      <c r="D24" s="59" t="e">
        <f t="shared" ref="D24:H24" si="17">+D15-D23</f>
        <v>#DIV/0!</v>
      </c>
      <c r="E24" s="59" t="e">
        <f t="shared" si="17"/>
        <v>#DIV/0!</v>
      </c>
      <c r="F24" s="59" t="e">
        <f t="shared" si="17"/>
        <v>#DIV/0!</v>
      </c>
      <c r="G24" s="59" t="e">
        <f t="shared" si="17"/>
        <v>#DIV/0!</v>
      </c>
      <c r="H24" s="59" t="e">
        <f t="shared" si="17"/>
        <v>#DIV/0!</v>
      </c>
      <c r="I24" s="59" t="e">
        <f t="shared" ref="I24" si="18">+I15-I23</f>
        <v>#DIV/0!</v>
      </c>
      <c r="K24" s="71"/>
      <c r="T24" s="52" t="s">
        <v>55</v>
      </c>
      <c r="AJ24" s="52" t="s">
        <v>56</v>
      </c>
      <c r="AK24" s="52" t="s">
        <v>55</v>
      </c>
    </row>
    <row r="25" spans="1:38">
      <c r="A25" s="160">
        <v>19</v>
      </c>
      <c r="B25" s="52" t="s">
        <v>150</v>
      </c>
      <c r="C25" s="59" t="e">
        <f>IF(C24&lt;0,0,C24*0.25)</f>
        <v>#DIV/0!</v>
      </c>
      <c r="D25" s="59" t="e">
        <f>IF(D24&lt;0,0,D24*0.15)</f>
        <v>#DIV/0!</v>
      </c>
      <c r="E25" s="59" t="e">
        <f t="shared" ref="E25:I25" si="19">IF(E24&lt;0,0,E24*0.25)</f>
        <v>#DIV/0!</v>
      </c>
      <c r="F25" s="59" t="e">
        <f>IF(F24&lt;0,0,F24*0.15)</f>
        <v>#DIV/0!</v>
      </c>
      <c r="G25" s="59" t="e">
        <f t="shared" si="19"/>
        <v>#DIV/0!</v>
      </c>
      <c r="H25" s="59" t="e">
        <f t="shared" si="19"/>
        <v>#DIV/0!</v>
      </c>
      <c r="I25" s="59" t="e">
        <f t="shared" si="19"/>
        <v>#DIV/0!</v>
      </c>
      <c r="J25" s="67"/>
      <c r="K25" s="67"/>
      <c r="L25" s="67"/>
      <c r="T25" s="52" t="s">
        <v>57</v>
      </c>
      <c r="AJ25" s="52" t="s">
        <v>58</v>
      </c>
      <c r="AK25" s="52" t="s">
        <v>57</v>
      </c>
    </row>
    <row r="26" spans="1:38">
      <c r="A26" s="160">
        <v>20</v>
      </c>
      <c r="B26" s="52" t="s">
        <v>59</v>
      </c>
      <c r="C26" s="59" t="e">
        <f t="shared" ref="C26:H26" si="20">C24-C25</f>
        <v>#DIV/0!</v>
      </c>
      <c r="D26" s="59" t="e">
        <f t="shared" si="20"/>
        <v>#DIV/0!</v>
      </c>
      <c r="E26" s="59" t="e">
        <f t="shared" si="20"/>
        <v>#DIV/0!</v>
      </c>
      <c r="F26" s="59" t="e">
        <f t="shared" si="20"/>
        <v>#DIV/0!</v>
      </c>
      <c r="G26" s="59" t="e">
        <f t="shared" si="20"/>
        <v>#DIV/0!</v>
      </c>
      <c r="H26" s="59" t="e">
        <f t="shared" si="20"/>
        <v>#DIV/0!</v>
      </c>
      <c r="I26" s="54" t="e">
        <f>+SUM(C26:H26)</f>
        <v>#DIV/0!</v>
      </c>
      <c r="J26" s="67"/>
      <c r="K26" s="67"/>
      <c r="L26" s="67"/>
      <c r="T26" s="52" t="s">
        <v>59</v>
      </c>
      <c r="AJ26" s="52" t="s">
        <v>60</v>
      </c>
      <c r="AK26" s="52" t="s">
        <v>59</v>
      </c>
    </row>
    <row r="27" spans="1:38">
      <c r="A27" s="160">
        <v>21</v>
      </c>
      <c r="B27" s="52" t="s">
        <v>63</v>
      </c>
      <c r="C27" s="61" t="e">
        <f t="shared" ref="C27:I27" si="21">C26/C7</f>
        <v>#DIV/0!</v>
      </c>
      <c r="D27" s="61" t="e">
        <f t="shared" ref="D27:H27" si="22">D26/D7</f>
        <v>#DIV/0!</v>
      </c>
      <c r="E27" s="61" t="e">
        <f t="shared" si="22"/>
        <v>#DIV/0!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 t="e">
        <f t="shared" si="21"/>
        <v>#DIV/0!</v>
      </c>
      <c r="J27" s="67"/>
      <c r="K27" s="67"/>
      <c r="L27" s="67"/>
      <c r="T27" s="52" t="s">
        <v>63</v>
      </c>
      <c r="AJ27" s="52" t="s">
        <v>62</v>
      </c>
      <c r="AK27" s="52" t="s">
        <v>63</v>
      </c>
    </row>
    <row r="28" spans="1:38">
      <c r="J28" s="67"/>
      <c r="K28" s="67"/>
      <c r="L28" s="67"/>
      <c r="T28" s="52"/>
    </row>
    <row r="29" spans="1:38">
      <c r="A29" s="48" t="s">
        <v>64</v>
      </c>
      <c r="I29" s="49" t="s">
        <v>151</v>
      </c>
      <c r="J29" s="67"/>
      <c r="K29" s="67"/>
      <c r="L29" s="67"/>
      <c r="T29" s="52"/>
      <c r="AJ29" s="48" t="s">
        <v>64</v>
      </c>
    </row>
    <row r="30" spans="1:38">
      <c r="A30" s="52" t="s">
        <v>67</v>
      </c>
      <c r="B30" s="55" t="s">
        <v>68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68</v>
      </c>
      <c r="AJ30" s="52" t="s">
        <v>69</v>
      </c>
      <c r="AK30" s="55" t="s">
        <v>68</v>
      </c>
    </row>
    <row r="31" spans="1:38">
      <c r="A31" s="160">
        <v>1</v>
      </c>
      <c r="B31" s="57" t="s">
        <v>70</v>
      </c>
      <c r="C31" s="63">
        <f>销量!C8</f>
        <v>800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70</v>
      </c>
      <c r="AJ31" s="52" t="s">
        <v>22</v>
      </c>
      <c r="AK31" s="52" t="s">
        <v>70</v>
      </c>
    </row>
    <row r="32" spans="1:38">
      <c r="A32" s="160">
        <v>2</v>
      </c>
      <c r="B32" s="52" t="s">
        <v>152</v>
      </c>
      <c r="C32" s="54" t="e">
        <f>C9/C6</f>
        <v>#DIV/0!</v>
      </c>
      <c r="D32" s="54" t="e">
        <f t="shared" ref="D32:H32" si="23">D9/D6</f>
        <v>#DIV/0!</v>
      </c>
      <c r="E32" s="54" t="e">
        <f t="shared" si="23"/>
        <v>#DIV/0!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71</v>
      </c>
      <c r="C33" s="54">
        <f>材料成本!I41</f>
        <v>454.02650307839997</v>
      </c>
      <c r="D33" s="54">
        <f>材料成本!I42</f>
        <v>0</v>
      </c>
      <c r="E33" s="54">
        <f>材料成本!I43</f>
        <v>0</v>
      </c>
      <c r="F33" s="54">
        <f>材料成本!I44</f>
        <v>0</v>
      </c>
      <c r="G33" s="54">
        <f>材料成本!I45</f>
        <v>0</v>
      </c>
      <c r="H33" s="54">
        <f>材料成本!I46</f>
        <v>0</v>
      </c>
      <c r="I33" s="59"/>
      <c r="K33" s="67"/>
      <c r="L33" s="67"/>
      <c r="M33" s="67"/>
      <c r="N33" s="67"/>
      <c r="O33" s="67"/>
      <c r="P33" s="67"/>
      <c r="T33" s="52" t="s">
        <v>71</v>
      </c>
      <c r="AJ33" s="52" t="s">
        <v>24</v>
      </c>
      <c r="AK33" s="52" t="s">
        <v>71</v>
      </c>
    </row>
    <row r="34" spans="1:37" ht="17.25" customHeight="1">
      <c r="A34" s="160">
        <v>4</v>
      </c>
      <c r="B34" s="52" t="s">
        <v>73</v>
      </c>
      <c r="C34" s="64" t="e">
        <f>C32-C33</f>
        <v>#DIV/0!</v>
      </c>
      <c r="D34" s="64" t="e">
        <f t="shared" ref="D34:H34" si="24">D32-D33</f>
        <v>#DIV/0!</v>
      </c>
      <c r="E34" s="64" t="e">
        <f t="shared" si="24"/>
        <v>#DIV/0!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73</v>
      </c>
      <c r="AJ34" s="52" t="s">
        <v>72</v>
      </c>
      <c r="AK34" s="52" t="s">
        <v>73</v>
      </c>
    </row>
    <row r="35" spans="1:37">
      <c r="A35" s="52" t="s">
        <v>69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10</v>
      </c>
      <c r="AJ35" s="52" t="s">
        <v>75</v>
      </c>
      <c r="AK35" s="55" t="s">
        <v>10</v>
      </c>
    </row>
    <row r="36" spans="1:37">
      <c r="A36" s="160">
        <v>1</v>
      </c>
      <c r="B36" s="52" t="s">
        <v>76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76</v>
      </c>
      <c r="AJ36" s="52" t="s">
        <v>72</v>
      </c>
      <c r="AK36" s="52" t="s">
        <v>76</v>
      </c>
    </row>
    <row r="37" spans="1:37">
      <c r="A37" s="160">
        <v>2</v>
      </c>
      <c r="B37" s="52" t="s">
        <v>77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77</v>
      </c>
      <c r="AJ37" s="52" t="s">
        <v>27</v>
      </c>
      <c r="AK37" s="52" t="s">
        <v>77</v>
      </c>
    </row>
    <row r="38" spans="1:37">
      <c r="A38" s="160">
        <v>3</v>
      </c>
      <c r="B38" s="52" t="s">
        <v>78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78</v>
      </c>
      <c r="AJ38" s="52" t="s">
        <v>33</v>
      </c>
      <c r="AK38" s="52" t="s">
        <v>78</v>
      </c>
    </row>
    <row r="39" spans="1:37">
      <c r="A39" s="52" t="s">
        <v>75</v>
      </c>
      <c r="B39" s="55" t="s">
        <v>80</v>
      </c>
      <c r="C39" s="59"/>
      <c r="D39" s="59"/>
      <c r="E39" s="59"/>
      <c r="F39" s="59"/>
      <c r="G39" s="59"/>
      <c r="H39" s="59"/>
      <c r="I39" s="59"/>
      <c r="T39" s="55" t="s">
        <v>80</v>
      </c>
      <c r="AJ39" s="52" t="s">
        <v>79</v>
      </c>
      <c r="AK39" s="55" t="s">
        <v>80</v>
      </c>
    </row>
    <row r="40" spans="1:37">
      <c r="A40" s="160">
        <v>1</v>
      </c>
      <c r="B40" s="52" t="s">
        <v>82</v>
      </c>
      <c r="C40" s="59" t="e">
        <f>C34-C36-C37-C38</f>
        <v>#DIV/0!</v>
      </c>
      <c r="D40" s="59" t="e">
        <f t="shared" ref="D40:H40" si="25">D34-D36-D37-D38</f>
        <v>#DIV/0!</v>
      </c>
      <c r="E40" s="59" t="e">
        <f t="shared" si="25"/>
        <v>#DIV/0!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82</v>
      </c>
      <c r="AJ40" s="52" t="s">
        <v>22</v>
      </c>
      <c r="AK40" s="52" t="s">
        <v>82</v>
      </c>
    </row>
    <row r="41" spans="1:37">
      <c r="A41" s="160">
        <v>2</v>
      </c>
      <c r="B41" s="52" t="s">
        <v>83</v>
      </c>
      <c r="C41" s="59"/>
      <c r="D41" s="59"/>
      <c r="E41" s="59"/>
      <c r="F41" s="59"/>
      <c r="G41" s="59"/>
      <c r="H41" s="59"/>
      <c r="I41" s="59"/>
      <c r="T41" s="52" t="s">
        <v>83</v>
      </c>
      <c r="AJ41" s="52" t="s">
        <v>24</v>
      </c>
      <c r="AK41" s="52" t="s">
        <v>83</v>
      </c>
    </row>
    <row r="42" spans="1:37">
      <c r="A42" s="52" t="s">
        <v>79</v>
      </c>
      <c r="B42" s="55" t="s">
        <v>85</v>
      </c>
      <c r="C42" s="59"/>
      <c r="D42" s="59"/>
      <c r="E42" s="59"/>
      <c r="F42" s="59"/>
      <c r="G42" s="59"/>
      <c r="H42" s="59"/>
      <c r="I42" s="59"/>
      <c r="T42" s="55" t="s">
        <v>85</v>
      </c>
      <c r="AJ42" s="52" t="s">
        <v>84</v>
      </c>
      <c r="AK42" s="55" t="s">
        <v>85</v>
      </c>
    </row>
    <row r="43" spans="1:37">
      <c r="A43" s="160">
        <v>1</v>
      </c>
      <c r="B43" s="60" t="s">
        <v>86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86</v>
      </c>
      <c r="AJ43" s="52" t="s">
        <v>22</v>
      </c>
      <c r="AK43" s="52" t="s">
        <v>86</v>
      </c>
    </row>
    <row r="44" spans="1:37">
      <c r="A44" s="160">
        <v>2</v>
      </c>
      <c r="B44" s="60" t="s">
        <v>87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87</v>
      </c>
      <c r="AJ44" s="52" t="s">
        <v>24</v>
      </c>
      <c r="AK44" s="52" t="s">
        <v>87</v>
      </c>
    </row>
    <row r="45" spans="1:37">
      <c r="A45" s="160">
        <v>3</v>
      </c>
      <c r="B45" s="60" t="s">
        <v>88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88</v>
      </c>
      <c r="AJ45" s="52" t="s">
        <v>72</v>
      </c>
      <c r="AK45" s="52" t="s">
        <v>88</v>
      </c>
    </row>
    <row r="46" spans="1:37" s="47" customFormat="1">
      <c r="A46" s="160">
        <v>4</v>
      </c>
      <c r="B46" s="60" t="s">
        <v>89</v>
      </c>
      <c r="C46" s="65" t="e">
        <f>C21/C6</f>
        <v>#DIV/0!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91</v>
      </c>
      <c r="AJ46" s="60" t="s">
        <v>30</v>
      </c>
      <c r="AK46" s="60" t="s">
        <v>91</v>
      </c>
    </row>
    <row r="47" spans="1:37" s="47" customFormat="1">
      <c r="A47" s="160">
        <v>5</v>
      </c>
      <c r="B47" s="60" t="s">
        <v>91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91</v>
      </c>
      <c r="AJ47" s="60" t="s">
        <v>30</v>
      </c>
      <c r="AK47" s="60" t="s">
        <v>91</v>
      </c>
    </row>
    <row r="48" spans="1:37">
      <c r="A48" s="52" t="s">
        <v>84</v>
      </c>
      <c r="B48" s="55" t="s">
        <v>102</v>
      </c>
      <c r="C48" s="59" t="e">
        <f>C40-C43-C44-C45-C47-C46</f>
        <v>#DIV/0!</v>
      </c>
      <c r="D48" s="59" t="e">
        <f t="shared" ref="D48:H48" si="27">D40-D43-D44-D45-D47-D46</f>
        <v>#DIV/0!</v>
      </c>
      <c r="E48" s="59" t="e">
        <f t="shared" si="27"/>
        <v>#DIV/0!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102</v>
      </c>
      <c r="AJ48" s="52" t="s">
        <v>101</v>
      </c>
      <c r="AK48" s="55" t="s">
        <v>102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6" activePane="bottomRight" state="frozen"/>
      <selection pane="topRight"/>
      <selection pane="bottomLeft"/>
      <selection pane="bottomRight" activeCell="G19" sqref="G19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  <col min="10" max="10" width="14.125" customWidth="1"/>
  </cols>
  <sheetData>
    <row r="1" spans="1:13" ht="20.25">
      <c r="A1" s="263" t="s">
        <v>153</v>
      </c>
      <c r="B1" s="263"/>
      <c r="C1" s="263"/>
      <c r="E1" s="264" t="s">
        <v>296</v>
      </c>
      <c r="F1" s="265"/>
      <c r="G1" s="265"/>
      <c r="H1" s="266"/>
      <c r="J1" s="219"/>
      <c r="K1" s="219"/>
      <c r="L1" s="219"/>
      <c r="M1" s="219"/>
    </row>
    <row r="2" spans="1:13" ht="23.45" customHeight="1">
      <c r="A2" s="28" t="s">
        <v>1</v>
      </c>
      <c r="B2" s="29" t="s">
        <v>154</v>
      </c>
      <c r="C2" s="30" t="s">
        <v>155</v>
      </c>
      <c r="E2" s="1" t="s">
        <v>156</v>
      </c>
      <c r="F2" s="1" t="s">
        <v>1</v>
      </c>
      <c r="G2" s="31" t="s">
        <v>157</v>
      </c>
      <c r="H2" s="1" t="s">
        <v>155</v>
      </c>
      <c r="J2" s="220"/>
      <c r="K2" s="220"/>
      <c r="L2" s="221"/>
      <c r="M2" s="222"/>
    </row>
    <row r="3" spans="1:13" ht="15.75" customHeight="1">
      <c r="A3" s="32" t="s">
        <v>158</v>
      </c>
      <c r="B3" s="33"/>
      <c r="C3" s="34"/>
      <c r="E3" s="271" t="s">
        <v>159</v>
      </c>
      <c r="F3" s="2" t="s">
        <v>160</v>
      </c>
      <c r="G3" s="175">
        <v>0</v>
      </c>
      <c r="H3" s="209"/>
      <c r="J3" s="223"/>
      <c r="K3" s="224"/>
      <c r="L3" s="225"/>
      <c r="M3" s="224"/>
    </row>
    <row r="4" spans="1:13" ht="15.75" customHeight="1">
      <c r="A4" s="32" t="s">
        <v>161</v>
      </c>
      <c r="B4" s="33"/>
      <c r="C4" s="35"/>
      <c r="E4" s="272"/>
      <c r="F4" s="2" t="s">
        <v>162</v>
      </c>
      <c r="G4" s="175"/>
      <c r="H4" s="209"/>
      <c r="J4" s="223"/>
      <c r="K4" s="224"/>
      <c r="L4" s="225"/>
      <c r="M4" s="224"/>
    </row>
    <row r="5" spans="1:13" ht="15.75" customHeight="1">
      <c r="A5" s="32" t="s">
        <v>163</v>
      </c>
      <c r="B5" s="36">
        <f>SUM(G3:G4)</f>
        <v>0</v>
      </c>
      <c r="C5" s="34"/>
      <c r="E5" s="273" t="s">
        <v>164</v>
      </c>
      <c r="F5" s="37" t="s">
        <v>165</v>
      </c>
      <c r="G5" s="175"/>
      <c r="H5" s="210"/>
      <c r="J5" s="226"/>
      <c r="K5" s="224"/>
      <c r="L5" s="227"/>
      <c r="M5" s="224"/>
    </row>
    <row r="6" spans="1:13" ht="15.75" customHeight="1">
      <c r="A6" s="32" t="s">
        <v>166</v>
      </c>
      <c r="B6" s="33"/>
      <c r="C6" s="34"/>
      <c r="E6" s="274"/>
      <c r="F6" s="37" t="s">
        <v>167</v>
      </c>
      <c r="G6" s="175"/>
      <c r="H6" s="209"/>
      <c r="J6" s="226"/>
      <c r="K6" s="224"/>
      <c r="L6" s="227"/>
      <c r="M6" s="224"/>
    </row>
    <row r="7" spans="1:13" ht="15.75" customHeight="1">
      <c r="A7" s="38" t="s">
        <v>168</v>
      </c>
      <c r="B7" s="36">
        <f>SUM(B3:B6)</f>
        <v>0</v>
      </c>
      <c r="C7" s="34"/>
      <c r="E7" s="274"/>
      <c r="F7" s="37" t="s">
        <v>169</v>
      </c>
      <c r="G7" s="175"/>
      <c r="H7" s="209"/>
      <c r="J7" s="226"/>
      <c r="K7" s="224"/>
      <c r="L7" s="227"/>
      <c r="M7" s="224"/>
    </row>
    <row r="8" spans="1:13" ht="15.75" customHeight="1">
      <c r="A8" s="39" t="s">
        <v>170</v>
      </c>
      <c r="B8" s="36">
        <f>SUM(G5:G12)</f>
        <v>2</v>
      </c>
      <c r="C8" s="40"/>
      <c r="E8" s="274"/>
      <c r="F8" s="37" t="s">
        <v>171</v>
      </c>
      <c r="G8" s="175"/>
      <c r="H8" s="209"/>
      <c r="J8" s="226"/>
      <c r="K8" s="224"/>
      <c r="L8" s="227"/>
      <c r="M8" s="224"/>
    </row>
    <row r="9" spans="1:13" ht="15.75" customHeight="1">
      <c r="A9" s="32" t="s">
        <v>172</v>
      </c>
      <c r="B9" s="36">
        <f>SUM(G13:G21)</f>
        <v>8.83</v>
      </c>
      <c r="C9" s="34"/>
      <c r="E9" s="274"/>
      <c r="F9" s="2" t="s">
        <v>173</v>
      </c>
      <c r="G9" s="175"/>
      <c r="H9" s="211"/>
      <c r="J9" s="226"/>
      <c r="K9" s="224"/>
      <c r="L9" s="227"/>
      <c r="M9" s="228"/>
    </row>
    <row r="10" spans="1:13" ht="15.75" customHeight="1">
      <c r="A10" s="35" t="s">
        <v>18</v>
      </c>
      <c r="B10" s="36">
        <f>B7+B8+B9</f>
        <v>10.83</v>
      </c>
      <c r="C10" s="34"/>
      <c r="E10" s="274"/>
      <c r="F10" s="2" t="s">
        <v>174</v>
      </c>
      <c r="G10" s="175"/>
      <c r="H10" s="209"/>
      <c r="J10" s="226"/>
      <c r="K10" s="224"/>
      <c r="L10" s="229"/>
      <c r="M10" s="224"/>
    </row>
    <row r="11" spans="1:13" ht="15.75" customHeight="1">
      <c r="E11" s="274"/>
      <c r="F11" s="2" t="s">
        <v>175</v>
      </c>
      <c r="G11" s="175">
        <v>2</v>
      </c>
      <c r="H11" s="209" t="s">
        <v>288</v>
      </c>
      <c r="J11" s="226"/>
      <c r="K11" s="224"/>
      <c r="L11" s="229"/>
      <c r="M11" s="224"/>
    </row>
    <row r="12" spans="1:13" ht="15.75" customHeight="1">
      <c r="E12" s="275"/>
      <c r="F12" s="2" t="s">
        <v>176</v>
      </c>
      <c r="G12" s="175"/>
      <c r="H12" s="209"/>
      <c r="J12" s="226"/>
      <c r="K12" s="224"/>
      <c r="L12" s="227"/>
      <c r="M12" s="228"/>
    </row>
    <row r="13" spans="1:13" ht="15.75" customHeight="1">
      <c r="E13" s="271" t="s">
        <v>50</v>
      </c>
      <c r="F13" s="2" t="s">
        <v>177</v>
      </c>
      <c r="G13" s="175">
        <v>0.92</v>
      </c>
      <c r="H13" s="211"/>
      <c r="J13" s="223"/>
      <c r="K13" s="224"/>
      <c r="L13" s="227"/>
      <c r="M13" s="226"/>
    </row>
    <row r="14" spans="1:13" ht="15.75" customHeight="1">
      <c r="E14" s="272"/>
      <c r="F14" s="2" t="s">
        <v>178</v>
      </c>
      <c r="G14" s="175">
        <v>0.2</v>
      </c>
      <c r="H14" s="209"/>
      <c r="J14" s="223"/>
      <c r="K14" s="224"/>
      <c r="L14" s="227"/>
      <c r="M14" s="224"/>
    </row>
    <row r="15" spans="1:13" ht="15.75" customHeight="1">
      <c r="E15" s="272"/>
      <c r="F15" s="2" t="s">
        <v>179</v>
      </c>
      <c r="G15" s="175"/>
      <c r="H15" s="209"/>
      <c r="J15" s="223"/>
      <c r="K15" s="224"/>
      <c r="L15" s="227"/>
      <c r="M15" s="224"/>
    </row>
    <row r="16" spans="1:13" ht="15.75" customHeight="1">
      <c r="E16" s="272"/>
      <c r="F16" s="2" t="s">
        <v>180</v>
      </c>
      <c r="G16" s="175">
        <v>0.3</v>
      </c>
      <c r="H16" s="209" t="s">
        <v>291</v>
      </c>
      <c r="J16" s="223"/>
      <c r="K16" s="224"/>
      <c r="L16" s="227"/>
      <c r="M16" s="224"/>
    </row>
    <row r="17" spans="1:13" ht="15.75" customHeight="1">
      <c r="E17" s="272"/>
      <c r="F17" s="2" t="s">
        <v>181</v>
      </c>
      <c r="G17" s="175"/>
      <c r="H17" s="209"/>
      <c r="J17" s="223"/>
      <c r="K17" s="224"/>
      <c r="L17" s="227"/>
      <c r="M17" s="224"/>
    </row>
    <row r="18" spans="1:13" ht="15.75" customHeight="1">
      <c r="E18" s="272"/>
      <c r="F18" s="2" t="s">
        <v>182</v>
      </c>
      <c r="G18" s="175">
        <v>2.2999999999999998</v>
      </c>
      <c r="H18" s="211" t="s">
        <v>289</v>
      </c>
      <c r="J18" s="223"/>
      <c r="K18" s="224"/>
      <c r="L18" s="227"/>
      <c r="M18" s="224"/>
    </row>
    <row r="19" spans="1:13" ht="15.75" customHeight="1">
      <c r="E19" s="272"/>
      <c r="F19" s="2" t="s">
        <v>183</v>
      </c>
      <c r="G19" s="175">
        <v>5.1100000000000003</v>
      </c>
      <c r="H19" s="212" t="s">
        <v>290</v>
      </c>
      <c r="J19" s="223"/>
      <c r="K19" s="224"/>
      <c r="L19" s="227"/>
      <c r="M19" s="224"/>
    </row>
    <row r="20" spans="1:13" ht="15.75" customHeight="1">
      <c r="E20" s="272"/>
      <c r="F20" s="2" t="s">
        <v>184</v>
      </c>
      <c r="G20" s="175"/>
      <c r="H20" s="209"/>
      <c r="J20" s="223"/>
      <c r="K20" s="224"/>
      <c r="L20" s="225"/>
      <c r="M20" s="224"/>
    </row>
    <row r="21" spans="1:13" ht="15.75" customHeight="1">
      <c r="E21" s="276"/>
      <c r="F21" s="2" t="s">
        <v>130</v>
      </c>
      <c r="G21" s="175"/>
      <c r="H21" s="209"/>
      <c r="J21" s="223"/>
      <c r="K21" s="224"/>
      <c r="L21" s="225"/>
      <c r="M21" s="224"/>
    </row>
    <row r="22" spans="1:13" ht="15.75" customHeight="1">
      <c r="E22" s="1" t="s">
        <v>18</v>
      </c>
      <c r="F22" s="2"/>
      <c r="G22" s="31">
        <f>SUM(G3:G21)</f>
        <v>10.83</v>
      </c>
      <c r="H22" s="2"/>
      <c r="J22" s="223"/>
      <c r="K22" s="224"/>
      <c r="L22" s="225"/>
      <c r="M22" s="224"/>
    </row>
    <row r="23" spans="1:13" ht="30.75" customHeight="1">
      <c r="E23" s="267" t="s">
        <v>185</v>
      </c>
      <c r="F23" s="267"/>
      <c r="G23" s="267"/>
      <c r="H23" s="267"/>
    </row>
    <row r="25" spans="1:13" ht="17.25">
      <c r="A25" s="19" t="s">
        <v>1</v>
      </c>
      <c r="B25" s="19" t="s">
        <v>154</v>
      </c>
      <c r="C25" s="19" t="s">
        <v>186</v>
      </c>
      <c r="D25" s="176" t="s">
        <v>17</v>
      </c>
      <c r="E25" s="176" t="s">
        <v>187</v>
      </c>
      <c r="F25" s="176" t="s">
        <v>188</v>
      </c>
      <c r="G25" s="176" t="s">
        <v>189</v>
      </c>
      <c r="H25" s="176" t="s">
        <v>237</v>
      </c>
      <c r="I25" s="22" t="s">
        <v>18</v>
      </c>
      <c r="J25" s="44" t="s">
        <v>190</v>
      </c>
    </row>
    <row r="26" spans="1:13" ht="16.5">
      <c r="A26" s="41" t="s">
        <v>148</v>
      </c>
      <c r="B26" s="42">
        <f>(B5+B8)*10000</f>
        <v>20000</v>
      </c>
      <c r="C26" s="43">
        <v>0.05</v>
      </c>
      <c r="D26" s="13">
        <f>B26*(1-C26)/3</f>
        <v>6333.333333333333</v>
      </c>
      <c r="E26" s="13">
        <f t="shared" ref="E26:F27" si="0">D26</f>
        <v>6333.333333333333</v>
      </c>
      <c r="F26" s="13">
        <f t="shared" si="0"/>
        <v>6333.333333333333</v>
      </c>
      <c r="G26" s="13"/>
      <c r="H26" s="13"/>
      <c r="I26" s="13">
        <f>SUM(D26:H26)</f>
        <v>19000</v>
      </c>
      <c r="J26" s="13">
        <f>B26*0.05</f>
        <v>1000</v>
      </c>
    </row>
    <row r="27" spans="1:13" ht="16.5">
      <c r="A27" s="41" t="s">
        <v>191</v>
      </c>
      <c r="B27" s="42">
        <f>B9*10000</f>
        <v>88300</v>
      </c>
      <c r="C27" s="13"/>
      <c r="D27" s="13">
        <f>B27/3</f>
        <v>29433.333333333332</v>
      </c>
      <c r="E27" s="13">
        <f t="shared" si="0"/>
        <v>29433.333333333332</v>
      </c>
      <c r="F27" s="13">
        <f t="shared" si="0"/>
        <v>29433.333333333332</v>
      </c>
      <c r="G27" s="13"/>
      <c r="H27" s="13"/>
      <c r="I27" s="13">
        <f>SUM(D27:H27)</f>
        <v>88300</v>
      </c>
      <c r="J27" s="13"/>
    </row>
    <row r="28" spans="1:13" ht="16.5">
      <c r="A28" s="268" t="s">
        <v>110</v>
      </c>
      <c r="B28" s="269"/>
      <c r="C28" s="270"/>
      <c r="D28" s="13">
        <f>SUM(D26:D27)</f>
        <v>35766.666666666664</v>
      </c>
      <c r="E28" s="13">
        <f t="shared" ref="E28:H28" si="1">SUM(E26:E27)</f>
        <v>35766.666666666664</v>
      </c>
      <c r="F28" s="13">
        <f t="shared" si="1"/>
        <v>35766.666666666664</v>
      </c>
      <c r="G28" s="13">
        <f t="shared" si="1"/>
        <v>0</v>
      </c>
      <c r="H28" s="13">
        <f t="shared" si="1"/>
        <v>0</v>
      </c>
      <c r="I28" s="45"/>
      <c r="J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2022-08-31T05:33:28Z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