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陕汽H5000S\"/>
    </mc:Choice>
  </mc:AlternateContent>
  <bookViews>
    <workbookView xWindow="0" yWindow="480" windowWidth="18525" windowHeight="621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r:id="rId7"/>
    <sheet name="2026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  <externalReference r:id="rId16"/>
  </externalReferences>
  <definedNames>
    <definedName name="_xlnm.Print_Area" localSheetId="3">'2022年'!$A$1:$E$48</definedName>
    <definedName name="_xlnm.Print_Area" localSheetId="4">'2023年'!$A$1:$E$48</definedName>
    <definedName name="_xlnm.Print_Area" localSheetId="5">'2024年'!$A$1:$E$48</definedName>
    <definedName name="_xlnm.Print_Area" localSheetId="6">'2025年'!$A$1:$E$48</definedName>
    <definedName name="_xlnm.Print_Area" localSheetId="7">'2026年'!$A$1:$E$48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6" i="53" l="1"/>
  <c r="E6" i="53" l="1"/>
  <c r="E5" i="61" l="1"/>
  <c r="C5" i="61"/>
  <c r="B5" i="61"/>
  <c r="E4" i="61" l="1"/>
  <c r="E6" i="61" s="1"/>
  <c r="C4" i="61"/>
  <c r="B4" i="61"/>
  <c r="F77" i="50" l="1"/>
  <c r="F74" i="50"/>
  <c r="F64" i="50"/>
  <c r="F61" i="50"/>
  <c r="F51" i="50"/>
  <c r="F48" i="50"/>
  <c r="F38" i="50"/>
  <c r="F35" i="50"/>
  <c r="F24" i="50"/>
  <c r="F21" i="50"/>
  <c r="F10" i="50"/>
  <c r="F7" i="50"/>
  <c r="D33" i="53" l="1"/>
  <c r="D4" i="61" s="1"/>
  <c r="F33" i="53"/>
  <c r="G33" i="53"/>
  <c r="H33" i="53"/>
  <c r="I33" i="53"/>
  <c r="F4" i="61" l="1"/>
  <c r="G4" i="61" s="1"/>
  <c r="D6" i="59"/>
  <c r="D7" i="59" s="1"/>
  <c r="C6" i="59"/>
  <c r="E8" i="43"/>
  <c r="I70" i="50"/>
  <c r="I77" i="50"/>
  <c r="H75" i="50"/>
  <c r="I74" i="50"/>
  <c r="H74" i="50"/>
  <c r="I57" i="50"/>
  <c r="I64" i="50"/>
  <c r="H62" i="50"/>
  <c r="I61" i="50"/>
  <c r="H61" i="50"/>
  <c r="I44" i="50"/>
  <c r="I51" i="50"/>
  <c r="H49" i="50"/>
  <c r="I48" i="50"/>
  <c r="H48" i="50"/>
  <c r="I31" i="50"/>
  <c r="I38" i="50"/>
  <c r="H36" i="50"/>
  <c r="I35" i="50"/>
  <c r="H35" i="50"/>
  <c r="I17" i="50"/>
  <c r="I24" i="50"/>
  <c r="H22" i="50"/>
  <c r="I21" i="50"/>
  <c r="H21" i="50"/>
  <c r="I3" i="50"/>
  <c r="D3" i="59"/>
  <c r="D4" i="59"/>
  <c r="D31" i="59"/>
  <c r="D3" i="58"/>
  <c r="D4" i="58"/>
  <c r="D6" i="58"/>
  <c r="D31" i="58"/>
  <c r="D3" i="57"/>
  <c r="D4" i="57"/>
  <c r="D6" i="57"/>
  <c r="D7" i="57" s="1"/>
  <c r="D31" i="57"/>
  <c r="D31" i="56"/>
  <c r="D3" i="56"/>
  <c r="D4" i="56"/>
  <c r="D6" i="56"/>
  <c r="E46" i="53"/>
  <c r="F46" i="53" s="1"/>
  <c r="G46" i="53" s="1"/>
  <c r="H46" i="53" s="1"/>
  <c r="I46" i="53" s="1"/>
  <c r="I4" i="53"/>
  <c r="I5" i="53"/>
  <c r="E4" i="53"/>
  <c r="F4" i="53"/>
  <c r="G4" i="53"/>
  <c r="H4" i="53"/>
  <c r="E5" i="53"/>
  <c r="F5" i="53"/>
  <c r="G5" i="53"/>
  <c r="H5" i="53"/>
  <c r="E24" i="50" l="1"/>
  <c r="E77" i="50"/>
  <c r="E72" i="50"/>
  <c r="E76" i="50"/>
  <c r="E71" i="50"/>
  <c r="E73" i="50"/>
  <c r="E78" i="50"/>
  <c r="E75" i="50"/>
  <c r="E74" i="50"/>
  <c r="E51" i="50"/>
  <c r="E48" i="50"/>
  <c r="E45" i="50"/>
  <c r="E50" i="50"/>
  <c r="E49" i="50"/>
  <c r="E46" i="50"/>
  <c r="E47" i="50"/>
  <c r="E52" i="50"/>
  <c r="E38" i="50"/>
  <c r="E33" i="50"/>
  <c r="E37" i="50"/>
  <c r="E34" i="50"/>
  <c r="E35" i="50"/>
  <c r="E32" i="50"/>
  <c r="E36" i="50"/>
  <c r="E39" i="50"/>
  <c r="E64" i="50"/>
  <c r="E60" i="50"/>
  <c r="E65" i="50"/>
  <c r="E61" i="50"/>
  <c r="E58" i="50"/>
  <c r="E59" i="50"/>
  <c r="E63" i="50"/>
  <c r="E62" i="50"/>
  <c r="E7" i="50"/>
  <c r="E5" i="50"/>
  <c r="C43" i="43" s="1"/>
  <c r="E6" i="50"/>
  <c r="E4" i="50"/>
  <c r="C36" i="43" s="1"/>
  <c r="E9" i="50"/>
  <c r="C44" i="43" s="1"/>
  <c r="E8" i="50"/>
  <c r="C45" i="43" s="1"/>
  <c r="E11" i="50"/>
  <c r="E22" i="50"/>
  <c r="D45" i="43" s="1"/>
  <c r="E19" i="50"/>
  <c r="D43" i="43" s="1"/>
  <c r="E23" i="50"/>
  <c r="D44" i="43" s="1"/>
  <c r="E20" i="50"/>
  <c r="D38" i="43"/>
  <c r="E21" i="50"/>
  <c r="E25" i="50"/>
  <c r="D47" i="43" s="1"/>
  <c r="E18" i="50"/>
  <c r="D36" i="43" s="1"/>
  <c r="E6" i="59"/>
  <c r="D37" i="43"/>
  <c r="D7" i="56"/>
  <c r="D7" i="58"/>
  <c r="D44" i="58" l="1"/>
  <c r="D19" i="58" s="1"/>
  <c r="D44" i="59"/>
  <c r="D19" i="59" s="1"/>
  <c r="D44" i="56"/>
  <c r="D19" i="56" s="1"/>
  <c r="D44" i="57"/>
  <c r="D19" i="57" s="1"/>
  <c r="D36" i="57"/>
  <c r="D11" i="57" s="1"/>
  <c r="D36" i="56"/>
  <c r="D11" i="56" s="1"/>
  <c r="D36" i="59"/>
  <c r="D11" i="59" s="1"/>
  <c r="D36" i="58"/>
  <c r="D11" i="58" s="1"/>
  <c r="D38" i="59"/>
  <c r="D13" i="59" s="1"/>
  <c r="D38" i="58"/>
  <c r="D13" i="58" s="1"/>
  <c r="D38" i="56"/>
  <c r="D13" i="56" s="1"/>
  <c r="D38" i="57"/>
  <c r="D13" i="57" s="1"/>
  <c r="D43" i="57"/>
  <c r="D43" i="58"/>
  <c r="D43" i="59"/>
  <c r="D43" i="56"/>
  <c r="D37" i="58"/>
  <c r="D12" i="58" s="1"/>
  <c r="D37" i="59"/>
  <c r="D12" i="59" s="1"/>
  <c r="D37" i="57"/>
  <c r="D12" i="57" s="1"/>
  <c r="D37" i="56"/>
  <c r="D12" i="56" s="1"/>
  <c r="D47" i="59"/>
  <c r="D22" i="59" s="1"/>
  <c r="D47" i="56"/>
  <c r="D22" i="56" s="1"/>
  <c r="D47" i="57"/>
  <c r="D22" i="57" s="1"/>
  <c r="D47" i="58"/>
  <c r="D22" i="58" s="1"/>
  <c r="D45" i="59"/>
  <c r="D45" i="56"/>
  <c r="D45" i="58"/>
  <c r="D45" i="57"/>
  <c r="C36" i="56"/>
  <c r="C36" i="57"/>
  <c r="C36" i="58"/>
  <c r="C36" i="59"/>
  <c r="C44" i="56"/>
  <c r="C44" i="57"/>
  <c r="C44" i="58"/>
  <c r="C44" i="59"/>
  <c r="C45" i="56"/>
  <c r="C45" i="57"/>
  <c r="C45" i="58"/>
  <c r="C45" i="59"/>
  <c r="C43" i="56"/>
  <c r="C43" i="59"/>
  <c r="C43" i="57"/>
  <c r="C43" i="58"/>
  <c r="D14" i="59"/>
  <c r="D14" i="57"/>
  <c r="D14" i="56"/>
  <c r="D14" i="58"/>
  <c r="D31" i="43" l="1"/>
  <c r="D32" i="43" s="1"/>
  <c r="D6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D22" i="43" l="1"/>
  <c r="D13" i="43"/>
  <c r="D19" i="43"/>
  <c r="D12" i="43"/>
  <c r="D11" i="43"/>
  <c r="D20" i="43"/>
  <c r="D7" i="43"/>
  <c r="D9" i="43" s="1"/>
  <c r="D14" i="43" l="1"/>
  <c r="C2" i="59"/>
  <c r="C2" i="58"/>
  <c r="C2" i="57"/>
  <c r="C2" i="56"/>
  <c r="H7" i="50" l="1"/>
  <c r="C4" i="59" l="1"/>
  <c r="C3" i="59"/>
  <c r="C4" i="58"/>
  <c r="C3" i="58"/>
  <c r="C4" i="57"/>
  <c r="C3" i="57"/>
  <c r="C3" i="56"/>
  <c r="C4" i="56"/>
  <c r="C3" i="43"/>
  <c r="C4" i="43"/>
  <c r="I10" i="50"/>
  <c r="E10" i="50" s="1"/>
  <c r="B9" i="51"/>
  <c r="L8" i="55" l="1"/>
  <c r="K9" i="55"/>
  <c r="L7" i="55"/>
  <c r="C31" i="59"/>
  <c r="C6" i="58"/>
  <c r="C31" i="58"/>
  <c r="C6" i="57"/>
  <c r="C31" i="57"/>
  <c r="C6" i="56"/>
  <c r="E6" i="56" s="1"/>
  <c r="C31" i="56"/>
  <c r="D8" i="56" l="1"/>
  <c r="D9" i="56" s="1"/>
  <c r="D8" i="57"/>
  <c r="D9" i="57" s="1"/>
  <c r="E6" i="57"/>
  <c r="E3" i="2" s="1"/>
  <c r="E6" i="58"/>
  <c r="D3" i="2"/>
  <c r="C7" i="56"/>
  <c r="C7" i="57"/>
  <c r="E7" i="57" s="1"/>
  <c r="C7" i="58"/>
  <c r="E7" i="58" s="1"/>
  <c r="C38" i="43"/>
  <c r="C19" i="59"/>
  <c r="E19" i="59" s="1"/>
  <c r="C37" i="43"/>
  <c r="L9" i="55"/>
  <c r="K10" i="55"/>
  <c r="L10" i="55" s="1"/>
  <c r="C7" i="59"/>
  <c r="E7" i="59" s="1"/>
  <c r="G3" i="2"/>
  <c r="C11" i="58"/>
  <c r="E11" i="58" s="1"/>
  <c r="C11" i="56"/>
  <c r="E11" i="56" s="1"/>
  <c r="C38" i="56" l="1"/>
  <c r="C13" i="56" s="1"/>
  <c r="E13" i="56" s="1"/>
  <c r="C38" i="57"/>
  <c r="C13" i="57" s="1"/>
  <c r="E13" i="57" s="1"/>
  <c r="E10" i="2" s="1"/>
  <c r="E36" i="2" s="1"/>
  <c r="C38" i="58"/>
  <c r="C13" i="58" s="1"/>
  <c r="E13" i="58" s="1"/>
  <c r="C38" i="59"/>
  <c r="C13" i="59" s="1"/>
  <c r="E13" i="59" s="1"/>
  <c r="G10" i="2" s="1"/>
  <c r="G36" i="2" s="1"/>
  <c r="C37" i="56"/>
  <c r="C12" i="56" s="1"/>
  <c r="C37" i="58"/>
  <c r="C12" i="58" s="1"/>
  <c r="E12" i="58" s="1"/>
  <c r="C37" i="59"/>
  <c r="C12" i="59" s="1"/>
  <c r="E12" i="59" s="1"/>
  <c r="G9" i="2" s="1"/>
  <c r="G35" i="2" s="1"/>
  <c r="C37" i="57"/>
  <c r="C12" i="57" s="1"/>
  <c r="E12" i="57" s="1"/>
  <c r="D8" i="59"/>
  <c r="D9" i="59" s="1"/>
  <c r="D8" i="58"/>
  <c r="D9" i="58" s="1"/>
  <c r="D32" i="56"/>
  <c r="D32" i="57"/>
  <c r="C8" i="56"/>
  <c r="C9" i="56" s="1"/>
  <c r="E7" i="56"/>
  <c r="D4" i="2" s="1"/>
  <c r="E4" i="2"/>
  <c r="C8" i="57"/>
  <c r="C8" i="58"/>
  <c r="C11" i="57"/>
  <c r="D8" i="2"/>
  <c r="D34" i="2" s="1"/>
  <c r="C19" i="58"/>
  <c r="E19" i="58" s="1"/>
  <c r="C19" i="57"/>
  <c r="E19" i="57" s="1"/>
  <c r="C11" i="59"/>
  <c r="C19" i="56"/>
  <c r="E19" i="56" s="1"/>
  <c r="C8" i="59"/>
  <c r="F3" i="2"/>
  <c r="G16" i="2"/>
  <c r="G4" i="2"/>
  <c r="F4" i="2"/>
  <c r="G42" i="2" l="1"/>
  <c r="E8" i="59"/>
  <c r="G5" i="2" s="1"/>
  <c r="E8" i="58"/>
  <c r="F5" i="2" s="1"/>
  <c r="D20" i="56"/>
  <c r="D32" i="58"/>
  <c r="D32" i="59"/>
  <c r="D20" i="57"/>
  <c r="C14" i="59"/>
  <c r="E14" i="59" s="1"/>
  <c r="G11" i="2" s="1"/>
  <c r="E11" i="59"/>
  <c r="G8" i="2" s="1"/>
  <c r="G34" i="2" s="1"/>
  <c r="C32" i="56"/>
  <c r="C20" i="56" s="1"/>
  <c r="E9" i="56"/>
  <c r="D6" i="2" s="1"/>
  <c r="D29" i="2" s="1"/>
  <c r="C9" i="57"/>
  <c r="E8" i="57"/>
  <c r="E5" i="2" s="1"/>
  <c r="E11" i="57"/>
  <c r="E8" i="2" s="1"/>
  <c r="E34" i="2" s="1"/>
  <c r="E8" i="56"/>
  <c r="D5" i="2" s="1"/>
  <c r="C14" i="56"/>
  <c r="E14" i="56" s="1"/>
  <c r="E12" i="56"/>
  <c r="C9" i="58"/>
  <c r="E9" i="58" s="1"/>
  <c r="C14" i="57"/>
  <c r="E14" i="57" s="1"/>
  <c r="C14" i="58"/>
  <c r="E14" i="58" s="1"/>
  <c r="E16" i="2"/>
  <c r="F10" i="2"/>
  <c r="F36" i="2" s="1"/>
  <c r="D10" i="2"/>
  <c r="D36" i="2" s="1"/>
  <c r="D16" i="2"/>
  <c r="C9" i="59"/>
  <c r="E9" i="59" s="1"/>
  <c r="F8" i="2"/>
  <c r="F34" i="2" s="1"/>
  <c r="E42" i="2" l="1"/>
  <c r="D47" i="2"/>
  <c r="D42" i="2"/>
  <c r="D20" i="59"/>
  <c r="E20" i="56"/>
  <c r="D20" i="58"/>
  <c r="C32" i="57"/>
  <c r="C20" i="57" s="1"/>
  <c r="E9" i="57"/>
  <c r="E6" i="2" s="1"/>
  <c r="E29" i="2" s="1"/>
  <c r="C32" i="58"/>
  <c r="C20" i="58" s="1"/>
  <c r="F6" i="2"/>
  <c r="F29" i="2" s="1"/>
  <c r="C32" i="59"/>
  <c r="G6" i="2"/>
  <c r="G29" i="2" l="1"/>
  <c r="G47" i="2"/>
  <c r="E47" i="2"/>
  <c r="E20" i="58"/>
  <c r="F17" i="2" s="1"/>
  <c r="E20" i="57"/>
  <c r="E17" i="2" s="1"/>
  <c r="F9" i="2"/>
  <c r="F35" i="2" s="1"/>
  <c r="C20" i="59"/>
  <c r="E20" i="59" s="1"/>
  <c r="F11" i="2"/>
  <c r="D11" i="2"/>
  <c r="D9" i="2"/>
  <c r="D35" i="2" s="1"/>
  <c r="F49" i="2" l="1"/>
  <c r="F43" i="2"/>
  <c r="E49" i="2"/>
  <c r="E43" i="2"/>
  <c r="E11" i="2"/>
  <c r="E9" i="2"/>
  <c r="E35" i="2" s="1"/>
  <c r="F16" i="2"/>
  <c r="F42" i="2" l="1"/>
  <c r="F47" i="2"/>
  <c r="D17" i="2"/>
  <c r="D49" i="2" l="1"/>
  <c r="D43" i="2"/>
  <c r="G17" i="2"/>
  <c r="B5" i="51"/>
  <c r="G49" i="2" l="1"/>
  <c r="G43" i="2"/>
  <c r="H8" i="50"/>
  <c r="I7" i="50"/>
  <c r="E45" i="53" l="1"/>
  <c r="F45" i="53" s="1"/>
  <c r="G45" i="53" s="1"/>
  <c r="H45" i="53" s="1"/>
  <c r="I45" i="53" s="1"/>
  <c r="E44" i="53"/>
  <c r="F44" i="53" s="1"/>
  <c r="G44" i="53" s="1"/>
  <c r="H44" i="53" s="1"/>
  <c r="I44" i="53" s="1"/>
  <c r="E43" i="53"/>
  <c r="F43" i="53" s="1"/>
  <c r="G43" i="53" s="1"/>
  <c r="H43" i="53" s="1"/>
  <c r="I43" i="53" s="1"/>
  <c r="E33" i="53"/>
  <c r="E41" i="53"/>
  <c r="F41" i="53" s="1"/>
  <c r="G41" i="53" s="1"/>
  <c r="H41" i="53" s="1"/>
  <c r="I41" i="53" s="1"/>
  <c r="I9" i="55"/>
  <c r="G22" i="51"/>
  <c r="B27" i="51"/>
  <c r="C56" i="2" s="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H5" i="2" s="1"/>
  <c r="E42" i="53" l="1"/>
  <c r="F42" i="53" s="1"/>
  <c r="G42" i="53" s="1"/>
  <c r="H42" i="53" s="1"/>
  <c r="I42" i="53" s="1"/>
  <c r="D5" i="61"/>
  <c r="E10" i="36"/>
  <c r="E17" i="36" s="1"/>
  <c r="E19" i="36" s="1"/>
  <c r="C47" i="56"/>
  <c r="C22" i="56" s="1"/>
  <c r="E22" i="56" s="1"/>
  <c r="D19" i="2" s="1"/>
  <c r="D51" i="2" s="1"/>
  <c r="C47" i="58"/>
  <c r="C22" i="58" s="1"/>
  <c r="E22" i="58" s="1"/>
  <c r="F19" i="2" s="1"/>
  <c r="F51" i="2" s="1"/>
  <c r="C47" i="59"/>
  <c r="C22" i="59" s="1"/>
  <c r="E22" i="59" s="1"/>
  <c r="G19" i="2" s="1"/>
  <c r="G51" i="2" s="1"/>
  <c r="C47" i="57"/>
  <c r="C22" i="57" s="1"/>
  <c r="E22" i="57" s="1"/>
  <c r="E19" i="2" s="1"/>
  <c r="E51" i="2" s="1"/>
  <c r="C33" i="59"/>
  <c r="C10" i="59"/>
  <c r="K10" i="36"/>
  <c r="C22" i="43"/>
  <c r="E22" i="43" s="1"/>
  <c r="E6" i="43"/>
  <c r="C3" i="2" s="1"/>
  <c r="H3" i="2" s="1"/>
  <c r="C19" i="43"/>
  <c r="E19" i="43" s="1"/>
  <c r="C10" i="56"/>
  <c r="C33" i="43"/>
  <c r="C34" i="43" s="1"/>
  <c r="C40" i="43" s="1"/>
  <c r="C7" i="43"/>
  <c r="C10" i="43"/>
  <c r="B26" i="5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D27" i="51"/>
  <c r="E21" i="58" s="1"/>
  <c r="M13" i="36"/>
  <c r="K17" i="36"/>
  <c r="K19" i="36" s="1"/>
  <c r="M14" i="36"/>
  <c r="C11" i="43"/>
  <c r="E11" i="43" s="1"/>
  <c r="C12" i="43"/>
  <c r="E12" i="43" s="1"/>
  <c r="C13" i="43"/>
  <c r="E13" i="43" s="1"/>
  <c r="C20" i="43"/>
  <c r="E20" i="43" s="1"/>
  <c r="F5" i="61" l="1"/>
  <c r="G5" i="61" s="1"/>
  <c r="D6" i="61"/>
  <c r="F6" i="61" s="1"/>
  <c r="G6" i="61" s="1"/>
  <c r="D10" i="43"/>
  <c r="E10" i="43" s="1"/>
  <c r="C7" i="2" s="1"/>
  <c r="C30" i="2" s="1"/>
  <c r="D33" i="58"/>
  <c r="D33" i="43"/>
  <c r="D26" i="51"/>
  <c r="E18" i="56" s="1"/>
  <c r="D60" i="2" s="1"/>
  <c r="C57" i="2"/>
  <c r="C55" i="2" s="1"/>
  <c r="D10" i="59"/>
  <c r="D33" i="59"/>
  <c r="D34" i="59" s="1"/>
  <c r="D40" i="59" s="1"/>
  <c r="D33" i="56"/>
  <c r="D34" i="56" s="1"/>
  <c r="D40" i="56" s="1"/>
  <c r="D10" i="56"/>
  <c r="D15" i="56" s="1"/>
  <c r="D16" i="56" s="1"/>
  <c r="C9" i="43"/>
  <c r="E9" i="43" s="1"/>
  <c r="E7" i="43"/>
  <c r="C4" i="2" s="1"/>
  <c r="D21" i="58"/>
  <c r="D34" i="43"/>
  <c r="D40" i="43" s="1"/>
  <c r="C33" i="56"/>
  <c r="C34" i="56" s="1"/>
  <c r="C40" i="56" s="1"/>
  <c r="C14" i="43"/>
  <c r="E14" i="43" s="1"/>
  <c r="G17" i="36"/>
  <c r="G19" i="36" s="1"/>
  <c r="J26" i="51"/>
  <c r="E23" i="36"/>
  <c r="C18" i="36"/>
  <c r="D18" i="36" s="1"/>
  <c r="E18" i="36" s="1"/>
  <c r="C19" i="36"/>
  <c r="M10" i="36"/>
  <c r="D19" i="36"/>
  <c r="E22" i="36"/>
  <c r="H17" i="36"/>
  <c r="H19" i="36" s="1"/>
  <c r="E21" i="59"/>
  <c r="E21" i="56"/>
  <c r="E21" i="57"/>
  <c r="C17" i="2"/>
  <c r="C43" i="2" s="1"/>
  <c r="C9" i="2"/>
  <c r="C35" i="2" s="1"/>
  <c r="E21" i="43"/>
  <c r="E27" i="51"/>
  <c r="F27" i="51" s="1"/>
  <c r="G27" i="51" s="1"/>
  <c r="H27" i="51" s="1"/>
  <c r="M17" i="36"/>
  <c r="D15" i="43" l="1"/>
  <c r="E18" i="59"/>
  <c r="G60" i="2" s="1"/>
  <c r="E18" i="58"/>
  <c r="F60" i="2" s="1"/>
  <c r="D28" i="51"/>
  <c r="E26" i="51"/>
  <c r="F26" i="51" s="1"/>
  <c r="F28" i="51" s="1"/>
  <c r="E18" i="57"/>
  <c r="E60" i="2" s="1"/>
  <c r="E18" i="43"/>
  <c r="C18" i="43" s="1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10" i="57"/>
  <c r="D15" i="57" s="1"/>
  <c r="D16" i="57" s="1"/>
  <c r="H9" i="2"/>
  <c r="H35" i="2" s="1"/>
  <c r="I22" i="36"/>
  <c r="E10" i="56"/>
  <c r="D7" i="2" s="1"/>
  <c r="D30" i="2" s="1"/>
  <c r="H17" i="2"/>
  <c r="H43" i="2" s="1"/>
  <c r="F6" i="36"/>
  <c r="F5" i="36" s="1"/>
  <c r="F17" i="36" s="1"/>
  <c r="F19" i="36" s="1"/>
  <c r="H4" i="2"/>
  <c r="L6" i="36" s="1"/>
  <c r="L5" i="36" s="1"/>
  <c r="L17" i="36" s="1"/>
  <c r="L19" i="36" s="1"/>
  <c r="I23" i="36"/>
  <c r="D46" i="58"/>
  <c r="D21" i="56"/>
  <c r="C21" i="43"/>
  <c r="D21" i="43"/>
  <c r="D46" i="43" s="1"/>
  <c r="D48" i="43" s="1"/>
  <c r="D21" i="59"/>
  <c r="C18" i="59"/>
  <c r="C17" i="59" s="1"/>
  <c r="D18" i="59"/>
  <c r="D17" i="59" s="1"/>
  <c r="D21" i="57"/>
  <c r="D16" i="43"/>
  <c r="C6" i="2"/>
  <c r="C15" i="56"/>
  <c r="C18" i="58"/>
  <c r="C17" i="58" s="1"/>
  <c r="C20" i="36"/>
  <c r="D20" i="36" s="1"/>
  <c r="E20" i="36" s="1"/>
  <c r="C16" i="2"/>
  <c r="H16" i="2" s="1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G18" i="2"/>
  <c r="G50" i="2" s="1"/>
  <c r="C21" i="59"/>
  <c r="C46" i="59" s="1"/>
  <c r="C8" i="2"/>
  <c r="C34" i="2" s="1"/>
  <c r="C10" i="2"/>
  <c r="C36" i="2" s="1"/>
  <c r="C15" i="43"/>
  <c r="I27" i="51"/>
  <c r="C19" i="2"/>
  <c r="H19" i="2" s="1"/>
  <c r="C18" i="2"/>
  <c r="D18" i="58" l="1"/>
  <c r="D17" i="58" s="1"/>
  <c r="D23" i="58" s="1"/>
  <c r="D24" i="58" s="1"/>
  <c r="D25" i="58" s="1"/>
  <c r="D26" i="58" s="1"/>
  <c r="D27" i="58" s="1"/>
  <c r="C60" i="2"/>
  <c r="C18" i="57"/>
  <c r="C17" i="57" s="1"/>
  <c r="D18" i="57"/>
  <c r="D17" i="57" s="1"/>
  <c r="D31" i="2"/>
  <c r="D32" i="2" s="1"/>
  <c r="G26" i="51"/>
  <c r="H26" i="51" s="1"/>
  <c r="E28" i="51"/>
  <c r="H42" i="2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H18" i="2"/>
  <c r="F18" i="36"/>
  <c r="G18" i="36" s="1"/>
  <c r="H18" i="36" s="1"/>
  <c r="E24" i="36" s="1"/>
  <c r="H10" i="2"/>
  <c r="E10" i="57"/>
  <c r="E7" i="2" s="1"/>
  <c r="E30" i="2" s="1"/>
  <c r="H8" i="2"/>
  <c r="H34" i="2" s="1"/>
  <c r="C10" i="58"/>
  <c r="H6" i="2"/>
  <c r="E17" i="59"/>
  <c r="E23" i="59" s="1"/>
  <c r="C16" i="43"/>
  <c r="D46" i="59"/>
  <c r="D48" i="59" s="1"/>
  <c r="D23" i="59"/>
  <c r="D24" i="59" s="1"/>
  <c r="D46" i="57"/>
  <c r="D48" i="57" s="1"/>
  <c r="D23" i="57"/>
  <c r="D24" i="57" s="1"/>
  <c r="D46" i="56"/>
  <c r="D48" i="56" s="1"/>
  <c r="C16" i="56"/>
  <c r="E15" i="56"/>
  <c r="E16" i="56" s="1"/>
  <c r="D13" i="2" s="1"/>
  <c r="C48" i="57"/>
  <c r="C15" i="57"/>
  <c r="E15" i="57" s="1"/>
  <c r="C33" i="58"/>
  <c r="C34" i="58" s="1"/>
  <c r="C40" i="58" s="1"/>
  <c r="C48" i="58" s="1"/>
  <c r="C23" i="59"/>
  <c r="C23" i="58"/>
  <c r="C11" i="2"/>
  <c r="H11" i="2" s="1"/>
  <c r="C46" i="43"/>
  <c r="C48" i="43" s="1"/>
  <c r="E17" i="58" l="1"/>
  <c r="E23" i="58" s="1"/>
  <c r="G28" i="51"/>
  <c r="E17" i="57"/>
  <c r="E14" i="2" s="1"/>
  <c r="E41" i="2" s="1"/>
  <c r="C23" i="57"/>
  <c r="C24" i="57" s="1"/>
  <c r="E31" i="2"/>
  <c r="E32" i="2" s="1"/>
  <c r="I20" i="36"/>
  <c r="J20" i="36" s="1"/>
  <c r="K20" i="36" s="1"/>
  <c r="L20" i="36" s="1"/>
  <c r="D25" i="57"/>
  <c r="D26" i="57" s="1"/>
  <c r="D27" i="57" s="1"/>
  <c r="D25" i="59"/>
  <c r="D26" i="59" s="1"/>
  <c r="D27" i="59" s="1"/>
  <c r="I18" i="36"/>
  <c r="J18" i="36" s="1"/>
  <c r="K18" i="36" s="1"/>
  <c r="L18" i="36" s="1"/>
  <c r="E10" i="58"/>
  <c r="F7" i="2" s="1"/>
  <c r="F30" i="2" s="1"/>
  <c r="H47" i="2"/>
  <c r="H36" i="2"/>
  <c r="D34" i="58"/>
  <c r="D40" i="58" s="1"/>
  <c r="D48" i="58" s="1"/>
  <c r="H29" i="2"/>
  <c r="H51" i="2"/>
  <c r="H49" i="2"/>
  <c r="H50" i="2"/>
  <c r="D12" i="2"/>
  <c r="D38" i="2" s="1"/>
  <c r="E15" i="43"/>
  <c r="C16" i="57"/>
  <c r="C15" i="58"/>
  <c r="E15" i="58" s="1"/>
  <c r="C34" i="59"/>
  <c r="C40" i="59" s="1"/>
  <c r="C48" i="59" s="1"/>
  <c r="G14" i="2"/>
  <c r="F20" i="2"/>
  <c r="G20" i="2"/>
  <c r="H28" i="51"/>
  <c r="I26" i="51"/>
  <c r="H60" i="2" s="1"/>
  <c r="E23" i="57" l="1"/>
  <c r="E24" i="57" s="1"/>
  <c r="E25" i="57" s="1"/>
  <c r="E26" i="57" s="1"/>
  <c r="E27" i="57" s="1"/>
  <c r="E24" i="2" s="1"/>
  <c r="F14" i="2"/>
  <c r="F48" i="2" s="1"/>
  <c r="E24" i="58"/>
  <c r="E48" i="2"/>
  <c r="C25" i="57"/>
  <c r="C26" i="57" s="1"/>
  <c r="C27" i="57" s="1"/>
  <c r="F31" i="2"/>
  <c r="F32" i="2" s="1"/>
  <c r="G41" i="2"/>
  <c r="G48" i="2"/>
  <c r="E10" i="59"/>
  <c r="G7" i="2" s="1"/>
  <c r="G30" i="2" s="1"/>
  <c r="E16" i="43"/>
  <c r="C12" i="2"/>
  <c r="C38" i="2" s="1"/>
  <c r="E16" i="58"/>
  <c r="C16" i="58"/>
  <c r="E12" i="2"/>
  <c r="E38" i="2" s="1"/>
  <c r="E16" i="57"/>
  <c r="E13" i="2" s="1"/>
  <c r="C24" i="58"/>
  <c r="E21" i="2"/>
  <c r="E53" i="2" s="1"/>
  <c r="E25" i="58" l="1"/>
  <c r="E26" i="58"/>
  <c r="F41" i="2"/>
  <c r="E20" i="2"/>
  <c r="C25" i="58"/>
  <c r="C26" i="58" s="1"/>
  <c r="E22" i="2"/>
  <c r="G31" i="2"/>
  <c r="G32" i="2" s="1"/>
  <c r="E39" i="2"/>
  <c r="C15" i="59"/>
  <c r="E15" i="59" s="1"/>
  <c r="H7" i="2"/>
  <c r="C13" i="2"/>
  <c r="F13" i="2"/>
  <c r="F12" i="2"/>
  <c r="F38" i="2" s="1"/>
  <c r="F39" i="2" s="1"/>
  <c r="E23" i="2"/>
  <c r="E27" i="58" l="1"/>
  <c r="F24" i="2" s="1"/>
  <c r="C27" i="58"/>
  <c r="E52" i="2"/>
  <c r="E59" i="2"/>
  <c r="E58" i="2" s="1"/>
  <c r="C24" i="59"/>
  <c r="C16" i="59"/>
  <c r="H12" i="2"/>
  <c r="H30" i="2"/>
  <c r="H31" i="2" s="1"/>
  <c r="H32" i="2" s="1"/>
  <c r="G12" i="2"/>
  <c r="G38" i="2" s="1"/>
  <c r="G39" i="2" s="1"/>
  <c r="E16" i="59"/>
  <c r="G13" i="2" s="1"/>
  <c r="E24" i="59"/>
  <c r="F21" i="2"/>
  <c r="F53" i="2" s="1"/>
  <c r="F22" i="2"/>
  <c r="E25" i="59" l="1"/>
  <c r="E26" i="59" s="1"/>
  <c r="F23" i="2"/>
  <c r="F52" i="2" s="1"/>
  <c r="C25" i="59"/>
  <c r="C26" i="59" s="1"/>
  <c r="H13" i="2"/>
  <c r="H38" i="2"/>
  <c r="G21" i="2"/>
  <c r="G53" i="2" s="1"/>
  <c r="G22" i="2"/>
  <c r="F59" i="2" l="1"/>
  <c r="F58" i="2" s="1"/>
  <c r="C27" i="59"/>
  <c r="D18" i="43"/>
  <c r="D17" i="43" s="1"/>
  <c r="D23" i="43" s="1"/>
  <c r="D24" i="43" s="1"/>
  <c r="D25" i="43" s="1"/>
  <c r="C17" i="43"/>
  <c r="G23" i="2" l="1"/>
  <c r="E27" i="59"/>
  <c r="G24" i="2" s="1"/>
  <c r="E17" i="43"/>
  <c r="C23" i="43"/>
  <c r="C24" i="43" s="1"/>
  <c r="C25" i="43" s="1"/>
  <c r="D26" i="43"/>
  <c r="D27" i="43" s="1"/>
  <c r="G59" i="2" l="1"/>
  <c r="G58" i="2" s="1"/>
  <c r="G52" i="2"/>
  <c r="E23" i="43"/>
  <c r="E24" i="43" s="1"/>
  <c r="E25" i="43" s="1"/>
  <c r="C14" i="2"/>
  <c r="C26" i="43"/>
  <c r="E26" i="43" l="1"/>
  <c r="E27" i="43" s="1"/>
  <c r="C41" i="2"/>
  <c r="C48" i="2"/>
  <c r="C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C18" i="56"/>
  <c r="C17" i="56" s="1"/>
  <c r="C23" i="56" l="1"/>
  <c r="C24" i="56" s="1"/>
  <c r="C25" i="56" s="1"/>
  <c r="E17" i="56"/>
  <c r="D26" i="56"/>
  <c r="D27" i="56" s="1"/>
  <c r="D14" i="2" l="1"/>
  <c r="E23" i="56"/>
  <c r="C26" i="56"/>
  <c r="D48" i="2" l="1"/>
  <c r="D41" i="2"/>
  <c r="C27" i="56"/>
  <c r="E24" i="56"/>
  <c r="D20" i="2"/>
  <c r="H14" i="2"/>
  <c r="E25" i="56" l="1"/>
  <c r="E26" i="56" s="1"/>
  <c r="H20" i="2"/>
  <c r="D39" i="2"/>
  <c r="H41" i="2"/>
  <c r="H48" i="2"/>
  <c r="D21" i="2"/>
  <c r="D53" i="2" s="1"/>
  <c r="D22" i="2" l="1"/>
  <c r="D23" i="2"/>
  <c r="D52" i="2" s="1"/>
  <c r="E27" i="56"/>
  <c r="D24" i="2" s="1"/>
  <c r="H39" i="2"/>
  <c r="H21" i="2"/>
  <c r="H22" i="2" s="1"/>
  <c r="D59" i="2" l="1"/>
  <c r="D58" i="2" s="1"/>
  <c r="H23" i="2"/>
  <c r="H53" i="2"/>
  <c r="H24" i="2" l="1"/>
  <c r="H52" i="2"/>
  <c r="H59" i="2"/>
  <c r="H58" i="2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SHT0014507（L6000)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<sst xmlns="http://schemas.openxmlformats.org/spreadsheetml/2006/main" count="1374" uniqueCount="305">
  <si>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</si>
  <si>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</si>
  <si>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</si>
  <si>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</si>
  <si>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</si>
  <si>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</si>
  <si>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</si>
  <si>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</si>
  <si>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</si>
  <si>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</si>
  <si>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</si>
  <si>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</si>
  <si>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</si>
  <si>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</si>
  <si>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</si>
  <si>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</si>
  <si>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</si>
  <si>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</si>
  <si>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</si>
  <si>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</si>
  <si>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</si>
  <si>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</si>
  <si>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</si>
  <si>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</si>
  <si>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</si>
  <si>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</si>
  <si>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</si>
  <si>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</si>
  <si>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</si>
  <si>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</si>
  <si>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</si>
  <si>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</si>
  <si>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</si>
  <si>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</si>
  <si>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</si>
  <si>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</si>
  <si>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</si>
  <si>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</si>
  <si>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</si>
  <si>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</si>
  <si>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</si>
  <si>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</si>
  <si>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</si>
  <si>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</si>
  <si>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</si>
  <si>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</si>
  <si>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</si>
  <si>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</si>
  <si>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</si>
  <si>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</si>
  <si>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</si>
  <si>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</si>
  <si>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</si>
  <si>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</si>
  <si>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</si>
  <si>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</si>
  <si>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</si>
  <si>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</si>
  <si>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</si>
  <si>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</si>
  <si>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</si>
  <si>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</si>
  <si>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</si>
  <si>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</si>
  <si>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</si>
  <si>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</si>
  <si>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</si>
  <si>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</si>
  <si>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</si>
  <si>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</si>
  <si>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</si>
  <si>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</si>
  <si>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</si>
  <si>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</si>
  <si>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</si>
  <si>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</si>
  <si>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</si>
  <si>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</si>
  <si>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</si>
  <si>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</si>
  <si>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</si>
  <si>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</si>
  <si>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</si>
  <si>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</si>
  <si>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</si>
  <si>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</si>
  <si>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</si>
  <si>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</si>
  <si>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</si>
  <si>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</si>
  <si>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</si>
  <si>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</si>
  <si>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</si>
  <si>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</si>
  <si>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</si>
  <si>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</si>
  <si>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</si>
  <si>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</si>
  <si>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</si>
  <si>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</si>
  <si>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</si>
  <si>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</si>
  <si>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</si>
  <si>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</si>
  <si>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</si>
  <si>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</si>
  <si>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</si>
  <si>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</si>
  <si>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</si>
  <si>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</si>
  <si>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</si>
  <si>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</si>
  <si>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</si>
  <si>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</si>
  <si>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</si>
  <si>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</si>
  <si>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</si>
  <si>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</si>
  <si>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</si>
  <si>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</si>
  <si>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</si>
  <si>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</si>
  <si>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</si>
  <si>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</si>
  <si>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</si>
  <si>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</si>
  <si>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</si>
  <si>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</si>
  <si>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</si>
  <si>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</si>
  <si>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</si>
  <si>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</si>
  <si>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</si>
  <si>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</si>
  <si>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</si>
  <si>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</si>
  <si>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</si>
  <si>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</si>
  <si>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</si>
  <si>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</si>
  <si>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</si>
  <si>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</si>
  <si>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</si>
  <si>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</si>
  <si>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</si>
  <si>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</si>
  <si>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</si>
  <si>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</si>
  <si>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</si>
  <si>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</si>
  <si>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</si>
  <si>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</si>
  <si>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</si>
  <si>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</si>
  <si>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</si>
  <si>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</si>
  <si>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</si>
  <si>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</si>
  <si>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</si>
  <si>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</si>
  <si>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</si>
  <si>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</si>
  <si>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</si>
  <si>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</si>
  <si>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</si>
  <si>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</si>
  <si>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</si>
  <si>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</si>
  <si>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</si>
  <si>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</si>
  <si>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</si>
  <si>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</si>
  <si>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</si>
  <si>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</si>
  <si>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</si>
  <si>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</si>
  <si>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</si>
  <si>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</si>
  <si>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</si>
  <si>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</si>
  <si>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</si>
  <si>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</si>
  <si>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</si>
  <si>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</si>
  <si>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</si>
  <si>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</si>
  <si>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</si>
  <si>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</si>
  <si>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</si>
  <si>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</si>
  <si>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</si>
  <si>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</si>
  <si>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</si>
  <si>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</si>
  <si>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</si>
  <si>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</si>
  <si>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</si>
  <si>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</si>
  <si>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</si>
  <si>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</si>
  <si>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</si>
  <si>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</si>
  <si>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</si>
  <si>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</si>
  <si>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</si>
  <si>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</si>
  <si>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</si>
  <si>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</si>
  <si>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</si>
  <si>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</si>
  <si>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</si>
  <si>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</si>
  <si>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</si>
  <si>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</si>
  <si>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</si>
  <si>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</si>
  <si>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</si>
  <si>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</si>
  <si>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</si>
  <si>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</si>
  <si>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</si>
  <si>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</si>
  <si>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</si>
  <si>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</si>
  <si>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</si>
  <si>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</si>
  <si>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</si>
  <si>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</si>
  <si>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</si>
  <si>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</si>
  <si>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</si>
  <si>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</si>
  <si>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</si>
  <si>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</si>
  <si>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</si>
  <si>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</si>
  <si>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</si>
  <si>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</si>
  <si>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</si>
  <si>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</si>
  <si>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</si>
  <si>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</si>
  <si>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</si>
  <si>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</si>
  <si>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</si>
  <si>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</si>
  <si>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</si>
  <si>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</si>
  <si>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</si>
  <si>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</si>
  <si>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</si>
  <si>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</si>
  <si>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</si>
  <si>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</si>
  <si>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</si>
  <si>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</si>
  <si>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</si>
  <si>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</si>
  <si>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</si>
  <si>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t>陕汽</t>
    <phoneticPr fontId="38" type="noConversion"/>
  </si>
  <si>
    <r>
      <t>L</t>
    </r>
    <r>
      <rPr>
        <sz val="11"/>
        <color rgb="FF000000"/>
        <rFont val="微软雅黑"/>
        <family val="2"/>
        <charset val="134"/>
      </rPr>
      <t>6000座椅</t>
    </r>
    <phoneticPr fontId="35" type="noConversion"/>
  </si>
  <si>
    <t>DZ16231510310/320</t>
    <phoneticPr fontId="35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</si>
  <si>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</si>
  <si>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</si>
  <si>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</si>
  <si>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</si>
  <si>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报价（不含税）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</si>
  <si>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</si>
  <si>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</si>
  <si>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</si>
  <si>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所得税(税率15%）</t>
    <phoneticPr fontId="38" type="noConversion"/>
  </si>
  <si>
    <t xml:space="preserve">H5000S座椅项目研发费用预算表 </t>
    <phoneticPr fontId="38" type="noConversion"/>
  </si>
  <si>
    <t>H5000S</t>
    <phoneticPr fontId="38" type="noConversion"/>
  </si>
  <si>
    <t>变动费用参考河北工厂2021年实际及2022预算暂估。</t>
    <phoneticPr fontId="38" type="noConversion"/>
  </si>
  <si>
    <r>
      <t>研发费用按照产销量摊销，</t>
    </r>
    <r>
      <rPr>
        <sz val="12"/>
        <color rgb="FFFF0000"/>
        <rFont val="微软雅黑"/>
        <family val="2"/>
        <charset val="134"/>
      </rPr>
      <t>营销部门需承诺未完成摊销部分客户支付</t>
    </r>
    <r>
      <rPr>
        <sz val="12"/>
        <rFont val="微软雅黑"/>
        <family val="2"/>
        <charset val="134"/>
      </rPr>
      <t>。</t>
    </r>
    <phoneticPr fontId="38" type="noConversion"/>
  </si>
  <si>
    <t>财务费用按河北水平，未考虑投资资金时间价值。</t>
    <phoneticPr fontId="38" type="noConversion"/>
  </si>
  <si>
    <t>采购</t>
    <phoneticPr fontId="38" type="noConversion"/>
  </si>
  <si>
    <t>开发费分摊情况</t>
    <phoneticPr fontId="35" type="noConversion"/>
  </si>
  <si>
    <t>产品应用场景</t>
    <phoneticPr fontId="35" type="noConversion"/>
  </si>
  <si>
    <t>如是工程车、公路用车？</t>
    <phoneticPr fontId="35" type="noConversion"/>
  </si>
  <si>
    <t>三包周期</t>
    <phoneticPr fontId="35" type="noConversion"/>
  </si>
  <si>
    <t>司机座椅</t>
    <phoneticPr fontId="35" type="noConversion"/>
  </si>
  <si>
    <t>副司机座椅</t>
    <phoneticPr fontId="35" type="noConversion"/>
  </si>
  <si>
    <t>DZ15221519945</t>
    <phoneticPr fontId="35" type="noConversion"/>
  </si>
  <si>
    <t>副司机暂无</t>
    <phoneticPr fontId="35" type="noConversion"/>
  </si>
  <si>
    <t>三点式安全带、可变阻尼、机械腰疼</t>
    <phoneticPr fontId="35" type="noConversion"/>
  </si>
  <si>
    <t>三点式管式结构副司机</t>
    <phoneticPr fontId="35" type="noConversion"/>
  </si>
  <si>
    <t xml:space="preserve">   5 年</t>
    <phoneticPr fontId="38" type="noConversion"/>
  </si>
  <si>
    <t>西安工厂</t>
    <phoneticPr fontId="35" type="noConversion"/>
  </si>
  <si>
    <t>陕西重型汽车厂</t>
    <phoneticPr fontId="35" type="noConversion"/>
  </si>
  <si>
    <t>承兑汇票</t>
    <phoneticPr fontId="35" type="noConversion"/>
  </si>
  <si>
    <t>同现有产品</t>
  </si>
  <si>
    <t>平台车型（包括牵引、载货、自卸）</t>
    <phoneticPr fontId="35" type="noConversion"/>
  </si>
  <si>
    <t>24个月（自卸12个月）</t>
    <phoneticPr fontId="35" type="noConversion"/>
  </si>
  <si>
    <t>2个装配治具</t>
    <phoneticPr fontId="35" type="noConversion"/>
  </si>
  <si>
    <t>2套检具</t>
    <phoneticPr fontId="35" type="noConversion"/>
  </si>
  <si>
    <t>验证样件+评审样件+小批量试装样件</t>
    <phoneticPr fontId="35" type="noConversion"/>
  </si>
  <si>
    <t>副驾强检及主副驾DVP</t>
    <phoneticPr fontId="35" type="noConversion"/>
  </si>
  <si>
    <t>供应商年降：     5  年  4 %</t>
    <phoneticPr fontId="38" type="noConversion"/>
  </si>
  <si>
    <t>材料成本年降汇总表4%</t>
    <phoneticPr fontId="38" type="noConversion"/>
  </si>
  <si>
    <t>合计</t>
    <phoneticPr fontId="38" type="noConversion"/>
  </si>
  <si>
    <t>DZ16231510320</t>
  </si>
  <si>
    <t xml:space="preserve"> </t>
    <phoneticPr fontId="38" type="noConversion"/>
  </si>
  <si>
    <r>
      <t xml:space="preserve">陕汽H5000S座椅项目投资收益分析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</si>
  <si>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部分成本预估。供应商年降。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</si>
</sst>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0"/>
      <color rgb="FF58666E"/>
      <name val="微软雅黑"/>
      <family val="2"/>
      <charset val="134"/>
    </font>
    <font>
      <sz val="10"/>
      <color rgb="FF58666E"/>
      <name val="Arial"/>
      <family val="2"/>
    </font>
    <font>
      <sz val="11"/>
      <color theme="1"/>
      <name val="Arial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33333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F4F4F4"/>
      </left>
      <right style="medium">
        <color rgb="FFF4F4F4"/>
      </right>
      <top style="medium">
        <color rgb="FFF4F4F4"/>
      </top>
      <bottom style="medium">
        <color rgb="FFF4F4F4"/>
      </bottom>
      <diagonal/>
    </border>
    <border>
      <left style="medium">
        <color rgb="FFF4F4F4"/>
      </left>
      <right style="medium">
        <color rgb="FFF4F4F4"/>
      </right>
      <top style="medium">
        <color rgb="FFF4F4F4"/>
      </top>
      <bottom style="thick">
        <color rgb="FFF4F4F4"/>
      </bottom>
      <diagonal/>
    </border>
    <border>
      <left/>
      <right style="medium">
        <color rgb="FFF4F4F4"/>
      </right>
      <top/>
      <bottom style="medium">
        <color rgb="FFF4F4F4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43" fontId="16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1" fillId="0" borderId="1" xfId="0" applyFont="1" applyBorder="1">
      <alignment vertic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7" fillId="0" borderId="1" xfId="0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43" fontId="0" fillId="0" borderId="1" xfId="1" applyNumberFormat="1" applyFont="1" applyBorder="1" applyAlignment="1">
      <alignment horizontal="center" vertical="center"/>
    </xf>
    <xf numFmtId="0" fontId="27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27" fillId="0" borderId="0" xfId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3" fontId="0" fillId="2" borderId="0" xfId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43" fontId="41" fillId="8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 wrapText="1"/>
    </xf>
    <xf numFmtId="43" fontId="41" fillId="7" borderId="0" xfId="1" applyFont="1" applyFill="1" applyBorder="1" applyAlignment="1" applyProtection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27" fillId="0" borderId="0" xfId="0" applyFont="1">
      <alignment vertical="center"/>
    </xf>
    <xf numFmtId="43" fontId="2" fillId="7" borderId="0" xfId="0" applyNumberFormat="1" applyFont="1" applyFill="1">
      <alignment vertical="center"/>
    </xf>
    <xf numFmtId="0" fontId="27" fillId="0" borderId="0" xfId="0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 applyAlignment="1">
      <alignment horizontal="left" vertical="center" wrapText="1" indent="1"/>
    </xf>
    <xf numFmtId="0" fontId="51" fillId="0" borderId="17" xfId="0" applyFont="1" applyBorder="1" applyAlignment="1">
      <alignment vertical="center" wrapText="1"/>
    </xf>
    <xf numFmtId="0" fontId="51" fillId="0" borderId="17" xfId="0" applyFont="1" applyBorder="1" applyAlignment="1">
      <alignment vertical="top" wrapText="1"/>
    </xf>
    <xf numFmtId="4" fontId="51" fillId="0" borderId="17" xfId="0" applyNumberFormat="1" applyFont="1" applyBorder="1" applyAlignment="1">
      <alignment vertical="top" wrapText="1"/>
    </xf>
    <xf numFmtId="0" fontId="51" fillId="10" borderId="18" xfId="0" applyFont="1" applyFill="1" applyBorder="1" applyAlignment="1">
      <alignment horizontal="center" vertical="top" wrapText="1"/>
    </xf>
    <xf numFmtId="0" fontId="0" fillId="0" borderId="19" xfId="0" applyBorder="1">
      <alignment vertical="center"/>
    </xf>
    <xf numFmtId="43" fontId="41" fillId="8" borderId="4" xfId="1" applyFont="1" applyFill="1" applyBorder="1" applyAlignment="1" applyProtection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11" borderId="1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top" wrapText="1"/>
    </xf>
    <xf numFmtId="43" fontId="41" fillId="8" borderId="1" xfId="1" applyFont="1" applyFill="1" applyBorder="1" applyAlignment="1" applyProtection="1">
      <alignment vertical="center"/>
    </xf>
    <xf numFmtId="0" fontId="41" fillId="9" borderId="1" xfId="0" applyFont="1" applyFill="1" applyBorder="1" applyAlignment="1">
      <alignment horizontal="center" vertical="center"/>
    </xf>
    <xf numFmtId="43" fontId="10" fillId="8" borderId="1" xfId="1" applyFont="1" applyFill="1" applyBorder="1" applyAlignment="1" applyProtection="1">
      <alignment vertical="center"/>
    </xf>
    <xf numFmtId="0" fontId="4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43" fontId="0" fillId="0" borderId="1" xfId="0" applyNumberFormat="1" applyBorder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8</xdr:col>
      <xdr:colOff>374878</xdr:colOff>
      <xdr:row>43</xdr:row>
      <xdr:rowOff>70920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62688"/>
          <a:ext cx="10876191" cy="4142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</xdr:row>
      <xdr:rowOff>0</xdr:rowOff>
    </xdr:from>
    <xdr:to>
      <xdr:col>8</xdr:col>
      <xdr:colOff>265987</xdr:colOff>
      <xdr:row>67</xdr:row>
      <xdr:rowOff>9053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11115675"/>
          <a:ext cx="5704762" cy="378095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8</xdr:col>
      <xdr:colOff>104083</xdr:colOff>
      <xdr:row>86</xdr:row>
      <xdr:rowOff>190005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0" y="15097125"/>
          <a:ext cx="5542858" cy="396190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70</xdr:row>
      <xdr:rowOff>95250</xdr:rowOff>
    </xdr:from>
    <xdr:to>
      <xdr:col>16</xdr:col>
      <xdr:colOff>227700</xdr:colOff>
      <xdr:row>74</xdr:row>
      <xdr:rowOff>161812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15275" y="15611475"/>
          <a:ext cx="7200000" cy="9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123825</xdr:rowOff>
    </xdr:from>
    <xdr:to>
      <xdr:col>12</xdr:col>
      <xdr:colOff>494835</xdr:colOff>
      <xdr:row>8</xdr:row>
      <xdr:rowOff>104646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15400" y="1114425"/>
          <a:ext cx="3723810" cy="10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6000&amp;H5000S&#24231;&#26885;&#20027;&#39550;&#24037;&#33402;BOM-2022090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座椅配置表及主机信息"/>
      <sheetName val="主驾驶首页 (2)"/>
      <sheetName val="主驾驶座椅  "/>
      <sheetName val="靠背泡棉"/>
      <sheetName val="坐垫泡沫"/>
      <sheetName val="靠背骨架焊接总成"/>
      <sheetName val="主驾驶调角器总成"/>
      <sheetName val="成本参考X5000S靠背面套"/>
      <sheetName val="成本参考X5000S 坐垫面套"/>
      <sheetName val="底座模块化"/>
      <sheetName val="座框"/>
      <sheetName val="靠背骨架"/>
      <sheetName val="SHT0014987靠背骨架"/>
      <sheetName val="底支架 已删除"/>
      <sheetName val="SHT0014790"/>
      <sheetName val="SHT0014777"/>
      <sheetName val="护面BOM"/>
    </sheetNames>
    <sheetDataSet>
      <sheetData sheetId="0"/>
      <sheetData sheetId="1"/>
      <sheetData sheetId="2"/>
      <sheetData sheetId="3">
        <row r="14">
          <cell r="BB14">
            <v>1131.9072128333335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E5" sqref="E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0" customFormat="1" ht="35.25" customHeight="1">
      <c r="A2" s="141" t="s">
        <v>0</v>
      </c>
      <c r="B2" s="141" t="s">
        <v>1</v>
      </c>
      <c r="C2" s="141" t="s">
        <v>2</v>
      </c>
      <c r="D2" s="142"/>
    </row>
    <row r="3" spans="1:4" s="140" customFormat="1" ht="33.75" customHeight="1">
      <c r="A3" s="143">
        <v>1</v>
      </c>
      <c r="B3" s="143" t="s">
        <v>3</v>
      </c>
      <c r="C3" s="144" t="s">
        <v>4</v>
      </c>
      <c r="D3" s="142"/>
    </row>
    <row r="4" spans="1:4" s="140" customFormat="1" ht="33.75" customHeight="1">
      <c r="A4" s="143">
        <v>2</v>
      </c>
      <c r="B4" s="143" t="s">
        <v>5</v>
      </c>
      <c r="C4" s="144" t="s">
        <v>6</v>
      </c>
    </row>
    <row r="5" spans="1:4" s="140" customFormat="1" ht="33.75" customHeight="1">
      <c r="A5" s="143">
        <v>3</v>
      </c>
      <c r="B5" s="240" t="s">
        <v>7</v>
      </c>
      <c r="C5" s="145" t="s">
        <v>304</v>
      </c>
    </row>
    <row r="6" spans="1:4" s="140" customFormat="1" ht="33.75" customHeight="1">
      <c r="A6" s="143">
        <v>4</v>
      </c>
      <c r="B6" s="241"/>
      <c r="C6" s="144" t="s">
        <v>8</v>
      </c>
    </row>
    <row r="7" spans="1:4" s="140" customFormat="1" ht="33.75" customHeight="1">
      <c r="A7" s="143">
        <v>5</v>
      </c>
      <c r="B7" s="146" t="s">
        <v>9</v>
      </c>
      <c r="C7" s="144" t="s">
        <v>273</v>
      </c>
    </row>
    <row r="8" spans="1:4" s="140" customFormat="1" ht="33.75" customHeight="1">
      <c r="A8" s="143">
        <v>6</v>
      </c>
      <c r="B8" s="240" t="s">
        <v>10</v>
      </c>
      <c r="C8" s="144" t="s">
        <v>11</v>
      </c>
    </row>
    <row r="9" spans="1:4" s="140" customFormat="1" ht="33.75" customHeight="1">
      <c r="A9" s="143">
        <v>7</v>
      </c>
      <c r="B9" s="241"/>
      <c r="C9" s="144" t="s">
        <v>274</v>
      </c>
    </row>
    <row r="10" spans="1:4" s="140" customFormat="1" ht="33.75" customHeight="1">
      <c r="A10" s="143">
        <v>8</v>
      </c>
      <c r="B10" s="241"/>
      <c r="C10" s="145" t="s">
        <v>275</v>
      </c>
    </row>
    <row r="11" spans="1:4" s="140" customFormat="1" ht="33.75" customHeight="1">
      <c r="A11" s="143">
        <v>9</v>
      </c>
      <c r="B11" s="241"/>
      <c r="C11" s="144" t="s">
        <v>12</v>
      </c>
    </row>
    <row r="12" spans="1:4" s="140" customFormat="1" ht="33.75" customHeight="1">
      <c r="A12" s="143">
        <v>10</v>
      </c>
      <c r="B12" s="146" t="s">
        <v>13</v>
      </c>
      <c r="C12" s="144" t="s">
        <v>14</v>
      </c>
    </row>
    <row r="13" spans="1:4" ht="33.75" customHeight="1"/>
    <row r="14" spans="1:4" ht="33.75" customHeight="1"/>
    <row r="15" spans="1:4" ht="33.75" customHeight="1">
      <c r="C15" s="147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E18" sqref="E18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192</v>
      </c>
      <c r="E1" s="17"/>
      <c r="F1" s="17"/>
      <c r="G1" s="17"/>
      <c r="H1" s="17"/>
      <c r="I1" s="17"/>
    </row>
    <row r="2" spans="1:12" ht="24" customHeight="1">
      <c r="A2" s="18" t="s">
        <v>193</v>
      </c>
      <c r="E2" s="17"/>
      <c r="F2" s="17"/>
      <c r="G2" s="17"/>
      <c r="H2" s="17"/>
      <c r="I2" s="17"/>
    </row>
    <row r="3" spans="1:12">
      <c r="C3" s="6" t="s">
        <v>194</v>
      </c>
      <c r="D3" s="9" t="s">
        <v>287</v>
      </c>
      <c r="E3" s="165">
        <v>0.04</v>
      </c>
    </row>
    <row r="4" spans="1:12">
      <c r="D4" s="6" t="s">
        <v>301</v>
      </c>
    </row>
    <row r="5" spans="1:12" ht="45" customHeight="1">
      <c r="A5" s="274" t="s">
        <v>195</v>
      </c>
      <c r="B5" s="8" t="s">
        <v>145</v>
      </c>
      <c r="C5" s="231" t="s">
        <v>281</v>
      </c>
      <c r="D5" s="231" t="s">
        <v>282</v>
      </c>
      <c r="E5" s="15"/>
      <c r="F5" s="15"/>
      <c r="G5" s="15"/>
      <c r="H5" s="15"/>
      <c r="I5" s="273" t="s">
        <v>17</v>
      </c>
    </row>
    <row r="6" spans="1:12" ht="31.5" customHeight="1">
      <c r="A6" s="274"/>
      <c r="B6" s="8" t="s">
        <v>146</v>
      </c>
      <c r="C6" s="310" t="s">
        <v>283</v>
      </c>
      <c r="D6" s="201" t="s">
        <v>284</v>
      </c>
      <c r="E6" s="15"/>
      <c r="F6" s="15"/>
      <c r="G6" s="15"/>
      <c r="H6" s="15"/>
      <c r="I6" s="273"/>
      <c r="K6" s="6">
        <v>100</v>
      </c>
    </row>
    <row r="7" spans="1:12" ht="16.5" customHeight="1">
      <c r="A7" s="274"/>
      <c r="B7" s="21" t="s">
        <v>196</v>
      </c>
      <c r="C7" s="232" t="s">
        <v>285</v>
      </c>
      <c r="D7" s="201" t="s">
        <v>286</v>
      </c>
      <c r="E7" s="20"/>
      <c r="F7" s="20"/>
      <c r="G7" s="20"/>
      <c r="H7" s="20"/>
      <c r="I7" s="273"/>
      <c r="K7" s="6">
        <f>K6*(1-$E$3)</f>
        <v>96</v>
      </c>
      <c r="L7" s="6">
        <f>K7/$K$6</f>
        <v>0.96</v>
      </c>
    </row>
    <row r="8" spans="1:12" ht="33">
      <c r="A8" s="274"/>
      <c r="B8" s="21" t="s">
        <v>197</v>
      </c>
      <c r="C8" s="201">
        <v>1495</v>
      </c>
      <c r="D8" s="201">
        <v>530</v>
      </c>
      <c r="E8" s="20"/>
      <c r="F8" s="20"/>
      <c r="G8" s="20"/>
      <c r="H8" s="20"/>
      <c r="I8" s="273"/>
      <c r="K8" s="6">
        <f>K7*(1-$E$3)</f>
        <v>92.16</v>
      </c>
      <c r="L8" s="6">
        <f t="shared" ref="L8:L10" si="0">K8/$K$6</f>
        <v>0.92159999999999997</v>
      </c>
    </row>
    <row r="9" spans="1:12" ht="18.75">
      <c r="A9" s="274" t="s">
        <v>198</v>
      </c>
      <c r="B9" s="178" t="s">
        <v>16</v>
      </c>
      <c r="C9" s="185">
        <v>1000</v>
      </c>
      <c r="D9" s="185">
        <v>1000</v>
      </c>
      <c r="E9" s="185"/>
      <c r="F9" s="186"/>
      <c r="G9" s="186"/>
      <c r="H9" s="187"/>
      <c r="I9" s="26">
        <f>SUM(C9:H9)</f>
        <v>2000</v>
      </c>
      <c r="K9" s="6">
        <f t="shared" ref="K9:K10" si="1">K8*(1-$E$3)</f>
        <v>88.47359999999999</v>
      </c>
      <c r="L9" s="6">
        <f t="shared" si="0"/>
        <v>0.88473599999999986</v>
      </c>
    </row>
    <row r="10" spans="1:12" ht="18.75">
      <c r="A10" s="274"/>
      <c r="B10" s="178" t="s">
        <v>187</v>
      </c>
      <c r="C10" s="185">
        <v>10000</v>
      </c>
      <c r="D10" s="185">
        <v>10000</v>
      </c>
      <c r="E10" s="185"/>
      <c r="F10" s="186"/>
      <c r="G10" s="186"/>
      <c r="H10" s="187"/>
      <c r="I10" s="26">
        <f t="shared" ref="I10:I14" si="2">SUM(C10:H10)</f>
        <v>20000</v>
      </c>
      <c r="K10" s="6">
        <f t="shared" si="1"/>
        <v>84.93465599999999</v>
      </c>
      <c r="L10" s="6">
        <f t="shared" si="0"/>
        <v>0.84934655999999986</v>
      </c>
    </row>
    <row r="11" spans="1:12" ht="18.75">
      <c r="A11" s="274"/>
      <c r="B11" s="178" t="s">
        <v>188</v>
      </c>
      <c r="C11" s="185">
        <v>30000</v>
      </c>
      <c r="D11" s="185">
        <v>30000</v>
      </c>
      <c r="E11" s="185"/>
      <c r="F11" s="186"/>
      <c r="G11" s="186"/>
      <c r="H11" s="187"/>
      <c r="I11" s="26">
        <f t="shared" si="2"/>
        <v>60000</v>
      </c>
    </row>
    <row r="12" spans="1:12" ht="18.75">
      <c r="A12" s="274"/>
      <c r="B12" s="178" t="s">
        <v>189</v>
      </c>
      <c r="C12" s="185">
        <v>30000</v>
      </c>
      <c r="D12" s="185">
        <v>30000</v>
      </c>
      <c r="E12" s="185"/>
      <c r="F12" s="186"/>
      <c r="G12" s="186"/>
      <c r="H12" s="187"/>
      <c r="I12" s="26">
        <f t="shared" si="2"/>
        <v>60000</v>
      </c>
    </row>
    <row r="13" spans="1:12" ht="18.75">
      <c r="A13" s="274"/>
      <c r="B13" s="178" t="s">
        <v>237</v>
      </c>
      <c r="C13" s="185">
        <v>30000</v>
      </c>
      <c r="D13" s="185">
        <v>30000</v>
      </c>
      <c r="E13" s="185"/>
      <c r="F13" s="186"/>
      <c r="G13" s="186"/>
      <c r="H13" s="187"/>
      <c r="I13" s="26">
        <f t="shared" si="2"/>
        <v>60000</v>
      </c>
    </row>
    <row r="14" spans="1:12" ht="17.25">
      <c r="A14" s="274"/>
      <c r="B14" s="178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73" t="s">
        <v>17</v>
      </c>
      <c r="B15" s="273"/>
      <c r="C15" s="24">
        <f t="shared" ref="C15:I15" si="3">SUM(C9:C14)</f>
        <v>101000</v>
      </c>
      <c r="D15" s="24">
        <f t="shared" si="3"/>
        <v>101000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202000</v>
      </c>
    </row>
    <row r="16" spans="1:12">
      <c r="A16" s="25"/>
      <c r="B16" s="25"/>
      <c r="C16" s="2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workbookViewId="0">
      <pane xSplit="3" ySplit="5" topLeftCell="D36" activePane="bottomRight" state="frozen"/>
      <selection pane="topRight"/>
      <selection pane="bottomLeft"/>
      <selection pane="bottomRight" activeCell="F12" sqref="F12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91" t="s">
        <v>7</v>
      </c>
      <c r="B1" s="291"/>
      <c r="C1" s="7"/>
      <c r="K1" s="14"/>
    </row>
    <row r="2" spans="1:12">
      <c r="A2" s="292" t="s">
        <v>199</v>
      </c>
      <c r="B2" s="292"/>
      <c r="C2" s="293"/>
      <c r="D2" s="293"/>
      <c r="E2" s="294" t="s">
        <v>298</v>
      </c>
      <c r="F2" s="295"/>
      <c r="G2" s="295"/>
      <c r="H2" s="295"/>
      <c r="I2" s="295"/>
      <c r="J2" s="296"/>
    </row>
    <row r="3" spans="1:12">
      <c r="A3" s="282" t="s">
        <v>15</v>
      </c>
      <c r="B3" s="282" t="s">
        <v>200</v>
      </c>
      <c r="C3" s="8" t="s">
        <v>201</v>
      </c>
      <c r="D3" s="297" t="s">
        <v>272</v>
      </c>
      <c r="E3" s="297"/>
      <c r="F3" s="8" t="s">
        <v>202</v>
      </c>
      <c r="G3" s="283"/>
      <c r="H3" s="284"/>
      <c r="I3" s="285"/>
      <c r="J3" s="298" t="s">
        <v>155</v>
      </c>
    </row>
    <row r="4" spans="1:12">
      <c r="A4" s="282"/>
      <c r="B4" s="282"/>
      <c r="C4" s="8" t="s">
        <v>145</v>
      </c>
      <c r="D4" s="192" t="s">
        <v>260</v>
      </c>
      <c r="E4" s="162" t="str">
        <f>销量!D5</f>
        <v>副司机座椅</v>
      </c>
      <c r="F4" s="162">
        <f>销量!E5</f>
        <v>0</v>
      </c>
      <c r="G4" s="162">
        <f>销量!F5</f>
        <v>0</v>
      </c>
      <c r="H4" s="162">
        <f>销量!G5</f>
        <v>0</v>
      </c>
      <c r="I4" s="162">
        <f>销量!H5</f>
        <v>0</v>
      </c>
      <c r="J4" s="299"/>
    </row>
    <row r="5" spans="1:12" ht="33">
      <c r="A5" s="282"/>
      <c r="B5" s="282"/>
      <c r="C5" s="8" t="s">
        <v>146</v>
      </c>
      <c r="D5" s="193" t="s">
        <v>261</v>
      </c>
      <c r="E5" s="162" t="str">
        <f>销量!D6</f>
        <v>副司机暂无</v>
      </c>
      <c r="F5" s="162">
        <f>销量!E6</f>
        <v>0</v>
      </c>
      <c r="G5" s="162">
        <f>销量!F6</f>
        <v>0</v>
      </c>
      <c r="H5" s="162">
        <f>销量!G6</f>
        <v>0</v>
      </c>
      <c r="I5" s="162">
        <f>销量!H6</f>
        <v>0</v>
      </c>
      <c r="J5" s="300"/>
    </row>
    <row r="6" spans="1:12" ht="16.5" customHeight="1">
      <c r="A6" s="11">
        <v>1</v>
      </c>
      <c r="B6" s="277"/>
      <c r="C6" s="278"/>
      <c r="D6" s="12">
        <f>'[2]主驾驶座椅  '!$BB$14</f>
        <v>1131.9072128333335</v>
      </c>
      <c r="E6" s="12">
        <f>423.71-72.6-32.6+56.24+22.49</f>
        <v>397.24</v>
      </c>
      <c r="F6" s="12"/>
      <c r="G6" s="12"/>
      <c r="H6" s="12"/>
      <c r="I6" s="12"/>
      <c r="J6" s="180"/>
    </row>
    <row r="7" spans="1:12" ht="16.5" customHeight="1">
      <c r="A7" s="11">
        <v>2</v>
      </c>
      <c r="B7" s="277"/>
      <c r="C7" s="278"/>
      <c r="D7" s="10"/>
      <c r="E7" s="10"/>
      <c r="F7" s="10"/>
      <c r="G7" s="10"/>
      <c r="H7" s="10"/>
      <c r="I7" s="10"/>
      <c r="J7" s="15"/>
    </row>
    <row r="8" spans="1:12" ht="16.5" customHeight="1">
      <c r="A8" s="11">
        <v>3</v>
      </c>
      <c r="B8" s="277"/>
      <c r="C8" s="278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277"/>
      <c r="C9" s="278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77"/>
      <c r="C10" s="278"/>
      <c r="D10" s="12"/>
      <c r="E10" s="10"/>
      <c r="F10" s="12"/>
      <c r="G10" s="10"/>
      <c r="H10" s="10"/>
      <c r="I10" s="10"/>
      <c r="J10" s="15"/>
      <c r="K10" s="275"/>
      <c r="L10" s="276"/>
    </row>
    <row r="11" spans="1:12" ht="16.5" customHeight="1">
      <c r="A11" s="11">
        <v>6</v>
      </c>
      <c r="B11" s="277"/>
      <c r="C11" s="278"/>
      <c r="D11" s="12"/>
      <c r="E11" s="10"/>
      <c r="F11" s="12"/>
      <c r="G11" s="10"/>
      <c r="H11" s="10"/>
      <c r="I11" s="10"/>
      <c r="J11" s="15"/>
      <c r="K11" s="275"/>
      <c r="L11" s="276"/>
    </row>
    <row r="12" spans="1:12" ht="16.5" customHeight="1">
      <c r="A12" s="11">
        <v>7</v>
      </c>
      <c r="B12" s="277"/>
      <c r="C12" s="278"/>
      <c r="D12" s="12"/>
      <c r="E12" s="10"/>
      <c r="F12" s="12"/>
      <c r="G12" s="10"/>
      <c r="H12" s="10"/>
      <c r="I12" s="10"/>
      <c r="J12" s="15"/>
      <c r="K12" s="275"/>
      <c r="L12" s="276"/>
    </row>
    <row r="13" spans="1:12" ht="16.5" customHeight="1">
      <c r="A13" s="11">
        <v>8</v>
      </c>
      <c r="B13" s="277"/>
      <c r="C13" s="278"/>
      <c r="D13" s="12"/>
      <c r="E13" s="10"/>
      <c r="F13" s="12"/>
      <c r="G13" s="10"/>
      <c r="H13" s="10"/>
      <c r="I13" s="10"/>
      <c r="J13" s="15"/>
      <c r="K13" s="275"/>
      <c r="L13" s="276"/>
    </row>
    <row r="14" spans="1:12" ht="16.5" customHeight="1">
      <c r="A14" s="11">
        <v>9</v>
      </c>
      <c r="B14" s="277"/>
      <c r="C14" s="278"/>
      <c r="D14" s="12"/>
      <c r="E14" s="10"/>
      <c r="F14" s="12"/>
      <c r="G14" s="10"/>
      <c r="H14" s="10"/>
      <c r="I14" s="10"/>
      <c r="J14" s="15"/>
      <c r="K14" s="275"/>
      <c r="L14" s="276"/>
    </row>
    <row r="15" spans="1:12" ht="16.5" customHeight="1">
      <c r="A15" s="11">
        <v>10</v>
      </c>
      <c r="B15" s="277"/>
      <c r="C15" s="278"/>
      <c r="D15" s="12"/>
      <c r="E15" s="10"/>
      <c r="F15" s="12"/>
      <c r="G15" s="10"/>
      <c r="H15" s="10"/>
      <c r="I15" s="10"/>
      <c r="J15" s="15"/>
      <c r="K15" s="275"/>
      <c r="L15" s="276"/>
    </row>
    <row r="16" spans="1:12" ht="16.5" customHeight="1">
      <c r="A16" s="11">
        <v>11</v>
      </c>
      <c r="B16" s="277"/>
      <c r="C16" s="278"/>
      <c r="D16" s="12"/>
      <c r="E16" s="10"/>
      <c r="F16" s="12"/>
      <c r="G16" s="10"/>
      <c r="H16" s="10"/>
      <c r="I16" s="10"/>
      <c r="J16" s="15"/>
      <c r="K16" s="275"/>
      <c r="L16" s="276"/>
    </row>
    <row r="17" spans="1:12" ht="16.5" customHeight="1">
      <c r="A17" s="11">
        <v>12</v>
      </c>
      <c r="B17" s="277"/>
      <c r="C17" s="278"/>
      <c r="D17" s="12"/>
      <c r="E17" s="10"/>
      <c r="F17" s="12"/>
      <c r="G17" s="10"/>
      <c r="H17" s="10"/>
      <c r="I17" s="10"/>
      <c r="J17" s="15"/>
      <c r="K17" s="275"/>
      <c r="L17" s="276"/>
    </row>
    <row r="18" spans="1:12" ht="16.5" customHeight="1">
      <c r="A18" s="11">
        <v>13</v>
      </c>
      <c r="B18" s="277"/>
      <c r="C18" s="278"/>
      <c r="D18" s="12"/>
      <c r="E18" s="10"/>
      <c r="F18" s="12"/>
      <c r="G18" s="10"/>
      <c r="H18" s="10"/>
      <c r="I18" s="10"/>
      <c r="J18" s="15"/>
      <c r="K18" s="275"/>
      <c r="L18" s="276"/>
    </row>
    <row r="19" spans="1:12" ht="16.5" customHeight="1">
      <c r="A19" s="11">
        <v>14</v>
      </c>
      <c r="B19" s="277"/>
      <c r="C19" s="278"/>
      <c r="D19" s="12"/>
      <c r="E19" s="10"/>
      <c r="F19" s="12"/>
      <c r="G19" s="10"/>
      <c r="H19" s="10"/>
      <c r="I19" s="10"/>
      <c r="J19" s="15"/>
      <c r="K19" s="275"/>
      <c r="L19" s="276"/>
    </row>
    <row r="20" spans="1:12" ht="16.5" customHeight="1">
      <c r="A20" s="11">
        <v>15</v>
      </c>
      <c r="B20" s="277"/>
      <c r="C20" s="278"/>
      <c r="D20" s="12"/>
      <c r="E20" s="12"/>
      <c r="F20" s="12"/>
      <c r="G20" s="12"/>
      <c r="H20" s="10"/>
      <c r="I20" s="10"/>
      <c r="J20" s="15"/>
      <c r="K20" s="275"/>
      <c r="L20" s="276"/>
    </row>
    <row r="21" spans="1:12" ht="16.5" customHeight="1">
      <c r="A21" s="11">
        <v>16</v>
      </c>
      <c r="B21" s="277"/>
      <c r="C21" s="278"/>
      <c r="D21" s="10"/>
      <c r="E21" s="12"/>
      <c r="F21" s="10"/>
      <c r="G21" s="12"/>
      <c r="H21" s="10"/>
      <c r="I21" s="10"/>
      <c r="J21" s="15"/>
      <c r="K21" s="275"/>
      <c r="L21" s="276"/>
    </row>
    <row r="22" spans="1:12" ht="16.5" customHeight="1">
      <c r="A22" s="11">
        <v>17</v>
      </c>
      <c r="B22" s="277"/>
      <c r="C22" s="278"/>
      <c r="D22" s="10"/>
      <c r="E22" s="12"/>
      <c r="F22" s="10"/>
      <c r="G22" s="12"/>
      <c r="H22" s="10"/>
      <c r="I22" s="10"/>
      <c r="J22" s="15"/>
      <c r="K22" s="275"/>
      <c r="L22" s="276"/>
    </row>
    <row r="23" spans="1:12" ht="16.5" customHeight="1">
      <c r="A23" s="11">
        <v>18</v>
      </c>
      <c r="B23" s="277"/>
      <c r="C23" s="278"/>
      <c r="D23" s="10"/>
      <c r="E23" s="12"/>
      <c r="F23" s="10"/>
      <c r="G23" s="12"/>
      <c r="H23" s="10"/>
      <c r="I23" s="10"/>
      <c r="J23" s="15"/>
      <c r="K23" s="275"/>
      <c r="L23" s="276"/>
    </row>
    <row r="24" spans="1:12" ht="16.5" customHeight="1">
      <c r="A24" s="11">
        <v>19</v>
      </c>
      <c r="B24" s="277"/>
      <c r="C24" s="278"/>
      <c r="D24" s="10"/>
      <c r="E24" s="12"/>
      <c r="F24" s="10"/>
      <c r="G24" s="12"/>
      <c r="H24" s="10"/>
      <c r="I24" s="10"/>
      <c r="J24" s="15"/>
      <c r="K24" s="275"/>
      <c r="L24" s="276"/>
    </row>
    <row r="25" spans="1:12">
      <c r="A25" s="11">
        <v>20</v>
      </c>
      <c r="B25" s="277"/>
      <c r="C25" s="278"/>
      <c r="D25" s="10"/>
      <c r="E25" s="12"/>
      <c r="F25" s="10"/>
      <c r="G25" s="12"/>
      <c r="H25" s="10"/>
      <c r="I25" s="10"/>
      <c r="J25" s="15"/>
      <c r="K25" s="275"/>
      <c r="L25" s="276"/>
    </row>
    <row r="26" spans="1:12">
      <c r="A26" s="11">
        <v>21</v>
      </c>
      <c r="B26" s="277"/>
      <c r="C26" s="278"/>
      <c r="D26" s="10"/>
      <c r="E26" s="12"/>
      <c r="F26" s="10"/>
      <c r="G26" s="12"/>
      <c r="H26" s="10"/>
      <c r="I26" s="10"/>
      <c r="J26" s="15"/>
      <c r="K26" s="275"/>
      <c r="L26" s="276"/>
    </row>
    <row r="27" spans="1:12">
      <c r="A27" s="11">
        <v>22</v>
      </c>
      <c r="B27" s="277"/>
      <c r="C27" s="278"/>
      <c r="D27" s="10"/>
      <c r="E27" s="12"/>
      <c r="F27" s="10"/>
      <c r="G27" s="12"/>
      <c r="H27" s="10"/>
      <c r="I27" s="10"/>
      <c r="J27" s="15"/>
      <c r="K27" s="275"/>
      <c r="L27" s="276"/>
    </row>
    <row r="28" spans="1:12">
      <c r="A28" s="11">
        <v>23</v>
      </c>
      <c r="B28" s="277"/>
      <c r="C28" s="278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277"/>
      <c r="C29" s="278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277"/>
      <c r="C30" s="278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277"/>
      <c r="C31" s="278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277"/>
      <c r="C32" s="278"/>
      <c r="D32" s="10"/>
      <c r="E32" s="10"/>
      <c r="F32" s="10"/>
      <c r="G32" s="10"/>
      <c r="H32" s="10"/>
      <c r="I32" s="10"/>
      <c r="J32" s="15"/>
    </row>
    <row r="33" spans="1:10" ht="31.5" customHeight="1">
      <c r="A33" s="279" t="s">
        <v>203</v>
      </c>
      <c r="B33" s="280"/>
      <c r="C33" s="281"/>
      <c r="D33" s="13">
        <f t="shared" ref="D33:I33" si="0">SUM(D6:D32)</f>
        <v>1131.9072128333335</v>
      </c>
      <c r="E33" s="13">
        <f t="shared" si="0"/>
        <v>397.24</v>
      </c>
      <c r="F33" s="13">
        <f t="shared" si="0"/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D34" s="166"/>
      <c r="E34" s="25"/>
      <c r="F34" s="25"/>
    </row>
    <row r="35" spans="1:10">
      <c r="D35" s="25"/>
      <c r="E35" s="25"/>
      <c r="F35" s="25"/>
    </row>
    <row r="36" spans="1:10">
      <c r="D36" s="217"/>
      <c r="E36" s="25"/>
      <c r="F36" s="25"/>
    </row>
    <row r="38" spans="1:10" ht="27.75" customHeight="1">
      <c r="D38" s="274" t="s">
        <v>299</v>
      </c>
      <c r="E38" s="274"/>
      <c r="F38" s="274"/>
      <c r="G38" s="274"/>
      <c r="H38" s="274"/>
      <c r="I38" s="274"/>
      <c r="J38" s="274"/>
    </row>
    <row r="39" spans="1:10">
      <c r="D39" s="286" t="s">
        <v>235</v>
      </c>
      <c r="E39" s="288" t="s">
        <v>236</v>
      </c>
      <c r="F39" s="289"/>
      <c r="G39" s="289"/>
      <c r="H39" s="289"/>
      <c r="I39" s="289"/>
      <c r="J39" s="290"/>
    </row>
    <row r="40" spans="1:10">
      <c r="D40" s="287"/>
      <c r="E40" s="170" t="s">
        <v>254</v>
      </c>
      <c r="F40" s="170" t="s">
        <v>255</v>
      </c>
      <c r="G40" s="170" t="s">
        <v>256</v>
      </c>
      <c r="H40" s="170" t="s">
        <v>257</v>
      </c>
      <c r="I40" s="178" t="s">
        <v>258</v>
      </c>
      <c r="J40" s="170"/>
    </row>
    <row r="41" spans="1:10" ht="28.5">
      <c r="D41" s="162" t="s">
        <v>238</v>
      </c>
      <c r="E41" s="175">
        <f>D33</f>
        <v>1131.9072128333335</v>
      </c>
      <c r="F41" s="175">
        <f t="shared" ref="F41:I42" si="1">E41*(1-0.04)</f>
        <v>1086.6309243200001</v>
      </c>
      <c r="G41" s="175">
        <f t="shared" si="1"/>
        <v>1043.1656873472</v>
      </c>
      <c r="H41" s="175">
        <f t="shared" si="1"/>
        <v>1001.439059853312</v>
      </c>
      <c r="I41" s="175">
        <f t="shared" si="1"/>
        <v>961.3814974591794</v>
      </c>
      <c r="J41" s="175"/>
    </row>
    <row r="42" spans="1:10">
      <c r="D42" s="15" t="s">
        <v>239</v>
      </c>
      <c r="E42" s="181">
        <f>E33</f>
        <v>397.24</v>
      </c>
      <c r="F42" s="175">
        <f t="shared" si="1"/>
        <v>381.35039999999998</v>
      </c>
      <c r="G42" s="175">
        <f t="shared" si="1"/>
        <v>366.09638399999994</v>
      </c>
      <c r="H42" s="175">
        <f t="shared" si="1"/>
        <v>351.45252863999991</v>
      </c>
      <c r="I42" s="175">
        <f t="shared" si="1"/>
        <v>337.39442749439991</v>
      </c>
      <c r="J42" s="175"/>
    </row>
    <row r="43" spans="1:10">
      <c r="D43" s="15" t="s">
        <v>240</v>
      </c>
      <c r="E43" s="181">
        <f>F33</f>
        <v>0</v>
      </c>
      <c r="F43" s="175">
        <f t="shared" ref="F43:I43" si="2">E43*(1-0.04)</f>
        <v>0</v>
      </c>
      <c r="G43" s="175">
        <f t="shared" si="2"/>
        <v>0</v>
      </c>
      <c r="H43" s="175">
        <f t="shared" si="2"/>
        <v>0</v>
      </c>
      <c r="I43" s="175">
        <f t="shared" si="2"/>
        <v>0</v>
      </c>
      <c r="J43" s="175"/>
    </row>
    <row r="44" spans="1:10">
      <c r="D44" s="15" t="s">
        <v>241</v>
      </c>
      <c r="E44" s="181">
        <f>G33</f>
        <v>0</v>
      </c>
      <c r="F44" s="175">
        <f t="shared" ref="F44:I44" si="3">E44*(1-0.04)</f>
        <v>0</v>
      </c>
      <c r="G44" s="175">
        <f t="shared" si="3"/>
        <v>0</v>
      </c>
      <c r="H44" s="175">
        <f t="shared" si="3"/>
        <v>0</v>
      </c>
      <c r="I44" s="175">
        <f t="shared" si="3"/>
        <v>0</v>
      </c>
      <c r="J44" s="175"/>
    </row>
    <row r="45" spans="1:10">
      <c r="D45" s="15" t="s">
        <v>242</v>
      </c>
      <c r="E45" s="181">
        <f>H33</f>
        <v>0</v>
      </c>
      <c r="F45" s="175">
        <f t="shared" ref="F45:I45" si="4">E45*(1-0.04)</f>
        <v>0</v>
      </c>
      <c r="G45" s="175">
        <f t="shared" si="4"/>
        <v>0</v>
      </c>
      <c r="H45" s="175">
        <f t="shared" si="4"/>
        <v>0</v>
      </c>
      <c r="I45" s="175">
        <f t="shared" si="4"/>
        <v>0</v>
      </c>
      <c r="J45" s="175"/>
    </row>
    <row r="46" spans="1:10">
      <c r="D46" s="15" t="s">
        <v>243</v>
      </c>
      <c r="E46" s="181">
        <f>I33</f>
        <v>0</v>
      </c>
      <c r="F46" s="175">
        <f t="shared" ref="F46:I46" si="5">E46*(1-0.04)</f>
        <v>0</v>
      </c>
      <c r="G46" s="175">
        <f t="shared" si="5"/>
        <v>0</v>
      </c>
      <c r="H46" s="175">
        <f t="shared" si="5"/>
        <v>0</v>
      </c>
      <c r="I46" s="175">
        <f t="shared" si="5"/>
        <v>0</v>
      </c>
      <c r="J46" s="175"/>
    </row>
  </sheetData>
  <mergeCells count="57"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pane xSplit="2" ySplit="1" topLeftCell="C2" activePane="bottomRight" state="frozen"/>
      <selection pane="topRight"/>
      <selection pane="bottomLeft"/>
      <selection pane="bottomRight" activeCell="G3" sqref="G3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227" t="s">
        <v>15</v>
      </c>
      <c r="B1" s="227" t="s">
        <v>204</v>
      </c>
      <c r="C1" s="227" t="s">
        <v>205</v>
      </c>
      <c r="D1" s="227" t="s">
        <v>206</v>
      </c>
      <c r="E1" s="227" t="s">
        <v>207</v>
      </c>
    </row>
    <row r="2" spans="1:6" ht="27" customHeight="1">
      <c r="A2" s="227">
        <v>1</v>
      </c>
      <c r="B2" s="227" t="s">
        <v>208</v>
      </c>
      <c r="C2" s="228" t="s">
        <v>288</v>
      </c>
      <c r="D2" s="227"/>
      <c r="E2" s="227"/>
    </row>
    <row r="3" spans="1:6" ht="27" customHeight="1">
      <c r="A3" s="227">
        <v>2</v>
      </c>
      <c r="B3" s="227" t="s">
        <v>209</v>
      </c>
      <c r="C3" s="229" t="s">
        <v>289</v>
      </c>
      <c r="D3" s="227"/>
      <c r="E3" s="227"/>
    </row>
    <row r="4" spans="1:6" ht="27" customHeight="1">
      <c r="A4" s="227">
        <v>3</v>
      </c>
      <c r="B4" s="227" t="s">
        <v>210</v>
      </c>
      <c r="C4" s="228" t="s">
        <v>290</v>
      </c>
      <c r="D4" s="227"/>
      <c r="E4" s="227"/>
    </row>
    <row r="5" spans="1:6" ht="27" customHeight="1">
      <c r="A5" s="227">
        <v>4</v>
      </c>
      <c r="B5" s="227" t="s">
        <v>211</v>
      </c>
      <c r="C5" s="228"/>
      <c r="D5" s="227"/>
      <c r="E5" s="227"/>
    </row>
    <row r="6" spans="1:6" ht="27" customHeight="1">
      <c r="A6" s="227">
        <v>5</v>
      </c>
      <c r="B6" s="227" t="s">
        <v>212</v>
      </c>
      <c r="C6" s="228"/>
      <c r="D6" s="227"/>
      <c r="E6" s="227"/>
    </row>
    <row r="7" spans="1:6" ht="27" customHeight="1">
      <c r="A7" s="227">
        <v>6</v>
      </c>
      <c r="B7" s="227" t="s">
        <v>213</v>
      </c>
      <c r="C7" s="228" t="s">
        <v>291</v>
      </c>
      <c r="D7" s="227"/>
      <c r="E7" s="227"/>
    </row>
    <row r="8" spans="1:6" ht="27" customHeight="1">
      <c r="A8" s="227">
        <v>7</v>
      </c>
      <c r="B8" s="227" t="s">
        <v>214</v>
      </c>
      <c r="C8" s="228" t="s">
        <v>291</v>
      </c>
      <c r="D8" s="227"/>
      <c r="E8" s="227"/>
    </row>
    <row r="9" spans="1:6" ht="27" customHeight="1">
      <c r="A9" s="227">
        <v>8</v>
      </c>
      <c r="B9" s="227" t="s">
        <v>215</v>
      </c>
      <c r="C9" s="228" t="s">
        <v>291</v>
      </c>
      <c r="D9" s="227"/>
      <c r="E9" s="227"/>
    </row>
    <row r="10" spans="1:6" ht="27" customHeight="1">
      <c r="A10" s="227">
        <v>9</v>
      </c>
      <c r="B10" s="227" t="s">
        <v>216</v>
      </c>
      <c r="C10" s="228" t="s">
        <v>291</v>
      </c>
      <c r="D10" s="227"/>
      <c r="E10" s="227"/>
    </row>
    <row r="11" spans="1:6" ht="27" customHeight="1">
      <c r="A11" s="227">
        <v>10</v>
      </c>
      <c r="B11" s="227" t="s">
        <v>217</v>
      </c>
      <c r="C11" s="228"/>
      <c r="D11" s="227"/>
      <c r="E11" s="227"/>
      <c r="F11" s="164" t="s">
        <v>276</v>
      </c>
    </row>
    <row r="12" spans="1:6" ht="27" customHeight="1">
      <c r="A12" s="227">
        <v>11</v>
      </c>
      <c r="B12" s="227" t="s">
        <v>218</v>
      </c>
      <c r="C12" s="228"/>
      <c r="D12" s="227"/>
      <c r="E12" s="227"/>
    </row>
    <row r="13" spans="1:6" ht="27" customHeight="1">
      <c r="A13" s="227">
        <v>12</v>
      </c>
      <c r="B13" s="227" t="s">
        <v>277</v>
      </c>
      <c r="C13" s="230"/>
      <c r="D13" s="227"/>
      <c r="E13" s="227"/>
    </row>
    <row r="14" spans="1:6" ht="27" customHeight="1">
      <c r="A14" s="227">
        <v>13</v>
      </c>
      <c r="B14" s="227" t="s">
        <v>278</v>
      </c>
      <c r="C14" s="230" t="s">
        <v>292</v>
      </c>
      <c r="D14" s="227"/>
      <c r="E14" s="227" t="s">
        <v>279</v>
      </c>
    </row>
    <row r="15" spans="1:6" ht="27" customHeight="1">
      <c r="A15" s="227">
        <v>14</v>
      </c>
      <c r="B15" s="227" t="s">
        <v>280</v>
      </c>
      <c r="C15" s="230" t="s">
        <v>293</v>
      </c>
      <c r="D15" s="227"/>
      <c r="E15" s="227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8"/>
  <sheetViews>
    <sheetView workbookViewId="0">
      <selection activeCell="E7" sqref="E7"/>
    </sheetView>
  </sheetViews>
  <sheetFormatPr defaultColWidth="9" defaultRowHeight="13.5"/>
  <cols>
    <col min="1" max="2" width="9" style="68"/>
    <col min="3" max="5" width="15.75" style="68" customWidth="1"/>
    <col min="6" max="8" width="11.125" style="68" customWidth="1"/>
    <col min="9" max="9" width="12.875" style="151" customWidth="1"/>
    <col min="10" max="16384" width="9" style="68"/>
  </cols>
  <sheetData>
    <row r="1" spans="1:12" s="148" customFormat="1" ht="18.75" customHeight="1">
      <c r="G1" s="301" t="s">
        <v>219</v>
      </c>
      <c r="H1" s="301"/>
      <c r="I1" s="149"/>
    </row>
    <row r="2" spans="1:12" ht="39" customHeight="1">
      <c r="A2" s="307" t="s">
        <v>220</v>
      </c>
      <c r="B2" s="307"/>
      <c r="C2" s="303" t="s">
        <v>221</v>
      </c>
      <c r="D2" s="308"/>
      <c r="E2" s="308"/>
      <c r="F2" s="308"/>
      <c r="G2" s="308"/>
      <c r="H2" s="304"/>
      <c r="I2" s="150" t="s">
        <v>228</v>
      </c>
      <c r="K2" s="169"/>
      <c r="L2" s="169"/>
    </row>
    <row r="3" spans="1:12" ht="34.5" customHeight="1">
      <c r="A3" s="307"/>
      <c r="B3" s="307"/>
      <c r="C3" s="159" t="s">
        <v>230</v>
      </c>
      <c r="D3" s="159" t="s">
        <v>231</v>
      </c>
      <c r="E3" s="159" t="s">
        <v>229</v>
      </c>
      <c r="F3" s="160" t="s">
        <v>234</v>
      </c>
      <c r="G3" s="160" t="s">
        <v>233</v>
      </c>
      <c r="H3" s="160" t="s">
        <v>232</v>
      </c>
      <c r="I3" s="163">
        <f>销量!C8</f>
        <v>1495</v>
      </c>
    </row>
    <row r="4" spans="1:12" ht="24" customHeight="1">
      <c r="A4" s="302" t="s">
        <v>222</v>
      </c>
      <c r="B4" s="302"/>
      <c r="C4" s="3"/>
      <c r="D4" s="152"/>
      <c r="E4" s="153">
        <f>$I$3*F4</f>
        <v>84.048879626820749</v>
      </c>
      <c r="F4" s="183">
        <v>5.6219986372455351E-2</v>
      </c>
      <c r="G4" s="153"/>
      <c r="H4" s="154">
        <v>4.48E-2</v>
      </c>
      <c r="I4" s="151">
        <v>4.3099999999999999E-2</v>
      </c>
      <c r="J4" s="167"/>
      <c r="K4" s="69"/>
      <c r="L4" s="69"/>
    </row>
    <row r="5" spans="1:12" ht="24" customHeight="1">
      <c r="A5" s="302" t="s">
        <v>223</v>
      </c>
      <c r="B5" s="155" t="s">
        <v>224</v>
      </c>
      <c r="C5" s="3"/>
      <c r="D5" s="152"/>
      <c r="E5" s="153">
        <f t="shared" ref="E5:E6" si="0">$I$3*F5</f>
        <v>67.274999999999991</v>
      </c>
      <c r="F5" s="154">
        <v>4.4999999999999998E-2</v>
      </c>
      <c r="G5" s="154"/>
      <c r="H5" s="154">
        <v>4.0399999999999998E-2</v>
      </c>
      <c r="J5" s="168"/>
      <c r="K5" s="69"/>
      <c r="L5" s="69"/>
    </row>
    <row r="6" spans="1:12" ht="24" customHeight="1">
      <c r="A6" s="302"/>
      <c r="B6" s="155" t="s">
        <v>225</v>
      </c>
      <c r="C6" s="3"/>
      <c r="D6" s="152"/>
      <c r="E6" s="153">
        <f t="shared" si="0"/>
        <v>22.538604453609523</v>
      </c>
      <c r="F6" s="183">
        <v>1.5075989601076605E-2</v>
      </c>
      <c r="G6" s="153"/>
      <c r="H6" s="154">
        <v>1.66E-2</v>
      </c>
      <c r="I6" s="151">
        <v>2.1700000000000001E-2</v>
      </c>
      <c r="J6" s="167"/>
      <c r="K6" s="69"/>
      <c r="L6" s="69"/>
    </row>
    <row r="7" spans="1:12" ht="24" customHeight="1">
      <c r="A7" s="303" t="s">
        <v>226</v>
      </c>
      <c r="B7" s="304"/>
      <c r="C7" s="156"/>
      <c r="D7" s="157"/>
      <c r="E7" s="153">
        <f>$I$3*F7</f>
        <v>173.86248408043028</v>
      </c>
      <c r="F7" s="182">
        <f>SUM(F4:F6)</f>
        <v>0.11629597597353196</v>
      </c>
      <c r="G7" s="153"/>
      <c r="H7" s="158">
        <f>SUM(H4:H6)</f>
        <v>0.1018</v>
      </c>
      <c r="I7" s="151">
        <f>SUM(I4:I6)</f>
        <v>6.4799999999999996E-2</v>
      </c>
      <c r="J7" s="167"/>
      <c r="K7" s="69"/>
      <c r="L7" s="69"/>
    </row>
    <row r="8" spans="1:12" ht="24" customHeight="1">
      <c r="A8" s="302" t="s">
        <v>47</v>
      </c>
      <c r="B8" s="302"/>
      <c r="C8" s="3"/>
      <c r="D8" s="152"/>
      <c r="E8" s="153">
        <f>$I$3*F8</f>
        <v>44.85</v>
      </c>
      <c r="F8" s="184">
        <v>0.03</v>
      </c>
      <c r="G8" s="153"/>
      <c r="H8" s="154">
        <f>1.97%+0.75%</f>
        <v>2.7199999999999998E-2</v>
      </c>
      <c r="J8" s="168"/>
      <c r="K8" s="69"/>
      <c r="L8" s="69"/>
    </row>
    <row r="9" spans="1:12" ht="24" customHeight="1">
      <c r="A9" s="305" t="s">
        <v>227</v>
      </c>
      <c r="B9" s="155" t="s">
        <v>224</v>
      </c>
      <c r="C9" s="3"/>
      <c r="D9" s="152"/>
      <c r="E9" s="153">
        <f>$I$3*F9</f>
        <v>10.465</v>
      </c>
      <c r="F9" s="154">
        <v>7.0000000000000001E-3</v>
      </c>
      <c r="G9" s="153"/>
      <c r="H9" s="154">
        <v>5.3E-3</v>
      </c>
      <c r="J9" s="151"/>
      <c r="K9" s="69"/>
      <c r="L9" s="69"/>
    </row>
    <row r="10" spans="1:12" ht="24" customHeight="1">
      <c r="A10" s="306"/>
      <c r="B10" s="155" t="s">
        <v>225</v>
      </c>
      <c r="C10" s="3"/>
      <c r="D10" s="152"/>
      <c r="E10" s="153">
        <f>$I$3*I10</f>
        <v>59.79999999999999</v>
      </c>
      <c r="F10" s="151">
        <f>2.8%+1.2%</f>
        <v>3.9999999999999994E-2</v>
      </c>
      <c r="G10" s="153"/>
      <c r="H10" s="154">
        <v>3.4099999999999998E-2</v>
      </c>
      <c r="I10" s="151">
        <f>2.8%+1.2%</f>
        <v>3.9999999999999994E-2</v>
      </c>
      <c r="J10" s="151"/>
      <c r="K10" s="69"/>
      <c r="L10" s="69"/>
    </row>
    <row r="11" spans="1:12" ht="24" customHeight="1">
      <c r="A11" s="302" t="s">
        <v>50</v>
      </c>
      <c r="B11" s="302"/>
      <c r="C11" s="3"/>
      <c r="D11" s="152"/>
      <c r="E11" s="153">
        <f t="shared" ref="E11" si="1">$I$3*F11</f>
        <v>59.800000000000004</v>
      </c>
      <c r="F11" s="154">
        <v>0.04</v>
      </c>
      <c r="G11" s="153"/>
      <c r="H11" s="154">
        <v>1.0999999999999999E-2</v>
      </c>
      <c r="I11" s="151">
        <v>0.03</v>
      </c>
      <c r="J11" s="151"/>
      <c r="K11" s="69"/>
      <c r="L11" s="69"/>
    </row>
    <row r="15" spans="1:12">
      <c r="A15" s="148"/>
      <c r="B15" s="148"/>
      <c r="C15" s="148"/>
      <c r="D15" s="148"/>
      <c r="E15" s="148"/>
      <c r="F15" s="148"/>
      <c r="G15" s="301" t="s">
        <v>219</v>
      </c>
      <c r="H15" s="301"/>
      <c r="I15" s="149"/>
    </row>
    <row r="16" spans="1:12">
      <c r="A16" s="307" t="s">
        <v>220</v>
      </c>
      <c r="B16" s="307"/>
      <c r="C16" s="303" t="s">
        <v>221</v>
      </c>
      <c r="D16" s="308"/>
      <c r="E16" s="308"/>
      <c r="F16" s="308"/>
      <c r="G16" s="308"/>
      <c r="H16" s="304"/>
      <c r="I16" s="150" t="s">
        <v>228</v>
      </c>
    </row>
    <row r="17" spans="1:9" ht="27">
      <c r="A17" s="307"/>
      <c r="B17" s="307"/>
      <c r="C17" s="159" t="s">
        <v>230</v>
      </c>
      <c r="D17" s="159" t="s">
        <v>231</v>
      </c>
      <c r="E17" s="159" t="s">
        <v>229</v>
      </c>
      <c r="F17" s="160" t="s">
        <v>234</v>
      </c>
      <c r="G17" s="160" t="s">
        <v>233</v>
      </c>
      <c r="H17" s="160" t="s">
        <v>232</v>
      </c>
      <c r="I17" s="163">
        <f>销量!D8</f>
        <v>530</v>
      </c>
    </row>
    <row r="18" spans="1:9">
      <c r="A18" s="302" t="s">
        <v>222</v>
      </c>
      <c r="B18" s="302"/>
      <c r="C18" s="3"/>
      <c r="D18" s="152"/>
      <c r="E18" s="153">
        <f>$I$17*F18</f>
        <v>29.796592777401337</v>
      </c>
      <c r="F18" s="183">
        <v>5.6219986372455351E-2</v>
      </c>
      <c r="G18" s="153"/>
      <c r="H18" s="154">
        <v>4.48E-2</v>
      </c>
      <c r="I18" s="151">
        <v>4.3099999999999999E-2</v>
      </c>
    </row>
    <row r="19" spans="1:9">
      <c r="A19" s="302" t="s">
        <v>223</v>
      </c>
      <c r="B19" s="179" t="s">
        <v>224</v>
      </c>
      <c r="C19" s="3"/>
      <c r="D19" s="152"/>
      <c r="E19" s="153">
        <f t="shared" ref="E19:E25" si="2">$I$17*F19</f>
        <v>23.849999999999998</v>
      </c>
      <c r="F19" s="154">
        <v>4.4999999999999998E-2</v>
      </c>
      <c r="G19" s="153"/>
      <c r="H19" s="154">
        <v>4.0399999999999998E-2</v>
      </c>
    </row>
    <row r="20" spans="1:9">
      <c r="A20" s="302"/>
      <c r="B20" s="179" t="s">
        <v>225</v>
      </c>
      <c r="C20" s="3"/>
      <c r="D20" s="152"/>
      <c r="E20" s="153">
        <f t="shared" si="2"/>
        <v>7.9902744885706003</v>
      </c>
      <c r="F20" s="183">
        <v>1.5075989601076605E-2</v>
      </c>
      <c r="G20" s="153"/>
      <c r="H20" s="154">
        <v>1.66E-2</v>
      </c>
      <c r="I20" s="151">
        <v>2.1700000000000001E-2</v>
      </c>
    </row>
    <row r="21" spans="1:9">
      <c r="A21" s="303" t="s">
        <v>226</v>
      </c>
      <c r="B21" s="304"/>
      <c r="C21" s="156"/>
      <c r="D21" s="157"/>
      <c r="E21" s="153">
        <f t="shared" si="2"/>
        <v>61.636867265971937</v>
      </c>
      <c r="F21" s="182">
        <f>SUM(F18:F20)</f>
        <v>0.11629597597353196</v>
      </c>
      <c r="G21" s="153"/>
      <c r="H21" s="158">
        <f>SUM(H18:H20)</f>
        <v>0.1018</v>
      </c>
      <c r="I21" s="151">
        <f>SUM(I18:I20)</f>
        <v>6.4799999999999996E-2</v>
      </c>
    </row>
    <row r="22" spans="1:9">
      <c r="A22" s="302" t="s">
        <v>47</v>
      </c>
      <c r="B22" s="302"/>
      <c r="C22" s="3"/>
      <c r="D22" s="152"/>
      <c r="E22" s="153">
        <f t="shared" si="2"/>
        <v>15.899999999999999</v>
      </c>
      <c r="F22" s="184">
        <v>0.03</v>
      </c>
      <c r="G22" s="153"/>
      <c r="H22" s="154">
        <f>1.97%+0.75%</f>
        <v>2.7199999999999998E-2</v>
      </c>
    </row>
    <row r="23" spans="1:9">
      <c r="A23" s="305" t="s">
        <v>227</v>
      </c>
      <c r="B23" s="179" t="s">
        <v>224</v>
      </c>
      <c r="C23" s="3"/>
      <c r="D23" s="152"/>
      <c r="E23" s="153">
        <f t="shared" si="2"/>
        <v>3.71</v>
      </c>
      <c r="F23" s="154">
        <v>7.0000000000000001E-3</v>
      </c>
      <c r="G23" s="153"/>
      <c r="H23" s="154">
        <v>5.3E-3</v>
      </c>
    </row>
    <row r="24" spans="1:9">
      <c r="A24" s="306"/>
      <c r="B24" s="179" t="s">
        <v>225</v>
      </c>
      <c r="C24" s="3"/>
      <c r="D24" s="152"/>
      <c r="E24" s="153">
        <f>$I$17*I24</f>
        <v>21.199999999999996</v>
      </c>
      <c r="F24" s="151">
        <f>2.8%+1.2%</f>
        <v>3.9999999999999994E-2</v>
      </c>
      <c r="G24" s="153"/>
      <c r="H24" s="154">
        <v>3.4099999999999998E-2</v>
      </c>
      <c r="I24" s="151">
        <f>2.8%+1.2%</f>
        <v>3.9999999999999994E-2</v>
      </c>
    </row>
    <row r="25" spans="1:9">
      <c r="A25" s="302" t="s">
        <v>50</v>
      </c>
      <c r="B25" s="302"/>
      <c r="C25" s="3"/>
      <c r="D25" s="152"/>
      <c r="E25" s="153">
        <f t="shared" si="2"/>
        <v>21.2</v>
      </c>
      <c r="F25" s="154">
        <v>0.04</v>
      </c>
      <c r="G25" s="153"/>
      <c r="H25" s="154">
        <v>1.0999999999999999E-2</v>
      </c>
      <c r="I25" s="151">
        <v>0.03</v>
      </c>
    </row>
    <row r="29" spans="1:9">
      <c r="A29" s="148"/>
      <c r="B29" s="148"/>
      <c r="C29" s="148"/>
      <c r="D29" s="148"/>
      <c r="E29" s="148"/>
      <c r="F29" s="148"/>
      <c r="G29" s="301" t="s">
        <v>219</v>
      </c>
      <c r="H29" s="301"/>
      <c r="I29" s="149"/>
    </row>
    <row r="30" spans="1:9">
      <c r="A30" s="307" t="s">
        <v>220</v>
      </c>
      <c r="B30" s="307"/>
      <c r="C30" s="303" t="s">
        <v>221</v>
      </c>
      <c r="D30" s="308"/>
      <c r="E30" s="308"/>
      <c r="F30" s="308"/>
      <c r="G30" s="308"/>
      <c r="H30" s="304"/>
      <c r="I30" s="150" t="s">
        <v>228</v>
      </c>
    </row>
    <row r="31" spans="1:9" ht="27">
      <c r="A31" s="307"/>
      <c r="B31" s="307"/>
      <c r="C31" s="159" t="s">
        <v>230</v>
      </c>
      <c r="D31" s="159" t="s">
        <v>231</v>
      </c>
      <c r="E31" s="159" t="s">
        <v>229</v>
      </c>
      <c r="F31" s="160" t="s">
        <v>234</v>
      </c>
      <c r="G31" s="160" t="s">
        <v>233</v>
      </c>
      <c r="H31" s="160" t="s">
        <v>232</v>
      </c>
      <c r="I31" s="163">
        <f>销量!E8</f>
        <v>0</v>
      </c>
    </row>
    <row r="32" spans="1:9">
      <c r="A32" s="302" t="s">
        <v>222</v>
      </c>
      <c r="B32" s="302"/>
      <c r="C32" s="3"/>
      <c r="D32" s="152"/>
      <c r="E32" s="153">
        <f>$I$31*F32</f>
        <v>0</v>
      </c>
      <c r="F32" s="183">
        <v>5.6219986372455351E-2</v>
      </c>
      <c r="G32" s="153"/>
      <c r="H32" s="154">
        <v>4.48E-2</v>
      </c>
      <c r="I32" s="151">
        <v>4.3099999999999999E-2</v>
      </c>
    </row>
    <row r="33" spans="1:9">
      <c r="A33" s="302" t="s">
        <v>223</v>
      </c>
      <c r="B33" s="179" t="s">
        <v>224</v>
      </c>
      <c r="C33" s="3"/>
      <c r="D33" s="152"/>
      <c r="E33" s="153">
        <f t="shared" ref="E33:E39" si="3">$I$31*F33</f>
        <v>0</v>
      </c>
      <c r="F33" s="154">
        <v>4.4999999999999998E-2</v>
      </c>
      <c r="G33" s="153"/>
      <c r="H33" s="154">
        <v>4.0399999999999998E-2</v>
      </c>
    </row>
    <row r="34" spans="1:9">
      <c r="A34" s="302"/>
      <c r="B34" s="179" t="s">
        <v>225</v>
      </c>
      <c r="C34" s="3"/>
      <c r="D34" s="152"/>
      <c r="E34" s="153">
        <f t="shared" si="3"/>
        <v>0</v>
      </c>
      <c r="F34" s="183">
        <v>1.5075989601076605E-2</v>
      </c>
      <c r="G34" s="153"/>
      <c r="H34" s="154">
        <v>1.66E-2</v>
      </c>
      <c r="I34" s="151">
        <v>2.1700000000000001E-2</v>
      </c>
    </row>
    <row r="35" spans="1:9">
      <c r="A35" s="303" t="s">
        <v>226</v>
      </c>
      <c r="B35" s="304"/>
      <c r="C35" s="156"/>
      <c r="D35" s="157"/>
      <c r="E35" s="153">
        <f t="shared" si="3"/>
        <v>0</v>
      </c>
      <c r="F35" s="182">
        <f>SUM(F32:F34)</f>
        <v>0.11629597597353196</v>
      </c>
      <c r="G35" s="158"/>
      <c r="H35" s="158">
        <f>SUM(H32:H34)</f>
        <v>0.1018</v>
      </c>
      <c r="I35" s="151">
        <f>SUM(I32:I34)</f>
        <v>6.4799999999999996E-2</v>
      </c>
    </row>
    <row r="36" spans="1:9">
      <c r="A36" s="302" t="s">
        <v>47</v>
      </c>
      <c r="B36" s="302"/>
      <c r="C36" s="3"/>
      <c r="D36" s="152"/>
      <c r="E36" s="153">
        <f t="shared" si="3"/>
        <v>0</v>
      </c>
      <c r="F36" s="184">
        <v>0.03</v>
      </c>
      <c r="G36" s="153"/>
      <c r="H36" s="154">
        <f>1.97%+0.75%</f>
        <v>2.7199999999999998E-2</v>
      </c>
    </row>
    <row r="37" spans="1:9">
      <c r="A37" s="305" t="s">
        <v>227</v>
      </c>
      <c r="B37" s="179" t="s">
        <v>224</v>
      </c>
      <c r="C37" s="3"/>
      <c r="D37" s="152"/>
      <c r="E37" s="153">
        <f t="shared" si="3"/>
        <v>0</v>
      </c>
      <c r="F37" s="154">
        <v>7.0000000000000001E-3</v>
      </c>
      <c r="G37" s="153"/>
      <c r="H37" s="154">
        <v>5.3E-3</v>
      </c>
    </row>
    <row r="38" spans="1:9">
      <c r="A38" s="306"/>
      <c r="B38" s="179" t="s">
        <v>225</v>
      </c>
      <c r="C38" s="3"/>
      <c r="D38" s="152"/>
      <c r="E38" s="153">
        <f>$I$31*I38</f>
        <v>0</v>
      </c>
      <c r="F38" s="151">
        <f>2.8%+1.2%</f>
        <v>3.9999999999999994E-2</v>
      </c>
      <c r="G38" s="153"/>
      <c r="H38" s="154">
        <v>3.4099999999999998E-2</v>
      </c>
      <c r="I38" s="151">
        <f>2.8%+1.2%</f>
        <v>3.9999999999999994E-2</v>
      </c>
    </row>
    <row r="39" spans="1:9">
      <c r="A39" s="302" t="s">
        <v>50</v>
      </c>
      <c r="B39" s="302"/>
      <c r="C39" s="3"/>
      <c r="D39" s="152"/>
      <c r="E39" s="153">
        <f t="shared" si="3"/>
        <v>0</v>
      </c>
      <c r="F39" s="154">
        <v>0.04</v>
      </c>
      <c r="G39" s="153"/>
      <c r="H39" s="154">
        <v>1.0999999999999999E-2</v>
      </c>
      <c r="I39" s="151">
        <v>0.03</v>
      </c>
    </row>
    <row r="42" spans="1:9">
      <c r="A42" s="148"/>
      <c r="B42" s="148"/>
      <c r="C42" s="148"/>
      <c r="D42" s="148"/>
      <c r="E42" s="148"/>
      <c r="F42" s="148"/>
      <c r="G42" s="301" t="s">
        <v>219</v>
      </c>
      <c r="H42" s="301"/>
      <c r="I42" s="149"/>
    </row>
    <row r="43" spans="1:9">
      <c r="A43" s="307" t="s">
        <v>220</v>
      </c>
      <c r="B43" s="307"/>
      <c r="C43" s="303" t="s">
        <v>221</v>
      </c>
      <c r="D43" s="308"/>
      <c r="E43" s="308"/>
      <c r="F43" s="308"/>
      <c r="G43" s="308"/>
      <c r="H43" s="304"/>
      <c r="I43" s="150" t="s">
        <v>228</v>
      </c>
    </row>
    <row r="44" spans="1:9" ht="27">
      <c r="A44" s="307"/>
      <c r="B44" s="307"/>
      <c r="C44" s="159" t="s">
        <v>230</v>
      </c>
      <c r="D44" s="159" t="s">
        <v>231</v>
      </c>
      <c r="E44" s="159" t="s">
        <v>229</v>
      </c>
      <c r="F44" s="160" t="s">
        <v>234</v>
      </c>
      <c r="G44" s="160" t="s">
        <v>233</v>
      </c>
      <c r="H44" s="160" t="s">
        <v>232</v>
      </c>
      <c r="I44" s="163">
        <f>销量!F8</f>
        <v>0</v>
      </c>
    </row>
    <row r="45" spans="1:9">
      <c r="A45" s="302" t="s">
        <v>222</v>
      </c>
      <c r="B45" s="302"/>
      <c r="C45" s="3"/>
      <c r="D45" s="152"/>
      <c r="E45" s="153">
        <f>$I$44*F45</f>
        <v>0</v>
      </c>
      <c r="F45" s="183">
        <v>5.6219986372455351E-2</v>
      </c>
      <c r="G45" s="153"/>
      <c r="H45" s="154">
        <v>4.48E-2</v>
      </c>
      <c r="I45" s="151">
        <v>4.3099999999999999E-2</v>
      </c>
    </row>
    <row r="46" spans="1:9">
      <c r="A46" s="302" t="s">
        <v>223</v>
      </c>
      <c r="B46" s="179" t="s">
        <v>224</v>
      </c>
      <c r="C46" s="3"/>
      <c r="D46" s="152"/>
      <c r="E46" s="153">
        <f t="shared" ref="E46:E52" si="4">$I$44*F46</f>
        <v>0</v>
      </c>
      <c r="F46" s="154">
        <v>4.4999999999999998E-2</v>
      </c>
      <c r="G46" s="153"/>
      <c r="H46" s="154">
        <v>4.0399999999999998E-2</v>
      </c>
    </row>
    <row r="47" spans="1:9">
      <c r="A47" s="302"/>
      <c r="B47" s="179" t="s">
        <v>225</v>
      </c>
      <c r="C47" s="3"/>
      <c r="D47" s="152"/>
      <c r="E47" s="153">
        <f t="shared" si="4"/>
        <v>0</v>
      </c>
      <c r="F47" s="183">
        <v>1.5075989601076605E-2</v>
      </c>
      <c r="G47" s="153"/>
      <c r="H47" s="154">
        <v>1.66E-2</v>
      </c>
      <c r="I47" s="151">
        <v>2.1700000000000001E-2</v>
      </c>
    </row>
    <row r="48" spans="1:9">
      <c r="A48" s="303" t="s">
        <v>226</v>
      </c>
      <c r="B48" s="304"/>
      <c r="C48" s="156"/>
      <c r="D48" s="157"/>
      <c r="E48" s="153">
        <f t="shared" si="4"/>
        <v>0</v>
      </c>
      <c r="F48" s="182">
        <f>SUM(F45:F47)</f>
        <v>0.11629597597353196</v>
      </c>
      <c r="G48" s="158"/>
      <c r="H48" s="158">
        <f>SUM(H45:H47)</f>
        <v>0.1018</v>
      </c>
      <c r="I48" s="151">
        <f>SUM(I45:I47)</f>
        <v>6.4799999999999996E-2</v>
      </c>
    </row>
    <row r="49" spans="1:9">
      <c r="A49" s="302" t="s">
        <v>47</v>
      </c>
      <c r="B49" s="302"/>
      <c r="C49" s="3"/>
      <c r="D49" s="152"/>
      <c r="E49" s="153">
        <f t="shared" si="4"/>
        <v>0</v>
      </c>
      <c r="F49" s="184">
        <v>0.03</v>
      </c>
      <c r="G49" s="153"/>
      <c r="H49" s="154">
        <f>1.97%+0.75%</f>
        <v>2.7199999999999998E-2</v>
      </c>
    </row>
    <row r="50" spans="1:9">
      <c r="A50" s="305" t="s">
        <v>227</v>
      </c>
      <c r="B50" s="179" t="s">
        <v>224</v>
      </c>
      <c r="C50" s="3"/>
      <c r="D50" s="152"/>
      <c r="E50" s="153">
        <f t="shared" si="4"/>
        <v>0</v>
      </c>
      <c r="F50" s="154">
        <v>7.0000000000000001E-3</v>
      </c>
      <c r="G50" s="153"/>
      <c r="H50" s="154">
        <v>5.3E-3</v>
      </c>
    </row>
    <row r="51" spans="1:9">
      <c r="A51" s="306"/>
      <c r="B51" s="179" t="s">
        <v>225</v>
      </c>
      <c r="C51" s="3"/>
      <c r="D51" s="152"/>
      <c r="E51" s="153">
        <f>$I$44*I51</f>
        <v>0</v>
      </c>
      <c r="F51" s="151">
        <f>2.8%+1.2%</f>
        <v>3.9999999999999994E-2</v>
      </c>
      <c r="G51" s="153"/>
      <c r="H51" s="154">
        <v>3.4099999999999998E-2</v>
      </c>
      <c r="I51" s="151">
        <f>2.8%+1.2%</f>
        <v>3.9999999999999994E-2</v>
      </c>
    </row>
    <row r="52" spans="1:9">
      <c r="A52" s="302" t="s">
        <v>50</v>
      </c>
      <c r="B52" s="302"/>
      <c r="C52" s="3"/>
      <c r="D52" s="152"/>
      <c r="E52" s="153">
        <f t="shared" si="4"/>
        <v>0</v>
      </c>
      <c r="F52" s="154">
        <v>0.04</v>
      </c>
      <c r="G52" s="153"/>
      <c r="H52" s="154">
        <v>1.0999999999999999E-2</v>
      </c>
      <c r="I52" s="151">
        <v>0.03</v>
      </c>
    </row>
    <row r="55" spans="1:9">
      <c r="A55" s="148"/>
      <c r="B55" s="148"/>
      <c r="C55" s="148"/>
      <c r="D55" s="148"/>
      <c r="E55" s="148"/>
      <c r="F55" s="148"/>
      <c r="G55" s="301" t="s">
        <v>219</v>
      </c>
      <c r="H55" s="301"/>
      <c r="I55" s="149"/>
    </row>
    <row r="56" spans="1:9">
      <c r="A56" s="307" t="s">
        <v>220</v>
      </c>
      <c r="B56" s="307"/>
      <c r="C56" s="303" t="s">
        <v>221</v>
      </c>
      <c r="D56" s="308"/>
      <c r="E56" s="308"/>
      <c r="F56" s="308"/>
      <c r="G56" s="308"/>
      <c r="H56" s="304"/>
      <c r="I56" s="150" t="s">
        <v>228</v>
      </c>
    </row>
    <row r="57" spans="1:9" ht="27">
      <c r="A57" s="307"/>
      <c r="B57" s="307"/>
      <c r="C57" s="159" t="s">
        <v>230</v>
      </c>
      <c r="D57" s="159" t="s">
        <v>231</v>
      </c>
      <c r="E57" s="159" t="s">
        <v>229</v>
      </c>
      <c r="F57" s="160" t="s">
        <v>234</v>
      </c>
      <c r="G57" s="160" t="s">
        <v>233</v>
      </c>
      <c r="H57" s="160" t="s">
        <v>232</v>
      </c>
      <c r="I57" s="163">
        <f>销量!G8</f>
        <v>0</v>
      </c>
    </row>
    <row r="58" spans="1:9">
      <c r="A58" s="302" t="s">
        <v>222</v>
      </c>
      <c r="B58" s="302"/>
      <c r="C58" s="3"/>
      <c r="D58" s="152"/>
      <c r="E58" s="153">
        <f>$I$57*F58</f>
        <v>0</v>
      </c>
      <c r="F58" s="183">
        <v>5.6219986372455351E-2</v>
      </c>
      <c r="G58" s="153"/>
      <c r="H58" s="154">
        <v>4.48E-2</v>
      </c>
      <c r="I58" s="151">
        <v>4.3099999999999999E-2</v>
      </c>
    </row>
    <row r="59" spans="1:9">
      <c r="A59" s="302" t="s">
        <v>223</v>
      </c>
      <c r="B59" s="179" t="s">
        <v>224</v>
      </c>
      <c r="C59" s="3"/>
      <c r="D59" s="152"/>
      <c r="E59" s="153">
        <f t="shared" ref="E59:E65" si="5">$I$57*F59</f>
        <v>0</v>
      </c>
      <c r="F59" s="154">
        <v>4.4999999999999998E-2</v>
      </c>
      <c r="G59" s="153"/>
      <c r="H59" s="154">
        <v>4.0399999999999998E-2</v>
      </c>
    </row>
    <row r="60" spans="1:9">
      <c r="A60" s="302"/>
      <c r="B60" s="179" t="s">
        <v>225</v>
      </c>
      <c r="C60" s="3"/>
      <c r="D60" s="152"/>
      <c r="E60" s="153">
        <f t="shared" si="5"/>
        <v>0</v>
      </c>
      <c r="F60" s="183">
        <v>1.5075989601076605E-2</v>
      </c>
      <c r="G60" s="153"/>
      <c r="H60" s="154">
        <v>1.66E-2</v>
      </c>
      <c r="I60" s="151">
        <v>2.1700000000000001E-2</v>
      </c>
    </row>
    <row r="61" spans="1:9">
      <c r="A61" s="303" t="s">
        <v>226</v>
      </c>
      <c r="B61" s="304"/>
      <c r="C61" s="156"/>
      <c r="D61" s="157"/>
      <c r="E61" s="153">
        <f t="shared" si="5"/>
        <v>0</v>
      </c>
      <c r="F61" s="182">
        <f>SUM(F58:F60)</f>
        <v>0.11629597597353196</v>
      </c>
      <c r="G61" s="158"/>
      <c r="H61" s="158">
        <f>SUM(H58:H60)</f>
        <v>0.1018</v>
      </c>
      <c r="I61" s="151">
        <f>SUM(I58:I60)</f>
        <v>6.4799999999999996E-2</v>
      </c>
    </row>
    <row r="62" spans="1:9">
      <c r="A62" s="302" t="s">
        <v>47</v>
      </c>
      <c r="B62" s="302"/>
      <c r="C62" s="3"/>
      <c r="D62" s="152"/>
      <c r="E62" s="153">
        <f t="shared" si="5"/>
        <v>0</v>
      </c>
      <c r="F62" s="184">
        <v>0.03</v>
      </c>
      <c r="G62" s="153"/>
      <c r="H62" s="154">
        <f>1.97%+0.75%</f>
        <v>2.7199999999999998E-2</v>
      </c>
    </row>
    <row r="63" spans="1:9">
      <c r="A63" s="305" t="s">
        <v>227</v>
      </c>
      <c r="B63" s="179" t="s">
        <v>224</v>
      </c>
      <c r="C63" s="3"/>
      <c r="D63" s="152"/>
      <c r="E63" s="153">
        <f t="shared" si="5"/>
        <v>0</v>
      </c>
      <c r="F63" s="154">
        <v>7.0000000000000001E-3</v>
      </c>
      <c r="G63" s="153"/>
      <c r="H63" s="154">
        <v>5.3E-3</v>
      </c>
    </row>
    <row r="64" spans="1:9">
      <c r="A64" s="306"/>
      <c r="B64" s="179" t="s">
        <v>225</v>
      </c>
      <c r="C64" s="3"/>
      <c r="D64" s="152"/>
      <c r="E64" s="153">
        <f>$I$57*I64</f>
        <v>0</v>
      </c>
      <c r="F64" s="151">
        <f>2.8%+1.2%</f>
        <v>3.9999999999999994E-2</v>
      </c>
      <c r="G64" s="153"/>
      <c r="H64" s="154">
        <v>3.4099999999999998E-2</v>
      </c>
      <c r="I64" s="151">
        <f>2.8%+1.2%</f>
        <v>3.9999999999999994E-2</v>
      </c>
    </row>
    <row r="65" spans="1:9">
      <c r="A65" s="302" t="s">
        <v>50</v>
      </c>
      <c r="B65" s="302"/>
      <c r="C65" s="3"/>
      <c r="D65" s="152"/>
      <c r="E65" s="153">
        <f t="shared" si="5"/>
        <v>0</v>
      </c>
      <c r="F65" s="154">
        <v>0.04</v>
      </c>
      <c r="G65" s="153"/>
      <c r="H65" s="154">
        <v>1.0999999999999999E-2</v>
      </c>
      <c r="I65" s="151">
        <v>0.03</v>
      </c>
    </row>
    <row r="68" spans="1:9">
      <c r="A68" s="148"/>
      <c r="B68" s="148"/>
      <c r="C68" s="148"/>
      <c r="D68" s="148"/>
      <c r="E68" s="148"/>
      <c r="F68" s="148"/>
      <c r="G68" s="301" t="s">
        <v>219</v>
      </c>
      <c r="H68" s="301"/>
      <c r="I68" s="149"/>
    </row>
    <row r="69" spans="1:9">
      <c r="A69" s="307" t="s">
        <v>220</v>
      </c>
      <c r="B69" s="307"/>
      <c r="C69" s="303" t="s">
        <v>221</v>
      </c>
      <c r="D69" s="308"/>
      <c r="E69" s="308"/>
      <c r="F69" s="308"/>
      <c r="G69" s="308"/>
      <c r="H69" s="304"/>
      <c r="I69" s="150" t="s">
        <v>228</v>
      </c>
    </row>
    <row r="70" spans="1:9" ht="27">
      <c r="A70" s="307"/>
      <c r="B70" s="307"/>
      <c r="C70" s="159" t="s">
        <v>230</v>
      </c>
      <c r="D70" s="159" t="s">
        <v>231</v>
      </c>
      <c r="E70" s="159" t="s">
        <v>229</v>
      </c>
      <c r="F70" s="160" t="s">
        <v>234</v>
      </c>
      <c r="G70" s="160" t="s">
        <v>233</v>
      </c>
      <c r="H70" s="160" t="s">
        <v>232</v>
      </c>
      <c r="I70" s="163">
        <f>销量!H8</f>
        <v>0</v>
      </c>
    </row>
    <row r="71" spans="1:9">
      <c r="A71" s="302" t="s">
        <v>222</v>
      </c>
      <c r="B71" s="302"/>
      <c r="C71" s="3"/>
      <c r="D71" s="152"/>
      <c r="E71" s="153">
        <f>$I$70*F71</f>
        <v>0</v>
      </c>
      <c r="F71" s="183">
        <v>5.6219986372455351E-2</v>
      </c>
      <c r="G71" s="153"/>
      <c r="H71" s="154">
        <v>4.48E-2</v>
      </c>
      <c r="I71" s="151">
        <v>4.3099999999999999E-2</v>
      </c>
    </row>
    <row r="72" spans="1:9">
      <c r="A72" s="302" t="s">
        <v>223</v>
      </c>
      <c r="B72" s="179" t="s">
        <v>224</v>
      </c>
      <c r="C72" s="3"/>
      <c r="D72" s="152"/>
      <c r="E72" s="153">
        <f t="shared" ref="E72:E78" si="6">$I$70*F72</f>
        <v>0</v>
      </c>
      <c r="F72" s="154">
        <v>4.4999999999999998E-2</v>
      </c>
      <c r="G72" s="153"/>
      <c r="H72" s="154">
        <v>4.0399999999999998E-2</v>
      </c>
    </row>
    <row r="73" spans="1:9">
      <c r="A73" s="302"/>
      <c r="B73" s="179" t="s">
        <v>225</v>
      </c>
      <c r="C73" s="3"/>
      <c r="D73" s="152"/>
      <c r="E73" s="153">
        <f t="shared" si="6"/>
        <v>0</v>
      </c>
      <c r="F73" s="183">
        <v>1.5075989601076605E-2</v>
      </c>
      <c r="G73" s="153"/>
      <c r="H73" s="154">
        <v>1.66E-2</v>
      </c>
      <c r="I73" s="151">
        <v>2.1700000000000001E-2</v>
      </c>
    </row>
    <row r="74" spans="1:9">
      <c r="A74" s="303" t="s">
        <v>226</v>
      </c>
      <c r="B74" s="304"/>
      <c r="C74" s="156"/>
      <c r="D74" s="157"/>
      <c r="E74" s="153">
        <f t="shared" si="6"/>
        <v>0</v>
      </c>
      <c r="F74" s="182">
        <f>SUM(F71:F73)</f>
        <v>0.11629597597353196</v>
      </c>
      <c r="G74" s="158"/>
      <c r="H74" s="158">
        <f>SUM(H71:H73)</f>
        <v>0.1018</v>
      </c>
      <c r="I74" s="151">
        <f>SUM(I71:I73)</f>
        <v>6.4799999999999996E-2</v>
      </c>
    </row>
    <row r="75" spans="1:9">
      <c r="A75" s="302" t="s">
        <v>47</v>
      </c>
      <c r="B75" s="302"/>
      <c r="C75" s="3"/>
      <c r="D75" s="152"/>
      <c r="E75" s="153">
        <f t="shared" si="6"/>
        <v>0</v>
      </c>
      <c r="F75" s="184">
        <v>0.03</v>
      </c>
      <c r="G75" s="153"/>
      <c r="H75" s="154">
        <f>1.97%+0.75%</f>
        <v>2.7199999999999998E-2</v>
      </c>
    </row>
    <row r="76" spans="1:9">
      <c r="A76" s="305" t="s">
        <v>227</v>
      </c>
      <c r="B76" s="179" t="s">
        <v>224</v>
      </c>
      <c r="C76" s="3"/>
      <c r="D76" s="152"/>
      <c r="E76" s="153">
        <f t="shared" si="6"/>
        <v>0</v>
      </c>
      <c r="F76" s="154">
        <v>7.0000000000000001E-3</v>
      </c>
      <c r="G76" s="153"/>
      <c r="H76" s="154">
        <v>5.3E-3</v>
      </c>
    </row>
    <row r="77" spans="1:9">
      <c r="A77" s="306"/>
      <c r="B77" s="179" t="s">
        <v>225</v>
      </c>
      <c r="C77" s="3"/>
      <c r="D77" s="152"/>
      <c r="E77" s="153">
        <f>$I$70*I77</f>
        <v>0</v>
      </c>
      <c r="F77" s="151">
        <f>2.8%+1.2%</f>
        <v>3.9999999999999994E-2</v>
      </c>
      <c r="G77" s="153"/>
      <c r="H77" s="154">
        <v>3.4099999999999998E-2</v>
      </c>
      <c r="I77" s="151">
        <f>2.8%+1.2%</f>
        <v>3.9999999999999994E-2</v>
      </c>
    </row>
    <row r="78" spans="1:9">
      <c r="A78" s="302" t="s">
        <v>50</v>
      </c>
      <c r="B78" s="302"/>
      <c r="C78" s="3"/>
      <c r="D78" s="152"/>
      <c r="E78" s="153">
        <f t="shared" si="6"/>
        <v>0</v>
      </c>
      <c r="F78" s="154">
        <v>0.04</v>
      </c>
      <c r="G78" s="153"/>
      <c r="H78" s="154">
        <v>1.0999999999999999E-2</v>
      </c>
      <c r="I78" s="151">
        <v>0.03</v>
      </c>
    </row>
  </sheetData>
  <mergeCells count="54"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6"/>
  <sheetViews>
    <sheetView workbookViewId="0">
      <selection activeCell="D18" sqref="D18"/>
    </sheetView>
  </sheetViews>
  <sheetFormatPr defaultRowHeight="13.5"/>
  <cols>
    <col min="2" max="2" width="19.375" bestFit="1" customWidth="1"/>
    <col min="3" max="3" width="11.875" customWidth="1"/>
    <col min="4" max="4" width="13.375" customWidth="1"/>
    <col min="5" max="5" width="15.125" bestFit="1" customWidth="1"/>
    <col min="6" max="6" width="9.5" bestFit="1" customWidth="1"/>
    <col min="7" max="7" width="14.875" customWidth="1"/>
  </cols>
  <sheetData>
    <row r="2" spans="2:8" ht="18.75">
      <c r="B2" s="309" t="s">
        <v>262</v>
      </c>
      <c r="C2" s="309"/>
      <c r="D2" s="309"/>
      <c r="E2" s="309"/>
      <c r="F2" s="309"/>
      <c r="G2" s="309"/>
      <c r="H2" s="309"/>
    </row>
    <row r="3" spans="2:8">
      <c r="B3" s="195" t="s">
        <v>263</v>
      </c>
      <c r="C3" s="196" t="s">
        <v>264</v>
      </c>
      <c r="D3" s="196" t="s">
        <v>265</v>
      </c>
      <c r="E3" s="197" t="s">
        <v>266</v>
      </c>
      <c r="F3" s="198" t="s">
        <v>267</v>
      </c>
      <c r="G3" s="199" t="s">
        <v>268</v>
      </c>
      <c r="H3" s="198" t="s">
        <v>269</v>
      </c>
    </row>
    <row r="4" spans="2:8" ht="16.5">
      <c r="B4" s="200" t="str">
        <f>销量!C6</f>
        <v>DZ15221519945</v>
      </c>
      <c r="C4" s="201" t="str">
        <f>销量!C5</f>
        <v>司机座椅</v>
      </c>
      <c r="D4" s="202">
        <f>材料成本!D33</f>
        <v>1131.9072128333335</v>
      </c>
      <c r="E4" s="203">
        <f>销量!C8</f>
        <v>1495</v>
      </c>
      <c r="F4" s="31">
        <f>E4-D4</f>
        <v>363.09278716666654</v>
      </c>
      <c r="G4" s="204">
        <f>F4/E4</f>
        <v>0.24287142954292076</v>
      </c>
      <c r="H4" s="1"/>
    </row>
    <row r="5" spans="2:8" ht="16.5">
      <c r="B5" s="200" t="str">
        <f>销量!D6</f>
        <v>副司机暂无</v>
      </c>
      <c r="C5" s="201" t="str">
        <f>销量!D5</f>
        <v>副司机座椅</v>
      </c>
      <c r="D5" s="202">
        <f>材料成本!E33</f>
        <v>397.24</v>
      </c>
      <c r="E5" s="203">
        <f>销量!D8</f>
        <v>530</v>
      </c>
      <c r="F5" s="205">
        <f>E5-D5</f>
        <v>132.76</v>
      </c>
      <c r="G5" s="204">
        <f t="shared" ref="G5:G6" si="0">F5/E5</f>
        <v>0.25049056603773584</v>
      </c>
      <c r="H5" s="188"/>
    </row>
    <row r="6" spans="2:8">
      <c r="B6" s="188" t="s">
        <v>300</v>
      </c>
      <c r="C6" s="2"/>
      <c r="D6" s="239">
        <f>D4+D5</f>
        <v>1529.1472128333335</v>
      </c>
      <c r="E6" s="239">
        <f>E4+E5</f>
        <v>2025</v>
      </c>
      <c r="F6" s="205">
        <f>E6-D6</f>
        <v>495.85278716666653</v>
      </c>
      <c r="G6" s="204">
        <f t="shared" si="0"/>
        <v>0.24486557390946495</v>
      </c>
      <c r="H6" s="2"/>
    </row>
  </sheetData>
  <mergeCells count="1">
    <mergeCell ref="B2:H2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10" activePane="bottomRight" state="frozen"/>
      <selection pane="topRight"/>
      <selection pane="bottomLeft"/>
      <selection pane="bottomRight" activeCell="B19" sqref="B19"/>
    </sheetView>
  </sheetViews>
  <sheetFormatPr defaultColWidth="9" defaultRowHeight="16.5"/>
  <cols>
    <col min="1" max="1" width="5.125" style="111" customWidth="1"/>
    <col min="2" max="2" width="35.75" style="111" customWidth="1"/>
    <col min="3" max="3" width="14.5" style="112" customWidth="1"/>
    <col min="4" max="7" width="13" style="112" customWidth="1"/>
    <col min="8" max="8" width="16.5" style="112" customWidth="1"/>
    <col min="9" max="9" width="15.5" style="111" customWidth="1"/>
    <col min="10" max="35" width="9" style="111"/>
    <col min="36" max="36" width="4.375" style="111" customWidth="1"/>
    <col min="37" max="37" width="13.875" style="111" customWidth="1"/>
    <col min="38" max="16384" width="9" style="111"/>
  </cols>
  <sheetData>
    <row r="1" spans="1:38" ht="27" customHeight="1">
      <c r="A1" s="242" t="s">
        <v>303</v>
      </c>
      <c r="B1" s="242"/>
      <c r="C1" s="242"/>
      <c r="D1" s="242"/>
      <c r="E1" s="242"/>
      <c r="F1" s="242"/>
      <c r="G1" s="242"/>
      <c r="H1" s="242"/>
    </row>
    <row r="2" spans="1:38" ht="15.75" customHeight="1">
      <c r="A2" s="243" t="s">
        <v>15</v>
      </c>
      <c r="B2" s="113" t="s">
        <v>1</v>
      </c>
      <c r="C2" s="113" t="s">
        <v>244</v>
      </c>
      <c r="D2" s="113" t="s">
        <v>245</v>
      </c>
      <c r="E2" s="113" t="s">
        <v>246</v>
      </c>
      <c r="F2" s="113" t="s">
        <v>247</v>
      </c>
      <c r="G2" s="113" t="s">
        <v>248</v>
      </c>
      <c r="H2" s="52" t="s">
        <v>17</v>
      </c>
      <c r="AL2" s="111" t="s">
        <v>18</v>
      </c>
    </row>
    <row r="3" spans="1:38" s="49" customFormat="1" ht="15.75" customHeight="1">
      <c r="A3" s="244"/>
      <c r="B3" s="54" t="s">
        <v>3</v>
      </c>
      <c r="C3" s="114">
        <f>'2022年'!E6</f>
        <v>2000</v>
      </c>
      <c r="D3" s="114">
        <f>'2023年'!E6</f>
        <v>20000</v>
      </c>
      <c r="E3" s="114">
        <f>'2024年'!E6</f>
        <v>60000</v>
      </c>
      <c r="F3" s="114">
        <f>'2025年'!E6</f>
        <v>60000</v>
      </c>
      <c r="G3" s="114">
        <f>'2026年'!E6</f>
        <v>60000</v>
      </c>
      <c r="H3" s="114">
        <f>SUM(C3:G3)</f>
        <v>202000</v>
      </c>
      <c r="I3" s="70"/>
      <c r="AJ3" s="53" t="s">
        <v>15</v>
      </c>
      <c r="AK3" s="54" t="s">
        <v>3</v>
      </c>
      <c r="AL3" s="49" t="s">
        <v>19</v>
      </c>
    </row>
    <row r="4" spans="1:38" s="49" customFormat="1" ht="15.75" customHeight="1">
      <c r="A4" s="63">
        <v>1</v>
      </c>
      <c r="B4" s="54" t="s">
        <v>20</v>
      </c>
      <c r="C4" s="114">
        <f>'2022年'!E7</f>
        <v>2025000</v>
      </c>
      <c r="D4" s="114">
        <f>'2023年'!E7</f>
        <v>20250000</v>
      </c>
      <c r="E4" s="114">
        <f>'2024年'!E7</f>
        <v>60750000</v>
      </c>
      <c r="F4" s="114">
        <f>'2025年'!E7</f>
        <v>60750000</v>
      </c>
      <c r="G4" s="114">
        <f>'2026年'!E7</f>
        <v>60750000</v>
      </c>
      <c r="H4" s="114">
        <f t="shared" ref="H4:H10" si="0">SUM(C4:G4)</f>
        <v>204525000</v>
      </c>
      <c r="I4" s="70"/>
      <c r="AJ4" s="53" t="s">
        <v>21</v>
      </c>
      <c r="AK4" s="54" t="s">
        <v>20</v>
      </c>
      <c r="AL4" s="49" t="s">
        <v>19</v>
      </c>
    </row>
    <row r="5" spans="1:38" s="49" customFormat="1" ht="15.75" customHeight="1">
      <c r="A5" s="63">
        <v>2</v>
      </c>
      <c r="B5" s="51" t="s">
        <v>22</v>
      </c>
      <c r="C5" s="114">
        <f>'2022年'!E8</f>
        <v>0</v>
      </c>
      <c r="D5" s="114">
        <f>'2023年'!E8</f>
        <v>810000.0000000007</v>
      </c>
      <c r="E5" s="114">
        <f>'2024年'!E8</f>
        <v>4762800.0000000019</v>
      </c>
      <c r="F5" s="114">
        <f>'2025年'!E8</f>
        <v>7002288.0000000093</v>
      </c>
      <c r="G5" s="114">
        <f>'2026年'!E8</f>
        <v>9152196.4800000079</v>
      </c>
      <c r="H5" s="114">
        <f t="shared" si="0"/>
        <v>21727284.480000019</v>
      </c>
      <c r="I5" s="70"/>
      <c r="AJ5" s="53" t="s">
        <v>23</v>
      </c>
      <c r="AK5" s="51" t="s">
        <v>24</v>
      </c>
      <c r="AL5" s="49" t="s">
        <v>19</v>
      </c>
    </row>
    <row r="6" spans="1:38" s="49" customFormat="1" ht="15.75" customHeight="1">
      <c r="A6" s="63">
        <v>3</v>
      </c>
      <c r="B6" s="54" t="s">
        <v>25</v>
      </c>
      <c r="C6" s="115">
        <f>+C4-C5</f>
        <v>2025000</v>
      </c>
      <c r="D6" s="115">
        <f>'2023年'!E9</f>
        <v>19440000</v>
      </c>
      <c r="E6" s="115">
        <f>'2024年'!E9</f>
        <v>55987200</v>
      </c>
      <c r="F6" s="115">
        <f>'2025年'!E9</f>
        <v>53747711.999999993</v>
      </c>
      <c r="G6" s="115">
        <f>'2026年'!E9</f>
        <v>51597803.519999988</v>
      </c>
      <c r="H6" s="114">
        <f t="shared" si="0"/>
        <v>182797715.51999998</v>
      </c>
      <c r="I6" s="70"/>
      <c r="AJ6" s="53" t="s">
        <v>26</v>
      </c>
      <c r="AK6" s="54" t="s">
        <v>25</v>
      </c>
      <c r="AL6" s="49" t="s">
        <v>27</v>
      </c>
    </row>
    <row r="7" spans="1:38" s="49" customFormat="1" ht="15.75" customHeight="1">
      <c r="A7" s="63">
        <v>4</v>
      </c>
      <c r="B7" s="53" t="s">
        <v>28</v>
      </c>
      <c r="C7" s="114">
        <f>'2022年'!E10</f>
        <v>1529147.2128333335</v>
      </c>
      <c r="D7" s="114">
        <f>'2023年'!E10</f>
        <v>14679813.2432</v>
      </c>
      <c r="E7" s="114">
        <f>'2024年'!E10</f>
        <v>42277862.140415996</v>
      </c>
      <c r="F7" s="114">
        <f>'2025年'!E10</f>
        <v>40586747.654799357</v>
      </c>
      <c r="G7" s="114">
        <f>'2026年'!E10</f>
        <v>38963277.748607382</v>
      </c>
      <c r="H7" s="114">
        <f t="shared" si="0"/>
        <v>138036847.99985605</v>
      </c>
      <c r="I7" s="70"/>
      <c r="AJ7" s="53" t="s">
        <v>29</v>
      </c>
      <c r="AK7" s="53" t="s">
        <v>28</v>
      </c>
      <c r="AL7" s="49" t="s">
        <v>30</v>
      </c>
    </row>
    <row r="8" spans="1:38" s="49" customFormat="1" ht="15.75" customHeight="1">
      <c r="A8" s="63">
        <v>5</v>
      </c>
      <c r="B8" s="53" t="s">
        <v>31</v>
      </c>
      <c r="C8" s="114">
        <f>'2022年'!E11</f>
        <v>113845.47240422209</v>
      </c>
      <c r="D8" s="114">
        <f>'2023年'!E11</f>
        <v>1138454.724042221</v>
      </c>
      <c r="E8" s="114">
        <f>'2024年'!E11</f>
        <v>3415364.1721266625</v>
      </c>
      <c r="F8" s="114">
        <f>'2025年'!E11</f>
        <v>3415364.1721266625</v>
      </c>
      <c r="G8" s="114">
        <f>'2026年'!E11</f>
        <v>3415364.1721266625</v>
      </c>
      <c r="H8" s="114">
        <f t="shared" si="0"/>
        <v>11498392.712826429</v>
      </c>
      <c r="I8" s="70"/>
      <c r="AJ8" s="53" t="s">
        <v>32</v>
      </c>
      <c r="AK8" s="53" t="s">
        <v>31</v>
      </c>
    </row>
    <row r="9" spans="1:38" s="49" customFormat="1" ht="15.75" customHeight="1">
      <c r="A9" s="63">
        <v>6</v>
      </c>
      <c r="B9" s="53" t="s">
        <v>33</v>
      </c>
      <c r="C9" s="114">
        <f>'2022年'!E12</f>
        <v>30528.878942180123</v>
      </c>
      <c r="D9" s="114">
        <f>'2023年'!E12</f>
        <v>305288.78942180122</v>
      </c>
      <c r="E9" s="114">
        <f>'2024年'!E12</f>
        <v>915866.36826540367</v>
      </c>
      <c r="F9" s="114">
        <f>'2025年'!E12</f>
        <v>915866.36826540367</v>
      </c>
      <c r="G9" s="114">
        <f>'2026年'!E12</f>
        <v>915866.36826540367</v>
      </c>
      <c r="H9" s="114">
        <f t="shared" si="0"/>
        <v>3083416.7731601922</v>
      </c>
      <c r="I9" s="70"/>
      <c r="AJ9" s="53" t="s">
        <v>34</v>
      </c>
      <c r="AK9" s="53" t="s">
        <v>33</v>
      </c>
    </row>
    <row r="10" spans="1:38" s="49" customFormat="1" ht="15.75" customHeight="1">
      <c r="A10" s="63">
        <v>7</v>
      </c>
      <c r="B10" s="116" t="s">
        <v>35</v>
      </c>
      <c r="C10" s="114">
        <f>'2022年'!E13</f>
        <v>80999.999999999985</v>
      </c>
      <c r="D10" s="114">
        <f>'2023年'!E13</f>
        <v>809999.99999999988</v>
      </c>
      <c r="E10" s="114">
        <f>'2024年'!E13</f>
        <v>2429999.9999999995</v>
      </c>
      <c r="F10" s="114">
        <f>'2025年'!E13</f>
        <v>2429999.9999999995</v>
      </c>
      <c r="G10" s="114">
        <f>'2026年'!E13</f>
        <v>2429999.9999999995</v>
      </c>
      <c r="H10" s="114">
        <f t="shared" si="0"/>
        <v>8180999.9999999981</v>
      </c>
      <c r="I10" s="70"/>
      <c r="AJ10" s="53" t="s">
        <v>36</v>
      </c>
      <c r="AK10" s="53" t="s">
        <v>35</v>
      </c>
      <c r="AL10" s="49" t="s">
        <v>19</v>
      </c>
    </row>
    <row r="11" spans="1:38" s="49" customFormat="1" ht="15.75" customHeight="1">
      <c r="A11" s="63">
        <v>8</v>
      </c>
      <c r="B11" s="117" t="s">
        <v>37</v>
      </c>
      <c r="C11" s="118">
        <f>'2022年'!E14</f>
        <v>225374.3513464022</v>
      </c>
      <c r="D11" s="118">
        <f>'2023年'!E14</f>
        <v>2253743.513464022</v>
      </c>
      <c r="E11" s="118">
        <f>'2024年'!E14</f>
        <v>6761230.5403920664</v>
      </c>
      <c r="F11" s="118">
        <f>'2025年'!E14</f>
        <v>6761230.5403920664</v>
      </c>
      <c r="G11" s="118">
        <f>'2026年'!E14</f>
        <v>6761230.5403920664</v>
      </c>
      <c r="H11" s="118">
        <f>SUM(C11:G11)</f>
        <v>22762809.485986624</v>
      </c>
      <c r="I11" s="70"/>
      <c r="AJ11" s="53" t="s">
        <v>38</v>
      </c>
      <c r="AK11" s="56" t="s">
        <v>37</v>
      </c>
    </row>
    <row r="12" spans="1:38" s="49" customFormat="1" ht="15.75" customHeight="1">
      <c r="A12" s="63">
        <v>9</v>
      </c>
      <c r="B12" s="119" t="s">
        <v>39</v>
      </c>
      <c r="C12" s="114">
        <f>'2022年'!E15</f>
        <v>270478.43582026428</v>
      </c>
      <c r="D12" s="114">
        <f>'2023年'!E15</f>
        <v>2506443.2433359777</v>
      </c>
      <c r="E12" s="114">
        <f>'2024年'!E15</f>
        <v>6948107.3191919355</v>
      </c>
      <c r="F12" s="114">
        <f>'2025年'!E15</f>
        <v>6399733.8048085691</v>
      </c>
      <c r="G12" s="114">
        <f>'2026年'!E15</f>
        <v>5873295.2310005417</v>
      </c>
      <c r="H12" s="114">
        <f>H6-H7-H11</f>
        <v>21998058.034157302</v>
      </c>
      <c r="I12" s="70"/>
      <c r="K12" s="111"/>
      <c r="L12" s="111"/>
      <c r="M12" s="111"/>
      <c r="N12" s="111"/>
      <c r="O12" s="111"/>
      <c r="P12" s="111"/>
      <c r="AJ12" s="53" t="s">
        <v>40</v>
      </c>
      <c r="AK12" s="56" t="s">
        <v>39</v>
      </c>
    </row>
    <row r="13" spans="1:38" ht="15.75" customHeight="1">
      <c r="A13" s="63">
        <v>10</v>
      </c>
      <c r="B13" s="120" t="s">
        <v>41</v>
      </c>
      <c r="C13" s="121">
        <f>+C12/C6</f>
        <v>0.13356959793593298</v>
      </c>
      <c r="D13" s="121">
        <f>'2023年'!E16</f>
        <v>0.12893226560370255</v>
      </c>
      <c r="E13" s="121">
        <f>'2024年'!E16</f>
        <v>0.12410171109096249</v>
      </c>
      <c r="F13" s="121">
        <f>'2025年'!E16</f>
        <v>0.11906988347352479</v>
      </c>
      <c r="G13" s="121">
        <f>'2026年'!E16</f>
        <v>0.11382839637202725</v>
      </c>
      <c r="H13" s="121">
        <f>+H12/H6</f>
        <v>0.12034098988370828</v>
      </c>
      <c r="I13" s="70"/>
      <c r="AJ13" s="120" t="s">
        <v>42</v>
      </c>
      <c r="AK13" s="120" t="s">
        <v>41</v>
      </c>
    </row>
    <row r="14" spans="1:38" ht="15.75" customHeight="1">
      <c r="A14" s="63">
        <v>11</v>
      </c>
      <c r="B14" s="120" t="s">
        <v>43</v>
      </c>
      <c r="C14" s="114">
        <f>'2022年'!E17</f>
        <v>148505</v>
      </c>
      <c r="D14" s="114">
        <f>'2023年'!E17</f>
        <v>968629.99999999988</v>
      </c>
      <c r="E14" s="114">
        <f>'2024年'!E17</f>
        <v>2791129.9999999995</v>
      </c>
      <c r="F14" s="114">
        <f>'2025年'!E17</f>
        <v>2791129.9999999995</v>
      </c>
      <c r="G14" s="114">
        <f>'2026年'!E17</f>
        <v>2791129.9999999995</v>
      </c>
      <c r="H14" s="114">
        <f t="shared" ref="H14" si="1">SUM(C14:G14)</f>
        <v>9490524.9999999981</v>
      </c>
      <c r="I14" s="70"/>
      <c r="AJ14" s="120" t="s">
        <v>44</v>
      </c>
      <c r="AK14" s="120" t="s">
        <v>43</v>
      </c>
    </row>
    <row r="15" spans="1:38" ht="15.75" hidden="1" customHeight="1">
      <c r="A15" s="161"/>
      <c r="B15" s="120"/>
      <c r="C15" s="114"/>
      <c r="D15" s="114"/>
      <c r="E15" s="114"/>
      <c r="F15" s="114"/>
      <c r="G15" s="114"/>
      <c r="H15" s="114"/>
      <c r="I15" s="70"/>
      <c r="AJ15" s="120"/>
      <c r="AK15" s="120"/>
    </row>
    <row r="16" spans="1:38" ht="15.75" customHeight="1">
      <c r="A16" s="63">
        <v>12</v>
      </c>
      <c r="B16" s="120" t="s">
        <v>45</v>
      </c>
      <c r="C16" s="122">
        <f>'2022年'!E19</f>
        <v>14175</v>
      </c>
      <c r="D16" s="122">
        <f>'2023年'!E19</f>
        <v>141750</v>
      </c>
      <c r="E16" s="122">
        <f>'2024年'!E19</f>
        <v>425250</v>
      </c>
      <c r="F16" s="122">
        <f>'2025年'!E19</f>
        <v>425250</v>
      </c>
      <c r="G16" s="122">
        <f>'2026年'!E19</f>
        <v>425250</v>
      </c>
      <c r="H16" s="114">
        <f>SUM(C16:G16)</f>
        <v>1431675</v>
      </c>
      <c r="I16" s="70"/>
      <c r="Q16" s="70"/>
      <c r="AJ16" s="120" t="s">
        <v>46</v>
      </c>
      <c r="AK16" s="120" t="s">
        <v>45</v>
      </c>
      <c r="AL16" s="111" t="s">
        <v>19</v>
      </c>
    </row>
    <row r="17" spans="1:38" ht="15.75" customHeight="1">
      <c r="A17" s="63">
        <v>13</v>
      </c>
      <c r="B17" s="120" t="s">
        <v>47</v>
      </c>
      <c r="C17" s="122">
        <f>'2022年'!E20</f>
        <v>60750</v>
      </c>
      <c r="D17" s="122">
        <f>'2023年'!E20</f>
        <v>607500</v>
      </c>
      <c r="E17" s="122">
        <f>'2024年'!E20</f>
        <v>1822500</v>
      </c>
      <c r="F17" s="122">
        <f>'2025年'!E20</f>
        <v>1822500</v>
      </c>
      <c r="G17" s="122">
        <f>'2026年'!E20</f>
        <v>1822500</v>
      </c>
      <c r="H17" s="114">
        <f t="shared" ref="H17:H19" si="2">SUM(C17:G17)</f>
        <v>6135750</v>
      </c>
      <c r="I17" s="70"/>
      <c r="AJ17" s="120" t="s">
        <v>48</v>
      </c>
      <c r="AK17" s="120" t="s">
        <v>47</v>
      </c>
    </row>
    <row r="18" spans="1:38" s="48" customFormat="1" ht="15.75" customHeight="1">
      <c r="A18" s="63">
        <v>14</v>
      </c>
      <c r="B18" s="61" t="s">
        <v>49</v>
      </c>
      <c r="C18" s="123">
        <f>'2022年'!E21</f>
        <v>97700</v>
      </c>
      <c r="D18" s="123">
        <f>'2023年'!E21</f>
        <v>97700</v>
      </c>
      <c r="E18" s="123">
        <f>'2024年'!E21</f>
        <v>97700</v>
      </c>
      <c r="F18" s="123">
        <f>'2025年'!E21</f>
        <v>97700</v>
      </c>
      <c r="G18" s="123">
        <f>'2026年'!E21</f>
        <v>97700</v>
      </c>
      <c r="H18" s="114">
        <f t="shared" si="2"/>
        <v>488500</v>
      </c>
      <c r="I18" s="70"/>
      <c r="J18" s="48" t="s">
        <v>302</v>
      </c>
      <c r="AJ18" s="61"/>
      <c r="AK18" s="61"/>
    </row>
    <row r="19" spans="1:38" s="49" customFormat="1" ht="15.75" customHeight="1">
      <c r="A19" s="63">
        <v>15</v>
      </c>
      <c r="B19" s="53" t="s">
        <v>50</v>
      </c>
      <c r="C19" s="122">
        <f>'2022年'!E22</f>
        <v>81000</v>
      </c>
      <c r="D19" s="122">
        <f>'2023年'!E22</f>
        <v>810000</v>
      </c>
      <c r="E19" s="122">
        <f>'2024年'!E22</f>
        <v>2430000</v>
      </c>
      <c r="F19" s="122">
        <f>'2025年'!E22</f>
        <v>2430000</v>
      </c>
      <c r="G19" s="122">
        <f>'2026年'!E22</f>
        <v>2430000</v>
      </c>
      <c r="H19" s="114">
        <f t="shared" si="2"/>
        <v>8181000</v>
      </c>
      <c r="I19" s="70"/>
      <c r="AJ19" s="53" t="s">
        <v>51</v>
      </c>
      <c r="AK19" s="53" t="s">
        <v>50</v>
      </c>
    </row>
    <row r="20" spans="1:38" s="109" customFormat="1" ht="15.75" customHeight="1">
      <c r="A20" s="63">
        <v>16</v>
      </c>
      <c r="B20" s="124" t="s">
        <v>52</v>
      </c>
      <c r="C20" s="118">
        <f t="shared" ref="C20" si="3">+C19+C18+C17+C16+C14</f>
        <v>402130</v>
      </c>
      <c r="D20" s="118">
        <f>'2023年'!E23</f>
        <v>2625580</v>
      </c>
      <c r="E20" s="118">
        <f>'2024年'!E23</f>
        <v>7566580</v>
      </c>
      <c r="F20" s="118">
        <f>'2025年'!E23</f>
        <v>7566580</v>
      </c>
      <c r="G20" s="118">
        <f>'2026年'!E23</f>
        <v>7566580</v>
      </c>
      <c r="H20" s="118">
        <f>SUM(C20:G20)</f>
        <v>25727450</v>
      </c>
      <c r="I20" s="70"/>
      <c r="AJ20" s="137" t="s">
        <v>53</v>
      </c>
      <c r="AK20" s="138" t="s">
        <v>52</v>
      </c>
    </row>
    <row r="21" spans="1:38" ht="15.75" customHeight="1">
      <c r="A21" s="63">
        <v>17</v>
      </c>
      <c r="B21" s="120" t="s">
        <v>54</v>
      </c>
      <c r="C21" s="125">
        <f>+C12-C20</f>
        <v>-131651.56417973572</v>
      </c>
      <c r="D21" s="125">
        <f>'2023年'!E24</f>
        <v>-119136.75666402234</v>
      </c>
      <c r="E21" s="125">
        <f>'2024年'!E24</f>
        <v>-618472.68080806453</v>
      </c>
      <c r="F21" s="125">
        <f>'2025年'!E24</f>
        <v>-1166846.1951914309</v>
      </c>
      <c r="G21" s="125">
        <f>'2026年'!E24</f>
        <v>-1693284.7689994583</v>
      </c>
      <c r="H21" s="125">
        <f>+H12-H20</f>
        <v>-3729391.9658426978</v>
      </c>
      <c r="I21" s="70"/>
      <c r="AJ21" s="120" t="s">
        <v>55</v>
      </c>
      <c r="AK21" s="120" t="s">
        <v>54</v>
      </c>
    </row>
    <row r="22" spans="1:38" ht="15.75" customHeight="1">
      <c r="A22" s="63">
        <v>18</v>
      </c>
      <c r="B22" s="120" t="s">
        <v>56</v>
      </c>
      <c r="C22" s="125">
        <f>IF(C21&lt;0,0,C21*0.15)</f>
        <v>0</v>
      </c>
      <c r="D22" s="125">
        <f>'2023年'!E25</f>
        <v>0</v>
      </c>
      <c r="E22" s="125">
        <f>'2024年'!E25</f>
        <v>0</v>
      </c>
      <c r="F22" s="125">
        <f>'2025年'!E25</f>
        <v>0</v>
      </c>
      <c r="G22" s="125">
        <f>'2026年'!E25</f>
        <v>0</v>
      </c>
      <c r="H22" s="125">
        <f>IF(H21&lt;0,0,H21*0.15)</f>
        <v>0</v>
      </c>
      <c r="I22" s="70"/>
      <c r="AJ22" s="120" t="s">
        <v>57</v>
      </c>
      <c r="AK22" s="120" t="s">
        <v>56</v>
      </c>
    </row>
    <row r="23" spans="1:38" ht="15.75" customHeight="1">
      <c r="A23" s="63">
        <v>19</v>
      </c>
      <c r="B23" s="120" t="s">
        <v>58</v>
      </c>
      <c r="C23" s="125">
        <f>C21-C22</f>
        <v>-131651.56417973572</v>
      </c>
      <c r="D23" s="125">
        <f>'2023年'!E26</f>
        <v>-119136.75666402234</v>
      </c>
      <c r="E23" s="125">
        <f>'2024年'!E26</f>
        <v>-618472.68080806453</v>
      </c>
      <c r="F23" s="125">
        <f>'2025年'!E26</f>
        <v>-1166846.1951914309</v>
      </c>
      <c r="G23" s="125">
        <f>'2026年'!E26</f>
        <v>-1693284.7689994583</v>
      </c>
      <c r="H23" s="125">
        <f>H21-H22</f>
        <v>-3729391.9658426978</v>
      </c>
      <c r="I23" s="70"/>
      <c r="AJ23" s="120" t="s">
        <v>59</v>
      </c>
      <c r="AK23" s="120" t="s">
        <v>58</v>
      </c>
    </row>
    <row r="24" spans="1:38" ht="15.75" customHeight="1">
      <c r="A24" s="63">
        <v>20</v>
      </c>
      <c r="B24" s="120" t="s">
        <v>60</v>
      </c>
      <c r="C24" s="126">
        <f>(C23/C4)*100%</f>
        <v>-6.5013118113449744E-2</v>
      </c>
      <c r="D24" s="126">
        <f>'2023年'!E27</f>
        <v>-5.883296625383819E-3</v>
      </c>
      <c r="E24" s="126">
        <f>'2024年'!E27</f>
        <v>-1.0180620260215054E-2</v>
      </c>
      <c r="F24" s="126">
        <f>'2025年'!E27</f>
        <v>-1.9207344776813677E-2</v>
      </c>
      <c r="G24" s="126">
        <f>'2026年'!E27</f>
        <v>-2.7873000312748284E-2</v>
      </c>
      <c r="H24" s="126">
        <f>(H23/H4)*100%</f>
        <v>-1.8234406384758331E-2</v>
      </c>
      <c r="I24" s="70"/>
      <c r="AJ24" s="139" t="s">
        <v>61</v>
      </c>
      <c r="AK24" s="139" t="s">
        <v>62</v>
      </c>
    </row>
    <row r="25" spans="1:38" s="110" customFormat="1" ht="15.75" customHeight="1">
      <c r="C25" s="127"/>
      <c r="D25" s="127"/>
      <c r="E25" s="127"/>
      <c r="F25" s="127"/>
      <c r="G25" s="127"/>
      <c r="H25" s="127"/>
      <c r="I25" s="136"/>
    </row>
    <row r="26" spans="1:38" s="110" customFormat="1" ht="15.75" hidden="1" customHeight="1">
      <c r="A26" s="110" t="s">
        <v>63</v>
      </c>
      <c r="C26" s="128"/>
      <c r="D26" s="128"/>
      <c r="E26" s="128"/>
      <c r="F26" s="128"/>
      <c r="G26" s="128"/>
      <c r="H26" s="128"/>
      <c r="I26" s="136"/>
      <c r="AJ26" s="110" t="s">
        <v>63</v>
      </c>
    </row>
    <row r="27" spans="1:38" ht="15.75" hidden="1" customHeight="1">
      <c r="A27" s="120" t="s">
        <v>15</v>
      </c>
      <c r="B27" s="129" t="s">
        <v>1</v>
      </c>
      <c r="C27" s="113" t="s">
        <v>64</v>
      </c>
      <c r="D27" s="113" t="s">
        <v>16</v>
      </c>
      <c r="E27" s="113" t="s">
        <v>65</v>
      </c>
      <c r="F27" s="113" t="s">
        <v>66</v>
      </c>
      <c r="G27" s="113" t="s">
        <v>67</v>
      </c>
      <c r="H27" s="52" t="s">
        <v>17</v>
      </c>
      <c r="AL27" s="111" t="s">
        <v>18</v>
      </c>
    </row>
    <row r="28" spans="1:38" s="49" customFormat="1" ht="15.75" hidden="1" customHeight="1">
      <c r="A28" s="53" t="s">
        <v>68</v>
      </c>
      <c r="B28" s="56" t="s">
        <v>69</v>
      </c>
      <c r="C28" s="60"/>
      <c r="D28" s="60"/>
      <c r="E28" s="60"/>
      <c r="F28" s="60"/>
      <c r="G28" s="60"/>
      <c r="H28" s="60"/>
      <c r="I28" s="70"/>
      <c r="AJ28" s="53" t="s">
        <v>70</v>
      </c>
      <c r="AK28" s="56" t="s">
        <v>69</v>
      </c>
    </row>
    <row r="29" spans="1:38" s="49" customFormat="1" ht="15.75" hidden="1" customHeight="1">
      <c r="A29" s="53" t="s">
        <v>21</v>
      </c>
      <c r="B29" s="53" t="s">
        <v>71</v>
      </c>
      <c r="C29" s="55">
        <f>+C6/C3</f>
        <v>1012.5</v>
      </c>
      <c r="D29" s="55">
        <f t="shared" ref="D29:G29" si="4">+D6/D3</f>
        <v>972</v>
      </c>
      <c r="E29" s="55">
        <f t="shared" si="4"/>
        <v>933.12</v>
      </c>
      <c r="F29" s="55">
        <f t="shared" si="4"/>
        <v>895.79519999999991</v>
      </c>
      <c r="G29" s="55">
        <f t="shared" si="4"/>
        <v>859.96339199999977</v>
      </c>
      <c r="H29" s="55">
        <f>+H6/H3</f>
        <v>904.93918574257418</v>
      </c>
      <c r="I29" s="70"/>
      <c r="AJ29" s="53" t="s">
        <v>21</v>
      </c>
      <c r="AK29" s="53" t="s">
        <v>71</v>
      </c>
    </row>
    <row r="30" spans="1:38" s="49" customFormat="1" ht="15.75" hidden="1" customHeight="1">
      <c r="A30" s="53" t="s">
        <v>23</v>
      </c>
      <c r="B30" s="53" t="s">
        <v>72</v>
      </c>
      <c r="C30" s="55">
        <f>+C7/C3</f>
        <v>764.57360641666673</v>
      </c>
      <c r="D30" s="55">
        <f t="shared" ref="D30:G30" si="5">+D7/D3</f>
        <v>733.99066216000006</v>
      </c>
      <c r="E30" s="55">
        <f t="shared" si="5"/>
        <v>704.63103567359997</v>
      </c>
      <c r="F30" s="55">
        <f t="shared" si="5"/>
        <v>676.44579424665596</v>
      </c>
      <c r="G30" s="55">
        <f t="shared" si="5"/>
        <v>649.38796247678965</v>
      </c>
      <c r="H30" s="55">
        <f>+H7/H3</f>
        <v>683.35073267255473</v>
      </c>
      <c r="I30" s="70"/>
      <c r="AJ30" s="53" t="s">
        <v>23</v>
      </c>
      <c r="AK30" s="53" t="s">
        <v>72</v>
      </c>
    </row>
    <row r="31" spans="1:38" s="49" customFormat="1" ht="15.75" hidden="1" customHeight="1">
      <c r="A31" s="53" t="s">
        <v>73</v>
      </c>
      <c r="B31" s="53" t="s">
        <v>74</v>
      </c>
      <c r="C31" s="60">
        <f t="shared" ref="C31:H31" si="6">C29-C30</f>
        <v>247.92639358333327</v>
      </c>
      <c r="D31" s="60">
        <f t="shared" si="6"/>
        <v>238.00933783999994</v>
      </c>
      <c r="E31" s="60">
        <f t="shared" si="6"/>
        <v>228.48896432640004</v>
      </c>
      <c r="F31" s="60">
        <f t="shared" si="6"/>
        <v>219.34940575334394</v>
      </c>
      <c r="G31" s="60">
        <f t="shared" si="6"/>
        <v>210.57542952321012</v>
      </c>
      <c r="H31" s="60">
        <f t="shared" si="6"/>
        <v>221.58845307001945</v>
      </c>
      <c r="I31" s="70"/>
      <c r="AJ31" s="53" t="s">
        <v>73</v>
      </c>
      <c r="AK31" s="53" t="s">
        <v>74</v>
      </c>
    </row>
    <row r="32" spans="1:38" s="49" customFormat="1" ht="15.75" hidden="1" customHeight="1">
      <c r="A32" s="53">
        <v>3.1</v>
      </c>
      <c r="B32" s="53" t="s">
        <v>75</v>
      </c>
      <c r="C32" s="130">
        <f t="shared" ref="C32:H32" si="7">C31/C29</f>
        <v>0.24486557390946495</v>
      </c>
      <c r="D32" s="130">
        <f t="shared" si="7"/>
        <v>0.24486557390946495</v>
      </c>
      <c r="E32" s="130">
        <f t="shared" si="7"/>
        <v>0.24486557390946506</v>
      </c>
      <c r="F32" s="130">
        <f t="shared" si="7"/>
        <v>0.24486557390946498</v>
      </c>
      <c r="G32" s="130">
        <f t="shared" si="7"/>
        <v>0.24486557390946495</v>
      </c>
      <c r="H32" s="130">
        <f t="shared" si="7"/>
        <v>0.24486557390946509</v>
      </c>
      <c r="I32" s="70"/>
      <c r="AJ32" s="53"/>
      <c r="AK32" s="53"/>
    </row>
    <row r="33" spans="1:37" s="49" customFormat="1" ht="15.75" hidden="1" customHeight="1">
      <c r="A33" s="53" t="s">
        <v>70</v>
      </c>
      <c r="B33" s="56" t="s">
        <v>9</v>
      </c>
      <c r="C33" s="60"/>
      <c r="D33" s="60"/>
      <c r="E33" s="60"/>
      <c r="F33" s="60"/>
      <c r="G33" s="60"/>
      <c r="H33" s="60"/>
      <c r="I33" s="70"/>
      <c r="AJ33" s="53" t="s">
        <v>76</v>
      </c>
      <c r="AK33" s="56" t="s">
        <v>9</v>
      </c>
    </row>
    <row r="34" spans="1:37" s="49" customFormat="1" ht="15.75" hidden="1" customHeight="1">
      <c r="A34" s="53" t="s">
        <v>21</v>
      </c>
      <c r="B34" s="61" t="s">
        <v>77</v>
      </c>
      <c r="C34" s="55">
        <f>+C8/C3</f>
        <v>56.922736202111047</v>
      </c>
      <c r="D34" s="55">
        <f t="shared" ref="D34:G34" si="8">+D8/D3</f>
        <v>56.922736202111047</v>
      </c>
      <c r="E34" s="55">
        <f t="shared" si="8"/>
        <v>56.922736202111039</v>
      </c>
      <c r="F34" s="55">
        <f t="shared" si="8"/>
        <v>56.922736202111039</v>
      </c>
      <c r="G34" s="55">
        <f t="shared" si="8"/>
        <v>56.922736202111039</v>
      </c>
      <c r="H34" s="55">
        <f>+H8/H3</f>
        <v>56.922736202111032</v>
      </c>
      <c r="I34" s="70"/>
      <c r="AJ34" s="53" t="s">
        <v>73</v>
      </c>
      <c r="AK34" s="53" t="s">
        <v>77</v>
      </c>
    </row>
    <row r="35" spans="1:37" s="49" customFormat="1" ht="15.75" hidden="1" customHeight="1">
      <c r="A35" s="53" t="s">
        <v>23</v>
      </c>
      <c r="B35" s="61" t="s">
        <v>78</v>
      </c>
      <c r="C35" s="55">
        <f>+C9/C3</f>
        <v>15.264439471090061</v>
      </c>
      <c r="D35" s="55">
        <f t="shared" ref="D35:G35" si="9">+D9/D3</f>
        <v>15.264439471090061</v>
      </c>
      <c r="E35" s="55">
        <f t="shared" si="9"/>
        <v>15.264439471090061</v>
      </c>
      <c r="F35" s="55">
        <f t="shared" si="9"/>
        <v>15.264439471090061</v>
      </c>
      <c r="G35" s="55">
        <f t="shared" si="9"/>
        <v>15.264439471090061</v>
      </c>
      <c r="H35" s="55">
        <f>+H9/H3</f>
        <v>15.264439471090061</v>
      </c>
      <c r="I35" s="70"/>
      <c r="AJ35" s="53" t="s">
        <v>26</v>
      </c>
      <c r="AK35" s="53" t="s">
        <v>78</v>
      </c>
    </row>
    <row r="36" spans="1:37" s="49" customFormat="1" ht="15.75" hidden="1" customHeight="1">
      <c r="A36" s="53" t="s">
        <v>73</v>
      </c>
      <c r="B36" s="61" t="s">
        <v>79</v>
      </c>
      <c r="C36" s="55">
        <f>+C10/C3</f>
        <v>40.499999999999993</v>
      </c>
      <c r="D36" s="55">
        <f t="shared" ref="D36:G36" si="10">+D10/D3</f>
        <v>40.499999999999993</v>
      </c>
      <c r="E36" s="55">
        <f t="shared" si="10"/>
        <v>40.499999999999993</v>
      </c>
      <c r="F36" s="55">
        <f t="shared" si="10"/>
        <v>40.499999999999993</v>
      </c>
      <c r="G36" s="55">
        <f t="shared" si="10"/>
        <v>40.499999999999993</v>
      </c>
      <c r="H36" s="55">
        <f>+H10/H3</f>
        <v>40.499999999999993</v>
      </c>
      <c r="I36" s="70"/>
      <c r="AJ36" s="53" t="s">
        <v>32</v>
      </c>
      <c r="AK36" s="53" t="s">
        <v>79</v>
      </c>
    </row>
    <row r="37" spans="1:37" s="49" customFormat="1" ht="15.75" hidden="1" customHeight="1">
      <c r="A37" s="53" t="s">
        <v>80</v>
      </c>
      <c r="B37" s="119" t="s">
        <v>81</v>
      </c>
      <c r="C37" s="55"/>
      <c r="D37" s="55"/>
      <c r="E37" s="55"/>
      <c r="F37" s="55"/>
      <c r="G37" s="55"/>
      <c r="H37" s="55"/>
      <c r="I37" s="70"/>
      <c r="AJ37" s="53" t="s">
        <v>80</v>
      </c>
      <c r="AK37" s="56" t="s">
        <v>81</v>
      </c>
    </row>
    <row r="38" spans="1:37" s="49" customFormat="1" hidden="1">
      <c r="A38" s="53" t="s">
        <v>21</v>
      </c>
      <c r="B38" s="61" t="s">
        <v>82</v>
      </c>
      <c r="C38" s="55">
        <f>+C12/C3</f>
        <v>135.23921791013214</v>
      </c>
      <c r="D38" s="55">
        <f t="shared" ref="D38:G38" si="11">+D12/D3</f>
        <v>125.32216216679889</v>
      </c>
      <c r="E38" s="55">
        <f t="shared" si="11"/>
        <v>115.80178865319893</v>
      </c>
      <c r="F38" s="55">
        <f t="shared" si="11"/>
        <v>106.66223008014282</v>
      </c>
      <c r="G38" s="55">
        <f t="shared" si="11"/>
        <v>97.888253850009022</v>
      </c>
      <c r="H38" s="55">
        <f>+H12/H3</f>
        <v>108.90127739681833</v>
      </c>
      <c r="I38" s="70"/>
      <c r="AJ38" s="53" t="s">
        <v>21</v>
      </c>
      <c r="AK38" s="53" t="s">
        <v>83</v>
      </c>
    </row>
    <row r="39" spans="1:37" s="49" customFormat="1" ht="15.75" customHeight="1">
      <c r="A39" s="53" t="s">
        <v>23</v>
      </c>
      <c r="B39" s="61" t="s">
        <v>84</v>
      </c>
      <c r="C39" s="114">
        <f t="shared" ref="C39:G39" si="12">+C20/C38</f>
        <v>2973.4717947512795</v>
      </c>
      <c r="D39" s="114">
        <f t="shared" si="12"/>
        <v>20950.643961165111</v>
      </c>
      <c r="E39" s="114">
        <f t="shared" si="12"/>
        <v>65340.786942939674</v>
      </c>
      <c r="F39" s="114">
        <f t="shared" si="12"/>
        <v>70939.638092272187</v>
      </c>
      <c r="G39" s="114">
        <f t="shared" si="12"/>
        <v>77298.140506153315</v>
      </c>
      <c r="H39" s="190">
        <f t="shared" ref="H39" si="13">+H20/H38</f>
        <v>236245.62186036998</v>
      </c>
      <c r="I39" s="70"/>
      <c r="AJ39" s="53" t="s">
        <v>23</v>
      </c>
      <c r="AK39" s="53" t="s">
        <v>84</v>
      </c>
    </row>
    <row r="40" spans="1:37" s="49" customFormat="1" ht="15.75" hidden="1" customHeight="1">
      <c r="A40" s="53" t="s">
        <v>85</v>
      </c>
      <c r="B40" s="56" t="s">
        <v>86</v>
      </c>
      <c r="C40" s="60"/>
      <c r="D40" s="60"/>
      <c r="E40" s="60"/>
      <c r="F40" s="60"/>
      <c r="G40" s="60"/>
      <c r="H40" s="60"/>
      <c r="I40" s="70"/>
      <c r="AJ40" s="53" t="s">
        <v>85</v>
      </c>
      <c r="AK40" s="56" t="s">
        <v>86</v>
      </c>
    </row>
    <row r="41" spans="1:37" s="49" customFormat="1" ht="15.75" hidden="1" customHeight="1">
      <c r="A41" s="53" t="s">
        <v>21</v>
      </c>
      <c r="B41" s="53" t="s">
        <v>87</v>
      </c>
      <c r="C41" s="60">
        <f>+C14/C3</f>
        <v>74.252499999999998</v>
      </c>
      <c r="D41" s="60">
        <f t="shared" ref="D41:G41" si="14">+D14/D3</f>
        <v>48.431499999999993</v>
      </c>
      <c r="E41" s="60">
        <f t="shared" si="14"/>
        <v>46.518833333333326</v>
      </c>
      <c r="F41" s="60">
        <f t="shared" si="14"/>
        <v>46.518833333333326</v>
      </c>
      <c r="G41" s="60">
        <f t="shared" si="14"/>
        <v>46.518833333333326</v>
      </c>
      <c r="H41" s="60">
        <f>+H14/H3</f>
        <v>46.982797029702958</v>
      </c>
      <c r="I41" s="70"/>
      <c r="AJ41" s="53" t="s">
        <v>21</v>
      </c>
      <c r="AK41" s="53" t="s">
        <v>87</v>
      </c>
    </row>
    <row r="42" spans="1:37" s="49" customFormat="1" ht="15.75" hidden="1" customHeight="1">
      <c r="A42" s="53" t="s">
        <v>23</v>
      </c>
      <c r="B42" s="53" t="s">
        <v>88</v>
      </c>
      <c r="C42" s="60">
        <f>+C16/C3</f>
        <v>7.0875000000000004</v>
      </c>
      <c r="D42" s="60">
        <f t="shared" ref="D42:G42" si="15">+D16/D3</f>
        <v>7.0875000000000004</v>
      </c>
      <c r="E42" s="60">
        <f t="shared" si="15"/>
        <v>7.0875000000000004</v>
      </c>
      <c r="F42" s="60">
        <f t="shared" si="15"/>
        <v>7.0875000000000004</v>
      </c>
      <c r="G42" s="60">
        <f t="shared" si="15"/>
        <v>7.0875000000000004</v>
      </c>
      <c r="H42" s="60">
        <f>+H16/H3</f>
        <v>7.0875000000000004</v>
      </c>
      <c r="I42" s="70"/>
      <c r="AJ42" s="53" t="s">
        <v>23</v>
      </c>
      <c r="AK42" s="53" t="s">
        <v>88</v>
      </c>
    </row>
    <row r="43" spans="1:37" s="49" customFormat="1" ht="15.75" hidden="1" customHeight="1">
      <c r="A43" s="53" t="s">
        <v>73</v>
      </c>
      <c r="B43" s="53" t="s">
        <v>89</v>
      </c>
      <c r="C43" s="60">
        <f>+C17/C3</f>
        <v>30.375</v>
      </c>
      <c r="D43" s="60">
        <f t="shared" ref="D43:G43" si="16">+D17/D3</f>
        <v>30.375</v>
      </c>
      <c r="E43" s="60">
        <f t="shared" si="16"/>
        <v>30.375</v>
      </c>
      <c r="F43" s="60">
        <f t="shared" si="16"/>
        <v>30.375</v>
      </c>
      <c r="G43" s="60">
        <f t="shared" si="16"/>
        <v>30.375</v>
      </c>
      <c r="H43" s="60">
        <f>+H17/H3</f>
        <v>30.375</v>
      </c>
      <c r="I43" s="70"/>
      <c r="AJ43" s="53" t="s">
        <v>73</v>
      </c>
      <c r="AK43" s="53" t="s">
        <v>89</v>
      </c>
    </row>
    <row r="44" spans="1:37" s="49" customFormat="1" ht="15.75" hidden="1" customHeight="1">
      <c r="A44" s="53" t="s">
        <v>26</v>
      </c>
      <c r="B44" s="53" t="s">
        <v>90</v>
      </c>
      <c r="C44" s="60"/>
      <c r="D44" s="60"/>
      <c r="E44" s="60"/>
      <c r="F44" s="60"/>
      <c r="G44" s="60"/>
      <c r="H44" s="60"/>
      <c r="I44" s="70"/>
      <c r="AJ44" s="53" t="s">
        <v>26</v>
      </c>
      <c r="AK44" s="53" t="s">
        <v>91</v>
      </c>
    </row>
    <row r="45" spans="1:37" s="49" customFormat="1" ht="15.75" hidden="1" customHeight="1">
      <c r="A45" s="53" t="s">
        <v>29</v>
      </c>
      <c r="B45" s="53" t="s">
        <v>92</v>
      </c>
      <c r="C45" s="60"/>
      <c r="D45" s="60"/>
      <c r="E45" s="60"/>
      <c r="F45" s="60"/>
      <c r="G45" s="60"/>
      <c r="H45" s="60"/>
      <c r="I45" s="70"/>
      <c r="AJ45" s="53" t="s">
        <v>29</v>
      </c>
      <c r="AK45" s="53" t="s">
        <v>92</v>
      </c>
    </row>
    <row r="46" spans="1:37" s="49" customFormat="1" ht="15.75" hidden="1" customHeight="1">
      <c r="A46" s="53" t="s">
        <v>93</v>
      </c>
      <c r="B46" s="56" t="s">
        <v>94</v>
      </c>
      <c r="C46" s="60"/>
      <c r="D46" s="60"/>
      <c r="E46" s="60"/>
      <c r="F46" s="60"/>
      <c r="G46" s="60"/>
      <c r="H46" s="60"/>
      <c r="I46" s="70"/>
      <c r="AJ46" s="53" t="s">
        <v>93</v>
      </c>
      <c r="AK46" s="56" t="s">
        <v>94</v>
      </c>
    </row>
    <row r="47" spans="1:37" s="49" customFormat="1" ht="15.75" hidden="1" customHeight="1">
      <c r="A47" s="53" t="s">
        <v>21</v>
      </c>
      <c r="B47" s="53" t="s">
        <v>95</v>
      </c>
      <c r="C47" s="131">
        <f>+(C10+C16)/C6</f>
        <v>4.6999999999999993E-2</v>
      </c>
      <c r="D47" s="131">
        <f t="shared" ref="D47:G47" si="17">+(D10+D16)/D6</f>
        <v>4.8958333333333326E-2</v>
      </c>
      <c r="E47" s="131">
        <f t="shared" si="17"/>
        <v>5.0998263888888881E-2</v>
      </c>
      <c r="F47" s="131">
        <f t="shared" si="17"/>
        <v>5.3123191550925923E-2</v>
      </c>
      <c r="G47" s="131">
        <f t="shared" si="17"/>
        <v>5.5336657865547846E-2</v>
      </c>
      <c r="H47" s="131">
        <f>+(H10+H16)/H6</f>
        <v>5.2586406633447623E-2</v>
      </c>
      <c r="I47" s="70"/>
      <c r="AJ47" s="53" t="s">
        <v>21</v>
      </c>
      <c r="AK47" s="53" t="s">
        <v>95</v>
      </c>
    </row>
    <row r="48" spans="1:37" s="49" customFormat="1" ht="15.75" hidden="1" customHeight="1">
      <c r="A48" s="53" t="s">
        <v>23</v>
      </c>
      <c r="B48" s="53" t="s">
        <v>96</v>
      </c>
      <c r="C48" s="131">
        <f>+(C8+C9+C14)/C6</f>
        <v>0.14463177844266775</v>
      </c>
      <c r="D48" s="131">
        <f t="shared" ref="D48:G48" si="18">+(D8+D9+D14)/D6</f>
        <v>0.12409328772963076</v>
      </c>
      <c r="E48" s="131">
        <f t="shared" si="18"/>
        <v>0.12721408715549384</v>
      </c>
      <c r="F48" s="131">
        <f t="shared" si="18"/>
        <v>0.13251467412030613</v>
      </c>
      <c r="G48" s="131">
        <f t="shared" si="18"/>
        <v>0.13803611887531889</v>
      </c>
      <c r="H48" s="131">
        <f>+(H8+H9+H14)/H6</f>
        <v>0.13168837705388531</v>
      </c>
      <c r="I48" s="70"/>
      <c r="AJ48" s="53" t="s">
        <v>23</v>
      </c>
      <c r="AK48" s="53" t="s">
        <v>96</v>
      </c>
    </row>
    <row r="49" spans="1:37" s="49" customFormat="1" ht="15.75" hidden="1" customHeight="1">
      <c r="A49" s="53" t="s">
        <v>73</v>
      </c>
      <c r="B49" s="53" t="s">
        <v>97</v>
      </c>
      <c r="C49" s="131">
        <f>+C17/C6</f>
        <v>0.03</v>
      </c>
      <c r="D49" s="131">
        <f t="shared" ref="D49:G49" si="19">+D17/D6</f>
        <v>3.125E-2</v>
      </c>
      <c r="E49" s="131">
        <f t="shared" si="19"/>
        <v>3.2552083333333336E-2</v>
      </c>
      <c r="F49" s="131">
        <f t="shared" si="19"/>
        <v>3.3908420138888895E-2</v>
      </c>
      <c r="G49" s="131">
        <f t="shared" si="19"/>
        <v>3.5321270978009266E-2</v>
      </c>
      <c r="H49" s="131">
        <f>+H17/H6</f>
        <v>3.3565791468158065E-2</v>
      </c>
      <c r="I49" s="70"/>
      <c r="AJ49" s="53" t="s">
        <v>73</v>
      </c>
      <c r="AK49" s="53" t="s">
        <v>97</v>
      </c>
    </row>
    <row r="50" spans="1:37" s="49" customFormat="1" ht="15.75" hidden="1" customHeight="1">
      <c r="A50" s="53" t="s">
        <v>26</v>
      </c>
      <c r="B50" s="53" t="s">
        <v>98</v>
      </c>
      <c r="C50" s="131">
        <f>+C18/C6</f>
        <v>4.8246913580246915E-2</v>
      </c>
      <c r="D50" s="131">
        <f t="shared" ref="D50:G50" si="20">+D18/D6</f>
        <v>5.0257201646090538E-3</v>
      </c>
      <c r="E50" s="131">
        <f t="shared" si="20"/>
        <v>1.7450417238225879E-3</v>
      </c>
      <c r="F50" s="131">
        <f t="shared" si="20"/>
        <v>1.8177517956485295E-3</v>
      </c>
      <c r="G50" s="131">
        <f t="shared" si="20"/>
        <v>1.8934914538005516E-3</v>
      </c>
      <c r="H50" s="131">
        <f>+H18/H6</f>
        <v>2.6723528716449032E-3</v>
      </c>
      <c r="I50" s="70"/>
      <c r="AJ50" s="53" t="s">
        <v>26</v>
      </c>
      <c r="AK50" s="53" t="s">
        <v>98</v>
      </c>
    </row>
    <row r="51" spans="1:37" s="49" customFormat="1" ht="15.75" hidden="1" customHeight="1">
      <c r="A51" s="53" t="s">
        <v>29</v>
      </c>
      <c r="B51" s="53" t="s">
        <v>99</v>
      </c>
      <c r="C51" s="131">
        <f>+C19/C6</f>
        <v>0.04</v>
      </c>
      <c r="D51" s="131">
        <f t="shared" ref="D51:G51" si="21">+D19/D6</f>
        <v>4.1666666666666664E-2</v>
      </c>
      <c r="E51" s="131">
        <f t="shared" si="21"/>
        <v>4.3402777777777776E-2</v>
      </c>
      <c r="F51" s="131">
        <f t="shared" si="21"/>
        <v>4.521122685185186E-2</v>
      </c>
      <c r="G51" s="131">
        <f t="shared" si="21"/>
        <v>4.7095027970679021E-2</v>
      </c>
      <c r="H51" s="131">
        <f>+H19/H6</f>
        <v>4.4754388624210752E-2</v>
      </c>
      <c r="I51" s="70"/>
      <c r="AJ51" s="53" t="s">
        <v>29</v>
      </c>
      <c r="AK51" s="53" t="s">
        <v>99</v>
      </c>
    </row>
    <row r="52" spans="1:37" s="49" customFormat="1" ht="15.75" hidden="1" customHeight="1">
      <c r="A52" s="53" t="s">
        <v>32</v>
      </c>
      <c r="B52" s="53" t="s">
        <v>100</v>
      </c>
      <c r="C52" s="131">
        <f>+C23/C6</f>
        <v>-6.5013118113449744E-2</v>
      </c>
      <c r="D52" s="131">
        <f t="shared" ref="D52:G52" si="22">+D23/D6</f>
        <v>-6.128433984774812E-3</v>
      </c>
      <c r="E52" s="131">
        <f t="shared" si="22"/>
        <v>-1.1046679969851404E-2</v>
      </c>
      <c r="F52" s="131">
        <f t="shared" si="22"/>
        <v>-2.1709690548156375E-2</v>
      </c>
      <c r="G52" s="131">
        <f t="shared" si="22"/>
        <v>-3.2816993233890639E-2</v>
      </c>
      <c r="H52" s="131">
        <f>+H23/H6</f>
        <v>-2.0401742741881605E-2</v>
      </c>
      <c r="I52" s="70"/>
      <c r="AJ52" s="53" t="s">
        <v>32</v>
      </c>
      <c r="AK52" s="53" t="s">
        <v>101</v>
      </c>
    </row>
    <row r="53" spans="1:37" s="49" customFormat="1" ht="15.75" hidden="1" customHeight="1">
      <c r="A53" s="53" t="s">
        <v>102</v>
      </c>
      <c r="B53" s="56" t="s">
        <v>103</v>
      </c>
      <c r="C53" s="60">
        <f>+C21/C3</f>
        <v>-65.825782089867857</v>
      </c>
      <c r="D53" s="60">
        <f t="shared" ref="D53:G53" si="23">+D21/D3</f>
        <v>-5.9568378332011171</v>
      </c>
      <c r="E53" s="60">
        <f t="shared" si="23"/>
        <v>-10.307878013467743</v>
      </c>
      <c r="F53" s="60">
        <f t="shared" si="23"/>
        <v>-19.447436586523846</v>
      </c>
      <c r="G53" s="60">
        <f t="shared" si="23"/>
        <v>-28.221412816657637</v>
      </c>
      <c r="H53" s="60">
        <f>+H21/H3</f>
        <v>-18.462336464567812</v>
      </c>
      <c r="I53" s="70"/>
      <c r="AJ53" s="53" t="s">
        <v>102</v>
      </c>
      <c r="AK53" s="56" t="s">
        <v>103</v>
      </c>
    </row>
    <row r="54" spans="1:37" s="49" customFormat="1" ht="15.75" hidden="1" customHeight="1">
      <c r="A54" s="53" t="s">
        <v>104</v>
      </c>
      <c r="B54" s="132" t="s">
        <v>105</v>
      </c>
      <c r="C54" s="60"/>
      <c r="D54" s="60"/>
      <c r="E54" s="60"/>
      <c r="F54" s="60"/>
      <c r="G54" s="60"/>
      <c r="H54" s="60"/>
      <c r="I54" s="70"/>
      <c r="AJ54" s="53"/>
      <c r="AK54" s="56"/>
    </row>
    <row r="55" spans="1:37" s="49" customFormat="1" ht="15.75" hidden="1" customHeight="1">
      <c r="A55" s="53" t="s">
        <v>21</v>
      </c>
      <c r="B55" s="53" t="s">
        <v>106</v>
      </c>
      <c r="C55" s="60">
        <f>C56+C57</f>
        <v>790500</v>
      </c>
      <c r="D55" s="60"/>
      <c r="E55" s="60"/>
      <c r="F55" s="60"/>
      <c r="G55" s="60"/>
      <c r="H55" s="60"/>
      <c r="I55" s="70"/>
    </row>
    <row r="56" spans="1:37" s="49" customFormat="1" ht="15.75" hidden="1" customHeight="1">
      <c r="A56" s="53">
        <v>1.1000000000000001</v>
      </c>
      <c r="B56" s="133" t="s">
        <v>107</v>
      </c>
      <c r="C56" s="60">
        <f>项目投资!B27</f>
        <v>488500</v>
      </c>
      <c r="D56" s="60"/>
      <c r="E56" s="60"/>
      <c r="F56" s="60"/>
      <c r="G56" s="60"/>
      <c r="H56" s="60"/>
      <c r="I56" s="70"/>
    </row>
    <row r="57" spans="1:37" s="49" customFormat="1" ht="15.75" hidden="1" customHeight="1">
      <c r="A57" s="53">
        <v>1.2</v>
      </c>
      <c r="B57" s="53" t="s">
        <v>108</v>
      </c>
      <c r="C57" s="60">
        <f>项目投资!B26</f>
        <v>302000</v>
      </c>
      <c r="D57" s="60"/>
      <c r="E57" s="60"/>
      <c r="F57" s="60"/>
      <c r="G57" s="60"/>
      <c r="H57" s="60"/>
      <c r="I57" s="70"/>
    </row>
    <row r="58" spans="1:37" ht="15.75" hidden="1" customHeight="1">
      <c r="A58" s="120" t="s">
        <v>23</v>
      </c>
      <c r="B58" s="120" t="s">
        <v>109</v>
      </c>
      <c r="C58" s="134">
        <f t="shared" ref="C58:G58" si="24">C59+C60</f>
        <v>-74271.564179735724</v>
      </c>
      <c r="D58" s="134">
        <f t="shared" si="24"/>
        <v>-61756.756664022338</v>
      </c>
      <c r="E58" s="134">
        <f t="shared" si="24"/>
        <v>-561092.68080806453</v>
      </c>
      <c r="F58" s="134">
        <f t="shared" si="24"/>
        <v>-1109466.1951914309</v>
      </c>
      <c r="G58" s="134">
        <f t="shared" si="24"/>
        <v>-1635904.7689994583</v>
      </c>
      <c r="H58" s="134">
        <f t="shared" ref="H58" si="25">H59+H60</f>
        <v>-3442491.9658426978</v>
      </c>
      <c r="I58" s="70"/>
    </row>
    <row r="59" spans="1:37" ht="15.75" hidden="1" customHeight="1">
      <c r="A59" s="120" t="s">
        <v>73</v>
      </c>
      <c r="B59" s="120" t="s">
        <v>110</v>
      </c>
      <c r="C59" s="134">
        <f t="shared" ref="C59:G59" si="26">C23</f>
        <v>-131651.56417973572</v>
      </c>
      <c r="D59" s="134">
        <f t="shared" si="26"/>
        <v>-119136.75666402234</v>
      </c>
      <c r="E59" s="134">
        <f t="shared" si="26"/>
        <v>-618472.68080806453</v>
      </c>
      <c r="F59" s="134">
        <f t="shared" si="26"/>
        <v>-1166846.1951914309</v>
      </c>
      <c r="G59" s="134">
        <f t="shared" si="26"/>
        <v>-1693284.7689994583</v>
      </c>
      <c r="H59" s="134">
        <f t="shared" ref="H59" si="27">H23</f>
        <v>-3729391.9658426978</v>
      </c>
      <c r="I59" s="70"/>
    </row>
    <row r="60" spans="1:37" ht="15.75" hidden="1" customHeight="1">
      <c r="A60" s="120" t="s">
        <v>26</v>
      </c>
      <c r="B60" s="120" t="s">
        <v>111</v>
      </c>
      <c r="C60" s="134">
        <f>'2022年'!E18</f>
        <v>57380</v>
      </c>
      <c r="D60" s="134">
        <f>'2023年'!E18</f>
        <v>57380</v>
      </c>
      <c r="E60" s="134">
        <f>'2024年'!E18</f>
        <v>57380</v>
      </c>
      <c r="F60" s="134">
        <f>'2025年'!E18</f>
        <v>57380</v>
      </c>
      <c r="G60" s="134">
        <f>'2026年'!E18</f>
        <v>57380</v>
      </c>
      <c r="H60" s="134">
        <f>项目投资!I26</f>
        <v>286900</v>
      </c>
      <c r="I60" s="70"/>
    </row>
    <row r="61" spans="1:37" ht="15.75" hidden="1" customHeight="1">
      <c r="A61" s="120" t="s">
        <v>29</v>
      </c>
      <c r="B61" s="120" t="s">
        <v>112</v>
      </c>
      <c r="C61" s="135"/>
      <c r="D61" s="135"/>
      <c r="E61" s="135"/>
      <c r="F61" s="135"/>
      <c r="G61" s="135"/>
      <c r="H61" s="134"/>
      <c r="I61" s="70"/>
    </row>
    <row r="63" spans="1:37">
      <c r="B63"/>
    </row>
  </sheetData>
  <mergeCells count="2">
    <mergeCell ref="A1:H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4" customWidth="1"/>
    <col min="2" max="2" width="28.5" style="74" customWidth="1"/>
    <col min="3" max="4" width="9.125" style="74"/>
    <col min="5" max="5" width="13.875" style="74" customWidth="1"/>
    <col min="6" max="12" width="16.125" style="74" customWidth="1"/>
    <col min="13" max="13" width="10.625" style="74" customWidth="1"/>
    <col min="14" max="254" width="9.125" style="74"/>
    <col min="255" max="255" width="8" style="74" customWidth="1"/>
    <col min="256" max="256" width="28.5" style="74" customWidth="1"/>
    <col min="257" max="268" width="9.125" style="74"/>
    <col min="269" max="269" width="10.625" style="74" customWidth="1"/>
    <col min="270" max="510" width="9.125" style="74"/>
    <col min="511" max="511" width="8" style="74" customWidth="1"/>
    <col min="512" max="512" width="28.5" style="74" customWidth="1"/>
    <col min="513" max="524" width="9.125" style="74"/>
    <col min="525" max="525" width="10.625" style="74" customWidth="1"/>
    <col min="526" max="766" width="9.125" style="74"/>
    <col min="767" max="767" width="8" style="74" customWidth="1"/>
    <col min="768" max="768" width="28.5" style="74" customWidth="1"/>
    <col min="769" max="780" width="9.125" style="74"/>
    <col min="781" max="781" width="10.625" style="74" customWidth="1"/>
    <col min="782" max="1022" width="9.125" style="74"/>
    <col min="1023" max="1023" width="8" style="74" customWidth="1"/>
    <col min="1024" max="1024" width="28.5" style="74" customWidth="1"/>
    <col min="1025" max="1036" width="9.125" style="74"/>
    <col min="1037" max="1037" width="10.625" style="74" customWidth="1"/>
    <col min="1038" max="1278" width="9.125" style="74"/>
    <col min="1279" max="1279" width="8" style="74" customWidth="1"/>
    <col min="1280" max="1280" width="28.5" style="74" customWidth="1"/>
    <col min="1281" max="1292" width="9.125" style="74"/>
    <col min="1293" max="1293" width="10.625" style="74" customWidth="1"/>
    <col min="1294" max="1534" width="9.125" style="74"/>
    <col min="1535" max="1535" width="8" style="74" customWidth="1"/>
    <col min="1536" max="1536" width="28.5" style="74" customWidth="1"/>
    <col min="1537" max="1548" width="9.125" style="74"/>
    <col min="1549" max="1549" width="10.625" style="74" customWidth="1"/>
    <col min="1550" max="1790" width="9.125" style="74"/>
    <col min="1791" max="1791" width="8" style="74" customWidth="1"/>
    <col min="1792" max="1792" width="28.5" style="74" customWidth="1"/>
    <col min="1793" max="1804" width="9.125" style="74"/>
    <col min="1805" max="1805" width="10.625" style="74" customWidth="1"/>
    <col min="1806" max="2046" width="9.125" style="74"/>
    <col min="2047" max="2047" width="8" style="74" customWidth="1"/>
    <col min="2048" max="2048" width="28.5" style="74" customWidth="1"/>
    <col min="2049" max="2060" width="9.125" style="74"/>
    <col min="2061" max="2061" width="10.625" style="74" customWidth="1"/>
    <col min="2062" max="2302" width="9.125" style="74"/>
    <col min="2303" max="2303" width="8" style="74" customWidth="1"/>
    <col min="2304" max="2304" width="28.5" style="74" customWidth="1"/>
    <col min="2305" max="2316" width="9.125" style="74"/>
    <col min="2317" max="2317" width="10.625" style="74" customWidth="1"/>
    <col min="2318" max="2558" width="9.125" style="74"/>
    <col min="2559" max="2559" width="8" style="74" customWidth="1"/>
    <col min="2560" max="2560" width="28.5" style="74" customWidth="1"/>
    <col min="2561" max="2572" width="9.125" style="74"/>
    <col min="2573" max="2573" width="10.625" style="74" customWidth="1"/>
    <col min="2574" max="2814" width="9.125" style="74"/>
    <col min="2815" max="2815" width="8" style="74" customWidth="1"/>
    <col min="2816" max="2816" width="28.5" style="74" customWidth="1"/>
    <col min="2817" max="2828" width="9.125" style="74"/>
    <col min="2829" max="2829" width="10.625" style="74" customWidth="1"/>
    <col min="2830" max="3070" width="9.125" style="74"/>
    <col min="3071" max="3071" width="8" style="74" customWidth="1"/>
    <col min="3072" max="3072" width="28.5" style="74" customWidth="1"/>
    <col min="3073" max="3084" width="9.125" style="74"/>
    <col min="3085" max="3085" width="10.625" style="74" customWidth="1"/>
    <col min="3086" max="3326" width="9.125" style="74"/>
    <col min="3327" max="3327" width="8" style="74" customWidth="1"/>
    <col min="3328" max="3328" width="28.5" style="74" customWidth="1"/>
    <col min="3329" max="3340" width="9.125" style="74"/>
    <col min="3341" max="3341" width="10.625" style="74" customWidth="1"/>
    <col min="3342" max="3582" width="9.125" style="74"/>
    <col min="3583" max="3583" width="8" style="74" customWidth="1"/>
    <col min="3584" max="3584" width="28.5" style="74" customWidth="1"/>
    <col min="3585" max="3596" width="9.125" style="74"/>
    <col min="3597" max="3597" width="10.625" style="74" customWidth="1"/>
    <col min="3598" max="3838" width="9.125" style="74"/>
    <col min="3839" max="3839" width="8" style="74" customWidth="1"/>
    <col min="3840" max="3840" width="28.5" style="74" customWidth="1"/>
    <col min="3841" max="3852" width="9.125" style="74"/>
    <col min="3853" max="3853" width="10.625" style="74" customWidth="1"/>
    <col min="3854" max="4094" width="9.125" style="74"/>
    <col min="4095" max="4095" width="8" style="74" customWidth="1"/>
    <col min="4096" max="4096" width="28.5" style="74" customWidth="1"/>
    <col min="4097" max="4108" width="9.125" style="74"/>
    <col min="4109" max="4109" width="10.625" style="74" customWidth="1"/>
    <col min="4110" max="4350" width="9.125" style="74"/>
    <col min="4351" max="4351" width="8" style="74" customWidth="1"/>
    <col min="4352" max="4352" width="28.5" style="74" customWidth="1"/>
    <col min="4353" max="4364" width="9.125" style="74"/>
    <col min="4365" max="4365" width="10.625" style="74" customWidth="1"/>
    <col min="4366" max="4606" width="9.125" style="74"/>
    <col min="4607" max="4607" width="8" style="74" customWidth="1"/>
    <col min="4608" max="4608" width="28.5" style="74" customWidth="1"/>
    <col min="4609" max="4620" width="9.125" style="74"/>
    <col min="4621" max="4621" width="10.625" style="74" customWidth="1"/>
    <col min="4622" max="4862" width="9.125" style="74"/>
    <col min="4863" max="4863" width="8" style="74" customWidth="1"/>
    <col min="4864" max="4864" width="28.5" style="74" customWidth="1"/>
    <col min="4865" max="4876" width="9.125" style="74"/>
    <col min="4877" max="4877" width="10.625" style="74" customWidth="1"/>
    <col min="4878" max="5118" width="9.125" style="74"/>
    <col min="5119" max="5119" width="8" style="74" customWidth="1"/>
    <col min="5120" max="5120" width="28.5" style="74" customWidth="1"/>
    <col min="5121" max="5132" width="9.125" style="74"/>
    <col min="5133" max="5133" width="10.625" style="74" customWidth="1"/>
    <col min="5134" max="5374" width="9.125" style="74"/>
    <col min="5375" max="5375" width="8" style="74" customWidth="1"/>
    <col min="5376" max="5376" width="28.5" style="74" customWidth="1"/>
    <col min="5377" max="5388" width="9.125" style="74"/>
    <col min="5389" max="5389" width="10.625" style="74" customWidth="1"/>
    <col min="5390" max="5630" width="9.125" style="74"/>
    <col min="5631" max="5631" width="8" style="74" customWidth="1"/>
    <col min="5632" max="5632" width="28.5" style="74" customWidth="1"/>
    <col min="5633" max="5644" width="9.125" style="74"/>
    <col min="5645" max="5645" width="10.625" style="74" customWidth="1"/>
    <col min="5646" max="5886" width="9.125" style="74"/>
    <col min="5887" max="5887" width="8" style="74" customWidth="1"/>
    <col min="5888" max="5888" width="28.5" style="74" customWidth="1"/>
    <col min="5889" max="5900" width="9.125" style="74"/>
    <col min="5901" max="5901" width="10.625" style="74" customWidth="1"/>
    <col min="5902" max="6142" width="9.125" style="74"/>
    <col min="6143" max="6143" width="8" style="74" customWidth="1"/>
    <col min="6144" max="6144" width="28.5" style="74" customWidth="1"/>
    <col min="6145" max="6156" width="9.125" style="74"/>
    <col min="6157" max="6157" width="10.625" style="74" customWidth="1"/>
    <col min="6158" max="6398" width="9.125" style="74"/>
    <col min="6399" max="6399" width="8" style="74" customWidth="1"/>
    <col min="6400" max="6400" width="28.5" style="74" customWidth="1"/>
    <col min="6401" max="6412" width="9.125" style="74"/>
    <col min="6413" max="6413" width="10.625" style="74" customWidth="1"/>
    <col min="6414" max="6654" width="9.125" style="74"/>
    <col min="6655" max="6655" width="8" style="74" customWidth="1"/>
    <col min="6656" max="6656" width="28.5" style="74" customWidth="1"/>
    <col min="6657" max="6668" width="9.125" style="74"/>
    <col min="6669" max="6669" width="10.625" style="74" customWidth="1"/>
    <col min="6670" max="6910" width="9.125" style="74"/>
    <col min="6911" max="6911" width="8" style="74" customWidth="1"/>
    <col min="6912" max="6912" width="28.5" style="74" customWidth="1"/>
    <col min="6913" max="6924" width="9.125" style="74"/>
    <col min="6925" max="6925" width="10.625" style="74" customWidth="1"/>
    <col min="6926" max="7166" width="9.125" style="74"/>
    <col min="7167" max="7167" width="8" style="74" customWidth="1"/>
    <col min="7168" max="7168" width="28.5" style="74" customWidth="1"/>
    <col min="7169" max="7180" width="9.125" style="74"/>
    <col min="7181" max="7181" width="10.625" style="74" customWidth="1"/>
    <col min="7182" max="7422" width="9.125" style="74"/>
    <col min="7423" max="7423" width="8" style="74" customWidth="1"/>
    <col min="7424" max="7424" width="28.5" style="74" customWidth="1"/>
    <col min="7425" max="7436" width="9.125" style="74"/>
    <col min="7437" max="7437" width="10.625" style="74" customWidth="1"/>
    <col min="7438" max="7678" width="9.125" style="74"/>
    <col min="7679" max="7679" width="8" style="74" customWidth="1"/>
    <col min="7680" max="7680" width="28.5" style="74" customWidth="1"/>
    <col min="7681" max="7692" width="9.125" style="74"/>
    <col min="7693" max="7693" width="10.625" style="74" customWidth="1"/>
    <col min="7694" max="7934" width="9.125" style="74"/>
    <col min="7935" max="7935" width="8" style="74" customWidth="1"/>
    <col min="7936" max="7936" width="28.5" style="74" customWidth="1"/>
    <col min="7937" max="7948" width="9.125" style="74"/>
    <col min="7949" max="7949" width="10.625" style="74" customWidth="1"/>
    <col min="7950" max="8190" width="9.125" style="74"/>
    <col min="8191" max="8191" width="8" style="74" customWidth="1"/>
    <col min="8192" max="8192" width="28.5" style="74" customWidth="1"/>
    <col min="8193" max="8204" width="9.125" style="74"/>
    <col min="8205" max="8205" width="10.625" style="74" customWidth="1"/>
    <col min="8206" max="8446" width="9.125" style="74"/>
    <col min="8447" max="8447" width="8" style="74" customWidth="1"/>
    <col min="8448" max="8448" width="28.5" style="74" customWidth="1"/>
    <col min="8449" max="8460" width="9.125" style="74"/>
    <col min="8461" max="8461" width="10.625" style="74" customWidth="1"/>
    <col min="8462" max="8702" width="9.125" style="74"/>
    <col min="8703" max="8703" width="8" style="74" customWidth="1"/>
    <col min="8704" max="8704" width="28.5" style="74" customWidth="1"/>
    <col min="8705" max="8716" width="9.125" style="74"/>
    <col min="8717" max="8717" width="10.625" style="74" customWidth="1"/>
    <col min="8718" max="8958" width="9.125" style="74"/>
    <col min="8959" max="8959" width="8" style="74" customWidth="1"/>
    <col min="8960" max="8960" width="28.5" style="74" customWidth="1"/>
    <col min="8961" max="8972" width="9.125" style="74"/>
    <col min="8973" max="8973" width="10.625" style="74" customWidth="1"/>
    <col min="8974" max="9214" width="9.125" style="74"/>
    <col min="9215" max="9215" width="8" style="74" customWidth="1"/>
    <col min="9216" max="9216" width="28.5" style="74" customWidth="1"/>
    <col min="9217" max="9228" width="9.125" style="74"/>
    <col min="9229" max="9229" width="10.625" style="74" customWidth="1"/>
    <col min="9230" max="9470" width="9.125" style="74"/>
    <col min="9471" max="9471" width="8" style="74" customWidth="1"/>
    <col min="9472" max="9472" width="28.5" style="74" customWidth="1"/>
    <col min="9473" max="9484" width="9.125" style="74"/>
    <col min="9485" max="9485" width="10.625" style="74" customWidth="1"/>
    <col min="9486" max="9726" width="9.125" style="74"/>
    <col min="9727" max="9727" width="8" style="74" customWidth="1"/>
    <col min="9728" max="9728" width="28.5" style="74" customWidth="1"/>
    <col min="9729" max="9740" width="9.125" style="74"/>
    <col min="9741" max="9741" width="10.625" style="74" customWidth="1"/>
    <col min="9742" max="9982" width="9.125" style="74"/>
    <col min="9983" max="9983" width="8" style="74" customWidth="1"/>
    <col min="9984" max="9984" width="28.5" style="74" customWidth="1"/>
    <col min="9985" max="9996" width="9.125" style="74"/>
    <col min="9997" max="9997" width="10.625" style="74" customWidth="1"/>
    <col min="9998" max="10238" width="9.125" style="74"/>
    <col min="10239" max="10239" width="8" style="74" customWidth="1"/>
    <col min="10240" max="10240" width="28.5" style="74" customWidth="1"/>
    <col min="10241" max="10252" width="9.125" style="74"/>
    <col min="10253" max="10253" width="10.625" style="74" customWidth="1"/>
    <col min="10254" max="10494" width="9.125" style="74"/>
    <col min="10495" max="10495" width="8" style="74" customWidth="1"/>
    <col min="10496" max="10496" width="28.5" style="74" customWidth="1"/>
    <col min="10497" max="10508" width="9.125" style="74"/>
    <col min="10509" max="10509" width="10.625" style="74" customWidth="1"/>
    <col min="10510" max="10750" width="9.125" style="74"/>
    <col min="10751" max="10751" width="8" style="74" customWidth="1"/>
    <col min="10752" max="10752" width="28.5" style="74" customWidth="1"/>
    <col min="10753" max="10764" width="9.125" style="74"/>
    <col min="10765" max="10765" width="10.625" style="74" customWidth="1"/>
    <col min="10766" max="11006" width="9.125" style="74"/>
    <col min="11007" max="11007" width="8" style="74" customWidth="1"/>
    <col min="11008" max="11008" width="28.5" style="74" customWidth="1"/>
    <col min="11009" max="11020" width="9.125" style="74"/>
    <col min="11021" max="11021" width="10.625" style="74" customWidth="1"/>
    <col min="11022" max="11262" width="9.125" style="74"/>
    <col min="11263" max="11263" width="8" style="74" customWidth="1"/>
    <col min="11264" max="11264" width="28.5" style="74" customWidth="1"/>
    <col min="11265" max="11276" width="9.125" style="74"/>
    <col min="11277" max="11277" width="10.625" style="74" customWidth="1"/>
    <col min="11278" max="11518" width="9.125" style="74"/>
    <col min="11519" max="11519" width="8" style="74" customWidth="1"/>
    <col min="11520" max="11520" width="28.5" style="74" customWidth="1"/>
    <col min="11521" max="11532" width="9.125" style="74"/>
    <col min="11533" max="11533" width="10.625" style="74" customWidth="1"/>
    <col min="11534" max="11774" width="9.125" style="74"/>
    <col min="11775" max="11775" width="8" style="74" customWidth="1"/>
    <col min="11776" max="11776" width="28.5" style="74" customWidth="1"/>
    <col min="11777" max="11788" width="9.125" style="74"/>
    <col min="11789" max="11789" width="10.625" style="74" customWidth="1"/>
    <col min="11790" max="12030" width="9.125" style="74"/>
    <col min="12031" max="12031" width="8" style="74" customWidth="1"/>
    <col min="12032" max="12032" width="28.5" style="74" customWidth="1"/>
    <col min="12033" max="12044" width="9.125" style="74"/>
    <col min="12045" max="12045" width="10.625" style="74" customWidth="1"/>
    <col min="12046" max="12286" width="9.125" style="74"/>
    <col min="12287" max="12287" width="8" style="74" customWidth="1"/>
    <col min="12288" max="12288" width="28.5" style="74" customWidth="1"/>
    <col min="12289" max="12300" width="9.125" style="74"/>
    <col min="12301" max="12301" width="10.625" style="74" customWidth="1"/>
    <col min="12302" max="12542" width="9.125" style="74"/>
    <col min="12543" max="12543" width="8" style="74" customWidth="1"/>
    <col min="12544" max="12544" width="28.5" style="74" customWidth="1"/>
    <col min="12545" max="12556" width="9.125" style="74"/>
    <col min="12557" max="12557" width="10.625" style="74" customWidth="1"/>
    <col min="12558" max="12798" width="9.125" style="74"/>
    <col min="12799" max="12799" width="8" style="74" customWidth="1"/>
    <col min="12800" max="12800" width="28.5" style="74" customWidth="1"/>
    <col min="12801" max="12812" width="9.125" style="74"/>
    <col min="12813" max="12813" width="10.625" style="74" customWidth="1"/>
    <col min="12814" max="13054" width="9.125" style="74"/>
    <col min="13055" max="13055" width="8" style="74" customWidth="1"/>
    <col min="13056" max="13056" width="28.5" style="74" customWidth="1"/>
    <col min="13057" max="13068" width="9.125" style="74"/>
    <col min="13069" max="13069" width="10.625" style="74" customWidth="1"/>
    <col min="13070" max="13310" width="9.125" style="74"/>
    <col min="13311" max="13311" width="8" style="74" customWidth="1"/>
    <col min="13312" max="13312" width="28.5" style="74" customWidth="1"/>
    <col min="13313" max="13324" width="9.125" style="74"/>
    <col min="13325" max="13325" width="10.625" style="74" customWidth="1"/>
    <col min="13326" max="13566" width="9.125" style="74"/>
    <col min="13567" max="13567" width="8" style="74" customWidth="1"/>
    <col min="13568" max="13568" width="28.5" style="74" customWidth="1"/>
    <col min="13569" max="13580" width="9.125" style="74"/>
    <col min="13581" max="13581" width="10.625" style="74" customWidth="1"/>
    <col min="13582" max="13822" width="9.125" style="74"/>
    <col min="13823" max="13823" width="8" style="74" customWidth="1"/>
    <col min="13824" max="13824" width="28.5" style="74" customWidth="1"/>
    <col min="13825" max="13836" width="9.125" style="74"/>
    <col min="13837" max="13837" width="10.625" style="74" customWidth="1"/>
    <col min="13838" max="14078" width="9.125" style="74"/>
    <col min="14079" max="14079" width="8" style="74" customWidth="1"/>
    <col min="14080" max="14080" width="28.5" style="74" customWidth="1"/>
    <col min="14081" max="14092" width="9.125" style="74"/>
    <col min="14093" max="14093" width="10.625" style="74" customWidth="1"/>
    <col min="14094" max="14334" width="9.125" style="74"/>
    <col min="14335" max="14335" width="8" style="74" customWidth="1"/>
    <col min="14336" max="14336" width="28.5" style="74" customWidth="1"/>
    <col min="14337" max="14348" width="9.125" style="74"/>
    <col min="14349" max="14349" width="10.625" style="74" customWidth="1"/>
    <col min="14350" max="14590" width="9.125" style="74"/>
    <col min="14591" max="14591" width="8" style="74" customWidth="1"/>
    <col min="14592" max="14592" width="28.5" style="74" customWidth="1"/>
    <col min="14593" max="14604" width="9.125" style="74"/>
    <col min="14605" max="14605" width="10.625" style="74" customWidth="1"/>
    <col min="14606" max="14846" width="9.125" style="74"/>
    <col min="14847" max="14847" width="8" style="74" customWidth="1"/>
    <col min="14848" max="14848" width="28.5" style="74" customWidth="1"/>
    <col min="14849" max="14860" width="9.125" style="74"/>
    <col min="14861" max="14861" width="10.625" style="74" customWidth="1"/>
    <col min="14862" max="15102" width="9.125" style="74"/>
    <col min="15103" max="15103" width="8" style="74" customWidth="1"/>
    <col min="15104" max="15104" width="28.5" style="74" customWidth="1"/>
    <col min="15105" max="15116" width="9.125" style="74"/>
    <col min="15117" max="15117" width="10.625" style="74" customWidth="1"/>
    <col min="15118" max="15358" width="9.125" style="74"/>
    <col min="15359" max="15359" width="8" style="74" customWidth="1"/>
    <col min="15360" max="15360" width="28.5" style="74" customWidth="1"/>
    <col min="15361" max="15372" width="9.125" style="74"/>
    <col min="15373" max="15373" width="10.625" style="74" customWidth="1"/>
    <col min="15374" max="15614" width="9.125" style="74"/>
    <col min="15615" max="15615" width="8" style="74" customWidth="1"/>
    <col min="15616" max="15616" width="28.5" style="74" customWidth="1"/>
    <col min="15617" max="15628" width="9.125" style="74"/>
    <col min="15629" max="15629" width="10.625" style="74" customWidth="1"/>
    <col min="15630" max="15870" width="9.125" style="74"/>
    <col min="15871" max="15871" width="8" style="74" customWidth="1"/>
    <col min="15872" max="15872" width="28.5" style="74" customWidth="1"/>
    <col min="15873" max="15884" width="9.125" style="74"/>
    <col min="15885" max="15885" width="10.625" style="74" customWidth="1"/>
    <col min="15886" max="16126" width="9.125" style="74"/>
    <col min="16127" max="16127" width="8" style="74" customWidth="1"/>
    <col min="16128" max="16128" width="28.5" style="74" customWidth="1"/>
    <col min="16129" max="16140" width="9.125" style="74"/>
    <col min="16141" max="16141" width="10.625" style="74" customWidth="1"/>
    <col min="16142" max="16384" width="9.125" style="74"/>
  </cols>
  <sheetData>
    <row r="1" spans="1:13" ht="18.75">
      <c r="A1" s="75" t="s">
        <v>113</v>
      </c>
      <c r="B1" s="76"/>
      <c r="C1" s="77"/>
      <c r="D1" s="77"/>
      <c r="E1" s="76"/>
      <c r="F1" s="77"/>
      <c r="G1" s="77"/>
      <c r="H1" s="76"/>
      <c r="I1" s="77"/>
      <c r="J1" s="77"/>
      <c r="K1" s="77"/>
      <c r="L1" s="77"/>
      <c r="M1" s="77"/>
    </row>
    <row r="2" spans="1:13" ht="12">
      <c r="A2" s="74" t="s">
        <v>114</v>
      </c>
      <c r="B2" s="78"/>
    </row>
    <row r="3" spans="1:13" ht="16.899999999999999" customHeight="1">
      <c r="A3" s="79" t="s">
        <v>15</v>
      </c>
      <c r="B3" s="79" t="s">
        <v>115</v>
      </c>
      <c r="C3" s="245" t="s">
        <v>116</v>
      </c>
      <c r="D3" s="245"/>
      <c r="E3" s="245"/>
      <c r="F3" s="81"/>
      <c r="G3" s="82"/>
      <c r="H3" s="83"/>
      <c r="I3" s="83"/>
      <c r="J3" s="83" t="s">
        <v>117</v>
      </c>
      <c r="K3" s="83"/>
      <c r="L3" s="83"/>
      <c r="M3" s="104"/>
    </row>
    <row r="4" spans="1:13" ht="16.149999999999999" customHeight="1">
      <c r="A4" s="84"/>
      <c r="B4" s="84" t="s">
        <v>118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119</v>
      </c>
    </row>
    <row r="5" spans="1:13" ht="15.6" customHeight="1">
      <c r="A5" s="86">
        <v>1</v>
      </c>
      <c r="B5" s="87" t="s">
        <v>120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>
        <f t="shared" si="1"/>
        <v>2025000</v>
      </c>
      <c r="G5" s="88">
        <f t="shared" si="1"/>
        <v>20250000</v>
      </c>
      <c r="H5" s="88">
        <f t="shared" si="1"/>
        <v>60750000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>
        <f t="shared" si="1"/>
        <v>204525000</v>
      </c>
      <c r="M5" s="92" t="e">
        <f t="shared" ref="M5:M17" si="2">SUM(C5:L5)</f>
        <v>#REF!</v>
      </c>
    </row>
    <row r="6" spans="1:13" ht="15.6" customHeight="1">
      <c r="A6" s="86">
        <v>1.1000000000000001</v>
      </c>
      <c r="B6" s="89" t="s">
        <v>121</v>
      </c>
      <c r="C6" s="90"/>
      <c r="D6" s="90"/>
      <c r="E6" s="90" t="e">
        <f>损益表!#REF!</f>
        <v>#REF!</v>
      </c>
      <c r="F6" s="90">
        <f>损益表!C4</f>
        <v>2025000</v>
      </c>
      <c r="G6" s="90">
        <f>损益表!D4</f>
        <v>20250000</v>
      </c>
      <c r="H6" s="90">
        <f>损益表!E4</f>
        <v>60750000</v>
      </c>
      <c r="I6" s="90" t="e">
        <f>损益表!#REF!</f>
        <v>#REF!</v>
      </c>
      <c r="J6" s="90" t="e">
        <f>损益表!#REF!</f>
        <v>#REF!</v>
      </c>
      <c r="K6" s="90" t="e">
        <f>损益表!#REF!</f>
        <v>#REF!</v>
      </c>
      <c r="L6" s="90">
        <f>损益表!H4</f>
        <v>204525000</v>
      </c>
      <c r="M6" s="92" t="e">
        <f t="shared" si="2"/>
        <v>#REF!</v>
      </c>
    </row>
    <row r="7" spans="1:13" ht="15.6" customHeight="1">
      <c r="A7" s="86">
        <v>1.2</v>
      </c>
      <c r="B7" s="89" t="s">
        <v>122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spans="1:13" ht="15.6" customHeight="1">
      <c r="A8" s="86">
        <v>1.3</v>
      </c>
      <c r="B8" s="89" t="s">
        <v>123</v>
      </c>
      <c r="C8" s="90" t="s">
        <v>124</v>
      </c>
      <c r="D8" s="90" t="s">
        <v>124</v>
      </c>
      <c r="E8" s="90" t="s">
        <v>124</v>
      </c>
      <c r="F8" s="90" t="s">
        <v>124</v>
      </c>
      <c r="G8" s="90" t="s">
        <v>124</v>
      </c>
      <c r="H8" s="90" t="s">
        <v>124</v>
      </c>
      <c r="I8" s="90" t="s">
        <v>124</v>
      </c>
      <c r="J8" s="90" t="s">
        <v>124</v>
      </c>
      <c r="K8" s="90" t="s">
        <v>124</v>
      </c>
      <c r="L8" s="90"/>
      <c r="M8" s="92">
        <f t="shared" si="2"/>
        <v>0</v>
      </c>
    </row>
    <row r="9" spans="1:13" s="73" customFormat="1" ht="15.6" customHeight="1">
      <c r="A9" s="91">
        <v>1.4</v>
      </c>
      <c r="B9" s="92" t="s">
        <v>125</v>
      </c>
      <c r="C9" s="90" t="s">
        <v>124</v>
      </c>
      <c r="D9" s="90" t="s">
        <v>124</v>
      </c>
      <c r="E9" s="90" t="s">
        <v>124</v>
      </c>
      <c r="F9" s="90" t="s">
        <v>124</v>
      </c>
      <c r="G9" s="90" t="s">
        <v>124</v>
      </c>
      <c r="H9" s="90" t="s">
        <v>124</v>
      </c>
      <c r="I9" s="90" t="s">
        <v>124</v>
      </c>
      <c r="J9" s="90" t="s">
        <v>124</v>
      </c>
      <c r="K9" s="90" t="s">
        <v>124</v>
      </c>
      <c r="L9" s="90" t="s">
        <v>124</v>
      </c>
      <c r="M9" s="92">
        <f t="shared" si="2"/>
        <v>0</v>
      </c>
    </row>
    <row r="10" spans="1:13" ht="15.6" customHeight="1">
      <c r="A10" s="91">
        <v>2</v>
      </c>
      <c r="B10" s="87" t="s">
        <v>126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spans="1:13" ht="15" customHeight="1">
      <c r="A11" s="86">
        <v>2.1</v>
      </c>
      <c r="B11" s="86" t="s">
        <v>127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pans="1:13" s="73" customFormat="1" ht="15" customHeight="1">
      <c r="A12" s="86">
        <v>2.2000000000000002</v>
      </c>
      <c r="B12" s="92" t="s">
        <v>128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spans="1:13" ht="15" customHeight="1">
      <c r="A13" s="86">
        <v>2.2999999999999998</v>
      </c>
      <c r="B13" s="89" t="s">
        <v>129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spans="1:13" ht="15" customHeight="1">
      <c r="A14" s="86">
        <v>2.4</v>
      </c>
      <c r="B14" s="89" t="s">
        <v>130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spans="1:13" ht="15" customHeight="1">
      <c r="A15" s="86">
        <v>2.5</v>
      </c>
      <c r="B15" s="89" t="s">
        <v>56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spans="1:13" ht="15" customHeight="1">
      <c r="A16" s="86">
        <v>2.6</v>
      </c>
      <c r="B16" s="89" t="s">
        <v>131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spans="1:18" ht="12">
      <c r="A17" s="86">
        <v>3</v>
      </c>
      <c r="B17" s="87" t="s">
        <v>132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>
        <f t="shared" si="4"/>
        <v>2025000</v>
      </c>
      <c r="G17" s="88">
        <f t="shared" si="4"/>
        <v>20250000</v>
      </c>
      <c r="H17" s="88">
        <f t="shared" si="4"/>
        <v>60750000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>
        <f t="shared" si="4"/>
        <v>204525000</v>
      </c>
      <c r="M17" s="92" t="e">
        <f t="shared" si="2"/>
        <v>#REF!</v>
      </c>
    </row>
    <row r="18" spans="1:18" ht="12">
      <c r="A18" s="93">
        <v>4</v>
      </c>
      <c r="B18" s="89" t="s">
        <v>133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124</v>
      </c>
    </row>
    <row r="19" spans="1:18" s="73" customFormat="1" ht="12">
      <c r="A19" s="93">
        <v>5</v>
      </c>
      <c r="B19" s="89" t="s">
        <v>134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>
        <f t="shared" si="6"/>
        <v>2025000</v>
      </c>
      <c r="G19" s="90">
        <f t="shared" si="6"/>
        <v>20250000</v>
      </c>
      <c r="H19" s="90">
        <f t="shared" si="6"/>
        <v>60750000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>
        <f t="shared" si="6"/>
        <v>204525000</v>
      </c>
      <c r="M19" s="92" t="e">
        <f>SUM(C19:L19)</f>
        <v>#REF!</v>
      </c>
    </row>
    <row r="20" spans="1:18" s="73" customFormat="1" ht="12">
      <c r="A20" s="86">
        <v>6</v>
      </c>
      <c r="B20" s="89" t="s">
        <v>135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124</v>
      </c>
    </row>
    <row r="21" spans="1:18" ht="12">
      <c r="A21" s="94"/>
      <c r="B21" s="95" t="s">
        <v>136</v>
      </c>
      <c r="C21" s="95"/>
      <c r="D21" s="95"/>
      <c r="E21" s="95" t="s">
        <v>137</v>
      </c>
      <c r="F21" s="95"/>
      <c r="G21" s="95"/>
      <c r="H21" s="95"/>
      <c r="I21" s="95" t="s">
        <v>138</v>
      </c>
      <c r="J21" s="95"/>
      <c r="K21" s="95"/>
      <c r="L21" s="95"/>
      <c r="M21" s="106"/>
    </row>
    <row r="22" spans="1:18" ht="12">
      <c r="A22" s="96"/>
      <c r="B22" s="97" t="s">
        <v>139</v>
      </c>
      <c r="C22" s="97"/>
      <c r="D22" s="98" t="s">
        <v>140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spans="1:18" ht="12">
      <c r="A23" s="96"/>
      <c r="B23" s="97" t="s">
        <v>141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4">
        <f>30.9-29.82</f>
        <v>1.0799999999999983</v>
      </c>
    </row>
    <row r="24" spans="1:18" ht="12">
      <c r="A24" s="101"/>
      <c r="B24" s="102" t="s">
        <v>142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workbookViewId="0">
      <pane xSplit="2" ySplit="7" topLeftCell="C14" activePane="bottomRight" state="frozen"/>
      <selection pane="topRight"/>
      <selection pane="bottomLeft"/>
      <selection pane="bottomRight" activeCell="E25" sqref="E25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4" width="15.125" style="50" customWidth="1"/>
    <col min="5" max="5" width="18.75" style="50" customWidth="1"/>
    <col min="6" max="6" width="12.375" style="49" customWidth="1"/>
    <col min="7" max="7" width="10.125" style="49" customWidth="1"/>
    <col min="8" max="14" width="9" style="49" customWidth="1"/>
    <col min="15" max="28" width="9" style="49"/>
    <col min="29" max="29" width="4.375" style="49" customWidth="1"/>
    <col min="30" max="30" width="13.875" style="49" customWidth="1"/>
    <col min="31" max="16384" width="9" style="49"/>
  </cols>
  <sheetData>
    <row r="1" spans="1:31">
      <c r="A1" s="246" t="s">
        <v>143</v>
      </c>
      <c r="B1" s="246"/>
      <c r="C1" s="250" t="s">
        <v>249</v>
      </c>
      <c r="D1" s="251"/>
      <c r="E1" s="252"/>
    </row>
    <row r="2" spans="1:31">
      <c r="A2" s="246" t="s">
        <v>144</v>
      </c>
      <c r="B2" s="246"/>
      <c r="C2" s="253" t="s">
        <v>259</v>
      </c>
      <c r="D2" s="253"/>
      <c r="E2" s="253"/>
    </row>
    <row r="3" spans="1:31">
      <c r="A3" s="246" t="s">
        <v>145</v>
      </c>
      <c r="B3" s="246"/>
      <c r="C3" s="162" t="str">
        <f>销量!C5</f>
        <v>司机座椅</v>
      </c>
      <c r="D3" s="162" t="str">
        <f>销量!D5</f>
        <v>副司机座椅</v>
      </c>
      <c r="E3" s="247" t="s">
        <v>17</v>
      </c>
    </row>
    <row r="4" spans="1:31">
      <c r="A4" s="246" t="s">
        <v>146</v>
      </c>
      <c r="B4" s="246"/>
      <c r="C4" s="162" t="str">
        <f>销量!C6</f>
        <v>DZ15221519945</v>
      </c>
      <c r="D4" s="162" t="str">
        <f>销量!D6</f>
        <v>副司机暂无</v>
      </c>
      <c r="E4" s="248"/>
    </row>
    <row r="5" spans="1:31">
      <c r="A5" s="246" t="s">
        <v>147</v>
      </c>
      <c r="B5" s="246"/>
      <c r="C5" s="52"/>
      <c r="D5" s="52"/>
      <c r="E5" s="249"/>
      <c r="AE5" s="49" t="s">
        <v>18</v>
      </c>
    </row>
    <row r="6" spans="1:31" ht="17.25">
      <c r="A6" s="53" t="s">
        <v>15</v>
      </c>
      <c r="B6" s="54" t="s">
        <v>148</v>
      </c>
      <c r="C6" s="23">
        <f>销量!C9</f>
        <v>1000</v>
      </c>
      <c r="D6" s="23">
        <f>销量!D9</f>
        <v>1000</v>
      </c>
      <c r="E6" s="55">
        <f t="shared" ref="E6:E15" si="0">SUM(C6:D6)</f>
        <v>2000</v>
      </c>
      <c r="AC6" s="53" t="s">
        <v>15</v>
      </c>
      <c r="AD6" s="54" t="s">
        <v>3</v>
      </c>
      <c r="AE6" s="49" t="s">
        <v>19</v>
      </c>
    </row>
    <row r="7" spans="1:31">
      <c r="A7" s="51">
        <v>1</v>
      </c>
      <c r="B7" s="54" t="s">
        <v>20</v>
      </c>
      <c r="C7" s="55">
        <f>C6*销量!C8</f>
        <v>1495000</v>
      </c>
      <c r="D7" s="55">
        <f>D6*销量!D8</f>
        <v>530000</v>
      </c>
      <c r="E7" s="55">
        <f t="shared" si="0"/>
        <v>2025000</v>
      </c>
      <c r="F7" s="50"/>
      <c r="AC7" s="53" t="s">
        <v>21</v>
      </c>
      <c r="AD7" s="54" t="s">
        <v>20</v>
      </c>
      <c r="AE7" s="49" t="s">
        <v>19</v>
      </c>
    </row>
    <row r="8" spans="1:31">
      <c r="A8" s="51">
        <v>2</v>
      </c>
      <c r="B8" s="51" t="s">
        <v>22</v>
      </c>
      <c r="C8" s="55"/>
      <c r="D8" s="55"/>
      <c r="E8" s="55">
        <f t="shared" si="0"/>
        <v>0</v>
      </c>
      <c r="F8" s="70"/>
      <c r="AC8" s="53" t="s">
        <v>23</v>
      </c>
      <c r="AD8" s="51" t="s">
        <v>24</v>
      </c>
      <c r="AE8" s="49" t="s">
        <v>19</v>
      </c>
    </row>
    <row r="9" spans="1:31">
      <c r="A9" s="51">
        <v>3</v>
      </c>
      <c r="B9" s="54" t="s">
        <v>25</v>
      </c>
      <c r="C9" s="55">
        <f>+C7-C8</f>
        <v>1495000</v>
      </c>
      <c r="D9" s="55">
        <f t="shared" ref="D9" si="1">+D7-D8</f>
        <v>530000</v>
      </c>
      <c r="E9" s="55">
        <f t="shared" si="0"/>
        <v>2025000</v>
      </c>
      <c r="AC9" s="53" t="s">
        <v>26</v>
      </c>
      <c r="AD9" s="54" t="s">
        <v>25</v>
      </c>
      <c r="AE9" s="49" t="s">
        <v>27</v>
      </c>
    </row>
    <row r="10" spans="1:31">
      <c r="A10" s="51">
        <v>4</v>
      </c>
      <c r="B10" s="53" t="s">
        <v>28</v>
      </c>
      <c r="C10" s="55">
        <f>C6*材料成本!E41</f>
        <v>1131907.2128333335</v>
      </c>
      <c r="D10" s="55">
        <f>D6*材料成本!E42</f>
        <v>397240</v>
      </c>
      <c r="E10" s="55">
        <f t="shared" si="0"/>
        <v>1529147.2128333335</v>
      </c>
      <c r="AC10" s="53" t="s">
        <v>29</v>
      </c>
      <c r="AD10" s="53" t="s">
        <v>28</v>
      </c>
      <c r="AE10" s="49" t="s">
        <v>30</v>
      </c>
    </row>
    <row r="11" spans="1:31">
      <c r="A11" s="51">
        <v>5</v>
      </c>
      <c r="B11" s="53" t="s">
        <v>31</v>
      </c>
      <c r="C11" s="55">
        <f>+C6*C36</f>
        <v>84048.879626820752</v>
      </c>
      <c r="D11" s="55">
        <f t="shared" ref="D11" si="2">+D6*D36</f>
        <v>29796.592777401336</v>
      </c>
      <c r="E11" s="55">
        <f t="shared" si="0"/>
        <v>113845.47240422209</v>
      </c>
      <c r="AC11" s="53" t="s">
        <v>32</v>
      </c>
      <c r="AD11" s="53" t="s">
        <v>31</v>
      </c>
    </row>
    <row r="12" spans="1:31">
      <c r="A12" s="51">
        <v>6</v>
      </c>
      <c r="B12" s="53" t="s">
        <v>33</v>
      </c>
      <c r="C12" s="55">
        <f>+C6*C37</f>
        <v>22538.604453609521</v>
      </c>
      <c r="D12" s="55">
        <f t="shared" ref="D12" si="3">+D6*D37</f>
        <v>7990.2744885706006</v>
      </c>
      <c r="E12" s="55">
        <f t="shared" si="0"/>
        <v>30528.878942180123</v>
      </c>
      <c r="AC12" s="53" t="s">
        <v>34</v>
      </c>
      <c r="AD12" s="53" t="s">
        <v>33</v>
      </c>
    </row>
    <row r="13" spans="1:31">
      <c r="A13" s="51">
        <v>7</v>
      </c>
      <c r="B13" s="53" t="s">
        <v>35</v>
      </c>
      <c r="C13" s="55">
        <f>+C6*C38</f>
        <v>59799.999999999993</v>
      </c>
      <c r="D13" s="55">
        <f t="shared" ref="D13" si="4">+D6*D38</f>
        <v>21199.999999999996</v>
      </c>
      <c r="E13" s="55">
        <f t="shared" si="0"/>
        <v>80999.999999999985</v>
      </c>
      <c r="AC13" s="53" t="s">
        <v>36</v>
      </c>
      <c r="AD13" s="53" t="s">
        <v>35</v>
      </c>
      <c r="AE13" s="49" t="s">
        <v>19</v>
      </c>
    </row>
    <row r="14" spans="1:31">
      <c r="A14" s="51">
        <v>8</v>
      </c>
      <c r="B14" s="56" t="s">
        <v>37</v>
      </c>
      <c r="C14" s="55">
        <f>SUM(C11:C13)</f>
        <v>166387.48408043027</v>
      </c>
      <c r="D14" s="55">
        <f t="shared" ref="D14" si="5">SUM(D11:D13)</f>
        <v>58986.86726597193</v>
      </c>
      <c r="E14" s="55">
        <f t="shared" si="0"/>
        <v>225374.3513464022</v>
      </c>
      <c r="AC14" s="53" t="s">
        <v>38</v>
      </c>
      <c r="AD14" s="56" t="s">
        <v>37</v>
      </c>
    </row>
    <row r="15" spans="1:31">
      <c r="A15" s="51">
        <v>9</v>
      </c>
      <c r="B15" s="56" t="s">
        <v>39</v>
      </c>
      <c r="C15" s="55">
        <f>+C9-C10-C14</f>
        <v>196705.30308623621</v>
      </c>
      <c r="D15" s="55">
        <f t="shared" ref="D15" si="6">+D9-D10-D14</f>
        <v>73773.13273402807</v>
      </c>
      <c r="E15" s="55">
        <f t="shared" si="0"/>
        <v>270478.43582026428</v>
      </c>
      <c r="AC15" s="53" t="s">
        <v>40</v>
      </c>
      <c r="AD15" s="56" t="s">
        <v>39</v>
      </c>
    </row>
    <row r="16" spans="1:31">
      <c r="A16" s="51">
        <v>10</v>
      </c>
      <c r="B16" s="53" t="s">
        <v>41</v>
      </c>
      <c r="C16" s="57">
        <f>+C15/C9</f>
        <v>0.13157545356938877</v>
      </c>
      <c r="D16" s="57">
        <f t="shared" ref="D16" si="7">+D15/D9</f>
        <v>0.1391945900642039</v>
      </c>
      <c r="E16" s="57">
        <f t="shared" ref="E16" si="8">+E15/E9</f>
        <v>0.13356959793593298</v>
      </c>
      <c r="AC16" s="53" t="s">
        <v>42</v>
      </c>
      <c r="AD16" s="53" t="s">
        <v>41</v>
      </c>
    </row>
    <row r="17" spans="1:31">
      <c r="A17" s="51">
        <v>11</v>
      </c>
      <c r="B17" s="53" t="s">
        <v>43</v>
      </c>
      <c r="C17" s="55">
        <f>C6*C43+C18</f>
        <v>95964.999999999985</v>
      </c>
      <c r="D17" s="55">
        <f t="shared" ref="D17" si="9">D6*D43+D18</f>
        <v>52540</v>
      </c>
      <c r="E17" s="55">
        <f>SUM(C17:D17)</f>
        <v>148505</v>
      </c>
      <c r="F17" s="171"/>
      <c r="G17" s="172"/>
      <c r="H17" s="172"/>
      <c r="AC17" s="53" t="s">
        <v>44</v>
      </c>
      <c r="AD17" s="53" t="s">
        <v>43</v>
      </c>
    </row>
    <row r="18" spans="1:31" s="47" customFormat="1">
      <c r="A18" s="51">
        <v>12</v>
      </c>
      <c r="B18" s="58" t="s">
        <v>149</v>
      </c>
      <c r="C18" s="59">
        <f>$E$18/$E$6*C6</f>
        <v>28690</v>
      </c>
      <c r="D18" s="59">
        <f>$E$18/$E$6*D6</f>
        <v>28690</v>
      </c>
      <c r="E18" s="59">
        <f>项目投资!D26</f>
        <v>57380</v>
      </c>
      <c r="F18" s="173" t="s">
        <v>150</v>
      </c>
      <c r="G18" s="173"/>
      <c r="H18" s="173"/>
    </row>
    <row r="19" spans="1:31">
      <c r="A19" s="51">
        <v>13</v>
      </c>
      <c r="B19" s="53" t="s">
        <v>45</v>
      </c>
      <c r="C19" s="55">
        <f>C6*C44</f>
        <v>10465</v>
      </c>
      <c r="D19" s="55">
        <f t="shared" ref="D19" si="10">D6*D44</f>
        <v>3710</v>
      </c>
      <c r="E19" s="55">
        <f>SUM(C19:D19)</f>
        <v>14175</v>
      </c>
      <c r="F19" s="174"/>
      <c r="G19" s="172"/>
      <c r="H19" s="172"/>
      <c r="AC19" s="53" t="s">
        <v>46</v>
      </c>
      <c r="AD19" s="53" t="s">
        <v>45</v>
      </c>
      <c r="AE19" s="49" t="s">
        <v>19</v>
      </c>
    </row>
    <row r="20" spans="1:31">
      <c r="A20" s="51">
        <v>14</v>
      </c>
      <c r="B20" s="53" t="s">
        <v>47</v>
      </c>
      <c r="C20" s="55">
        <f>C6*C45</f>
        <v>44850</v>
      </c>
      <c r="D20" s="55">
        <f t="shared" ref="D20" si="11">D6*D45</f>
        <v>15899.999999999998</v>
      </c>
      <c r="E20" s="55">
        <f>SUM(C20:D20)</f>
        <v>60750</v>
      </c>
      <c r="AC20" s="53" t="s">
        <v>48</v>
      </c>
      <c r="AD20" s="53" t="s">
        <v>47</v>
      </c>
    </row>
    <row r="21" spans="1:31">
      <c r="A21" s="51">
        <v>15</v>
      </c>
      <c r="B21" s="53" t="s">
        <v>49</v>
      </c>
      <c r="C21" s="60">
        <f>$E$21/$E$6*C6</f>
        <v>48850</v>
      </c>
      <c r="D21" s="60">
        <f>$E$21/$E$6*D6</f>
        <v>48850</v>
      </c>
      <c r="E21" s="55">
        <f>项目投资!D27</f>
        <v>97700</v>
      </c>
      <c r="AC21" s="53"/>
      <c r="AD21" s="53"/>
    </row>
    <row r="22" spans="1:31">
      <c r="A22" s="51">
        <v>16</v>
      </c>
      <c r="B22" s="53" t="s">
        <v>50</v>
      </c>
      <c r="C22" s="55">
        <f>C6*C47</f>
        <v>59800.000000000007</v>
      </c>
      <c r="D22" s="55">
        <f t="shared" ref="D22" si="12">D6*D47</f>
        <v>21200</v>
      </c>
      <c r="E22" s="55">
        <f>SUM(C22:D22)</f>
        <v>81000</v>
      </c>
      <c r="AC22" s="53" t="s">
        <v>51</v>
      </c>
      <c r="AD22" s="53" t="s">
        <v>50</v>
      </c>
    </row>
    <row r="23" spans="1:31">
      <c r="A23" s="51">
        <v>17</v>
      </c>
      <c r="B23" s="56" t="s">
        <v>52</v>
      </c>
      <c r="C23" s="60">
        <f>+C22+C21+C20+C19+C17</f>
        <v>259930</v>
      </c>
      <c r="D23" s="60">
        <f t="shared" ref="D23" si="13">+D22+D21+D20+D19+D17</f>
        <v>142200</v>
      </c>
      <c r="E23" s="60">
        <f t="shared" ref="E23" si="14">+E22+E21+E20+E19+E17</f>
        <v>402130</v>
      </c>
      <c r="AC23" s="53" t="s">
        <v>53</v>
      </c>
      <c r="AD23" s="56" t="s">
        <v>52</v>
      </c>
    </row>
    <row r="24" spans="1:31">
      <c r="A24" s="51">
        <v>18</v>
      </c>
      <c r="B24" s="61" t="s">
        <v>54</v>
      </c>
      <c r="C24" s="60">
        <f>+C15-C23</f>
        <v>-63224.696913763793</v>
      </c>
      <c r="D24" s="60">
        <f t="shared" ref="D24" si="15">+D15-D23</f>
        <v>-68426.86726597193</v>
      </c>
      <c r="E24" s="60">
        <f t="shared" ref="E24" si="16">+E15-E23</f>
        <v>-131651.56417973572</v>
      </c>
      <c r="G24" s="72"/>
      <c r="AC24" s="53" t="s">
        <v>55</v>
      </c>
      <c r="AD24" s="53" t="s">
        <v>54</v>
      </c>
    </row>
    <row r="25" spans="1:31">
      <c r="A25" s="51">
        <v>19</v>
      </c>
      <c r="B25" s="53" t="s">
        <v>270</v>
      </c>
      <c r="C25" s="60">
        <f>IF(C24&lt;0,0,C24*0.15)</f>
        <v>0</v>
      </c>
      <c r="D25" s="60">
        <f>IF(D24&lt;0,0,D24*0.15)</f>
        <v>0</v>
      </c>
      <c r="E25" s="60">
        <f>IF(E24&lt;0,0,E24*0.15)</f>
        <v>0</v>
      </c>
      <c r="F25" s="68"/>
      <c r="G25" s="68"/>
      <c r="H25" s="68"/>
      <c r="AC25" s="53" t="s">
        <v>57</v>
      </c>
      <c r="AD25" s="53" t="s">
        <v>56</v>
      </c>
    </row>
    <row r="26" spans="1:31">
      <c r="A26" s="51">
        <v>20</v>
      </c>
      <c r="B26" s="53" t="s">
        <v>58</v>
      </c>
      <c r="C26" s="60">
        <f t="shared" ref="C26:D26" si="17">C24-C25</f>
        <v>-63224.696913763793</v>
      </c>
      <c r="D26" s="60">
        <f t="shared" si="17"/>
        <v>-68426.86726597193</v>
      </c>
      <c r="E26" s="55">
        <f>E24-E25</f>
        <v>-131651.56417973572</v>
      </c>
      <c r="F26" s="68"/>
      <c r="G26" s="68"/>
      <c r="H26" s="68"/>
      <c r="AC26" s="53" t="s">
        <v>59</v>
      </c>
      <c r="AD26" s="53" t="s">
        <v>58</v>
      </c>
    </row>
    <row r="27" spans="1:31">
      <c r="A27" s="51">
        <v>21</v>
      </c>
      <c r="B27" s="53" t="s">
        <v>62</v>
      </c>
      <c r="C27" s="62">
        <f t="shared" ref="C27:E27" si="18">C26/C7</f>
        <v>-4.2290767166397188E-2</v>
      </c>
      <c r="D27" s="62">
        <f t="shared" ref="D27" si="19">D26/D7</f>
        <v>-0.12910729672824892</v>
      </c>
      <c r="E27" s="62">
        <f t="shared" si="18"/>
        <v>-6.5013118113449744E-2</v>
      </c>
      <c r="F27" s="68"/>
      <c r="G27" s="68"/>
      <c r="H27" s="68"/>
      <c r="AC27" s="53" t="s">
        <v>61</v>
      </c>
      <c r="AD27" s="53" t="s">
        <v>62</v>
      </c>
    </row>
    <row r="28" spans="1:31">
      <c r="F28" s="68"/>
      <c r="G28" s="68"/>
      <c r="H28" s="68"/>
    </row>
    <row r="29" spans="1:31">
      <c r="A29" s="49" t="s">
        <v>63</v>
      </c>
      <c r="E29" s="50" t="s">
        <v>151</v>
      </c>
      <c r="F29" s="68"/>
      <c r="G29" s="68"/>
      <c r="H29" s="68"/>
      <c r="AC29" s="49" t="s">
        <v>63</v>
      </c>
    </row>
    <row r="30" spans="1:31">
      <c r="A30" s="53" t="s">
        <v>68</v>
      </c>
      <c r="B30" s="56" t="s">
        <v>69</v>
      </c>
      <c r="C30" s="60"/>
      <c r="D30" s="60"/>
      <c r="E30" s="60"/>
      <c r="F30" s="68"/>
      <c r="G30" s="68"/>
      <c r="H30" s="68"/>
      <c r="J30" s="68"/>
      <c r="AC30" s="53" t="s">
        <v>70</v>
      </c>
      <c r="AD30" s="56" t="s">
        <v>69</v>
      </c>
    </row>
    <row r="31" spans="1:31">
      <c r="A31" s="63">
        <v>1</v>
      </c>
      <c r="B31" s="58" t="s">
        <v>71</v>
      </c>
      <c r="C31" s="64">
        <f>销量!C8</f>
        <v>1495</v>
      </c>
      <c r="D31" s="64">
        <f>销量!D8</f>
        <v>530</v>
      </c>
      <c r="E31" s="60"/>
      <c r="F31" s="68"/>
      <c r="G31" s="68"/>
      <c r="H31" s="68"/>
      <c r="J31" s="68"/>
      <c r="AC31" s="53" t="s">
        <v>21</v>
      </c>
      <c r="AD31" s="53" t="s">
        <v>71</v>
      </c>
    </row>
    <row r="32" spans="1:31">
      <c r="A32" s="63">
        <v>2</v>
      </c>
      <c r="B32" s="53" t="s">
        <v>152</v>
      </c>
      <c r="C32" s="55">
        <f>C31*1</f>
        <v>1495</v>
      </c>
      <c r="D32" s="55">
        <f t="shared" ref="D32" si="20">D31*1</f>
        <v>530</v>
      </c>
      <c r="E32" s="60"/>
      <c r="F32" s="68"/>
      <c r="G32" s="68"/>
      <c r="H32" s="68"/>
      <c r="I32" s="68"/>
      <c r="J32" s="68"/>
      <c r="K32" s="68"/>
      <c r="L32" s="68"/>
      <c r="AC32" s="53"/>
      <c r="AD32" s="53"/>
    </row>
    <row r="33" spans="1:30">
      <c r="A33" s="63">
        <v>3</v>
      </c>
      <c r="B33" s="58" t="s">
        <v>72</v>
      </c>
      <c r="C33" s="55">
        <f>材料成本!E41</f>
        <v>1131.9072128333335</v>
      </c>
      <c r="D33" s="55">
        <f>材料成本!E42</f>
        <v>397.24</v>
      </c>
      <c r="E33" s="60"/>
      <c r="G33" s="68"/>
      <c r="H33" s="68"/>
      <c r="I33" s="68"/>
      <c r="J33" s="68"/>
      <c r="K33" s="68"/>
      <c r="L33" s="68"/>
      <c r="AC33" s="53" t="s">
        <v>23</v>
      </c>
      <c r="AD33" s="53" t="s">
        <v>72</v>
      </c>
    </row>
    <row r="34" spans="1:30" ht="17.25" customHeight="1">
      <c r="A34" s="63">
        <v>4</v>
      </c>
      <c r="B34" s="53" t="s">
        <v>74</v>
      </c>
      <c r="C34" s="65">
        <f>C32-C33</f>
        <v>363.09278716666654</v>
      </c>
      <c r="D34" s="65">
        <f t="shared" ref="D34" si="21">D32-D33</f>
        <v>132.76</v>
      </c>
      <c r="E34" s="60"/>
      <c r="G34" s="68"/>
      <c r="H34" s="68"/>
      <c r="I34" s="68"/>
      <c r="J34" s="68"/>
      <c r="K34" s="68"/>
      <c r="L34" s="68"/>
      <c r="AC34" s="53" t="s">
        <v>73</v>
      </c>
      <c r="AD34" s="53" t="s">
        <v>74</v>
      </c>
    </row>
    <row r="35" spans="1:30">
      <c r="A35" s="53" t="s">
        <v>70</v>
      </c>
      <c r="B35" s="56" t="s">
        <v>9</v>
      </c>
      <c r="C35" s="60"/>
      <c r="D35" s="60"/>
      <c r="E35" s="60"/>
      <c r="F35" s="68"/>
      <c r="G35" s="68"/>
      <c r="H35" s="68"/>
      <c r="I35" s="68"/>
      <c r="J35" s="68"/>
      <c r="K35" s="68"/>
      <c r="L35" s="68"/>
      <c r="M35" s="68"/>
      <c r="N35" s="68"/>
      <c r="AC35" s="53" t="s">
        <v>76</v>
      </c>
      <c r="AD35" s="56" t="s">
        <v>9</v>
      </c>
    </row>
    <row r="36" spans="1:30">
      <c r="A36" s="63">
        <v>1</v>
      </c>
      <c r="B36" s="53" t="s">
        <v>77</v>
      </c>
      <c r="C36" s="59">
        <f>标准成本!E4</f>
        <v>84.048879626820749</v>
      </c>
      <c r="D36" s="59">
        <f>标准成本!E18</f>
        <v>29.796592777401337</v>
      </c>
      <c r="E36" s="64"/>
      <c r="F36" s="68"/>
      <c r="G36" s="68"/>
      <c r="H36" s="68"/>
      <c r="I36" s="68"/>
      <c r="J36" s="68"/>
      <c r="K36" s="68"/>
      <c r="L36" s="68"/>
      <c r="M36" s="68"/>
      <c r="N36" s="68"/>
      <c r="AC36" s="53" t="s">
        <v>73</v>
      </c>
      <c r="AD36" s="53" t="s">
        <v>77</v>
      </c>
    </row>
    <row r="37" spans="1:30">
      <c r="A37" s="63">
        <v>2</v>
      </c>
      <c r="B37" s="53" t="s">
        <v>78</v>
      </c>
      <c r="C37" s="59">
        <f>标准成本!E6</f>
        <v>22.538604453609523</v>
      </c>
      <c r="D37" s="59">
        <f>标准成本!E20</f>
        <v>7.9902744885706003</v>
      </c>
      <c r="E37" s="64"/>
      <c r="F37" s="68"/>
      <c r="G37" s="68"/>
      <c r="H37" s="68"/>
      <c r="I37" s="68"/>
      <c r="J37" s="68"/>
      <c r="K37" s="68"/>
      <c r="L37" s="68"/>
      <c r="M37" s="68"/>
      <c r="N37" s="68"/>
      <c r="AC37" s="53" t="s">
        <v>26</v>
      </c>
      <c r="AD37" s="53" t="s">
        <v>78</v>
      </c>
    </row>
    <row r="38" spans="1:30">
      <c r="A38" s="63">
        <v>3</v>
      </c>
      <c r="B38" s="53" t="s">
        <v>79</v>
      </c>
      <c r="C38" s="59">
        <f>标准成本!E10</f>
        <v>59.79999999999999</v>
      </c>
      <c r="D38" s="59">
        <f>标准成本!E24</f>
        <v>21.199999999999996</v>
      </c>
      <c r="E38" s="64"/>
      <c r="F38" s="68"/>
      <c r="G38" s="68"/>
      <c r="H38" s="68"/>
      <c r="I38" s="68"/>
      <c r="J38" s="68"/>
      <c r="K38" s="68"/>
      <c r="L38" s="68"/>
      <c r="M38" s="68"/>
      <c r="N38" s="68"/>
      <c r="AC38" s="53" t="s">
        <v>32</v>
      </c>
      <c r="AD38" s="53" t="s">
        <v>79</v>
      </c>
    </row>
    <row r="39" spans="1:30">
      <c r="A39" s="53" t="s">
        <v>76</v>
      </c>
      <c r="B39" s="56" t="s">
        <v>81</v>
      </c>
      <c r="C39" s="60"/>
      <c r="D39" s="60"/>
      <c r="E39" s="60"/>
      <c r="AC39" s="53" t="s">
        <v>80</v>
      </c>
      <c r="AD39" s="56" t="s">
        <v>81</v>
      </c>
    </row>
    <row r="40" spans="1:30">
      <c r="A40" s="63">
        <v>1</v>
      </c>
      <c r="B40" s="53" t="s">
        <v>83</v>
      </c>
      <c r="C40" s="60">
        <f>C34-C36-C37-C38</f>
        <v>196.70530308623628</v>
      </c>
      <c r="D40" s="60">
        <f t="shared" ref="D40" si="22">D34-D36-D37-D38</f>
        <v>73.773132734028053</v>
      </c>
      <c r="E40" s="60"/>
      <c r="AC40" s="53" t="s">
        <v>21</v>
      </c>
      <c r="AD40" s="53" t="s">
        <v>83</v>
      </c>
    </row>
    <row r="41" spans="1:30">
      <c r="A41" s="63">
        <v>2</v>
      </c>
      <c r="B41" s="53" t="s">
        <v>84</v>
      </c>
      <c r="C41" s="60"/>
      <c r="D41" s="60"/>
      <c r="E41" s="60"/>
      <c r="AC41" s="53" t="s">
        <v>23</v>
      </c>
      <c r="AD41" s="53" t="s">
        <v>84</v>
      </c>
    </row>
    <row r="42" spans="1:30">
      <c r="A42" s="53" t="s">
        <v>80</v>
      </c>
      <c r="B42" s="56" t="s">
        <v>86</v>
      </c>
      <c r="C42" s="60"/>
      <c r="D42" s="60"/>
      <c r="E42" s="60"/>
      <c r="AC42" s="53" t="s">
        <v>85</v>
      </c>
      <c r="AD42" s="56" t="s">
        <v>86</v>
      </c>
    </row>
    <row r="43" spans="1:30">
      <c r="A43" s="63">
        <v>1</v>
      </c>
      <c r="B43" s="61" t="s">
        <v>87</v>
      </c>
      <c r="C43" s="59">
        <f>标准成本!E5</f>
        <v>67.274999999999991</v>
      </c>
      <c r="D43" s="59">
        <f>标准成本!E19</f>
        <v>23.849999999999998</v>
      </c>
      <c r="E43" s="60"/>
      <c r="AC43" s="53" t="s">
        <v>21</v>
      </c>
      <c r="AD43" s="53" t="s">
        <v>87</v>
      </c>
    </row>
    <row r="44" spans="1:30">
      <c r="A44" s="63">
        <v>2</v>
      </c>
      <c r="B44" s="61" t="s">
        <v>88</v>
      </c>
      <c r="C44" s="59">
        <f>标准成本!E9</f>
        <v>10.465</v>
      </c>
      <c r="D44" s="59">
        <f>标准成本!E23</f>
        <v>3.71</v>
      </c>
      <c r="E44" s="60"/>
      <c r="AC44" s="53" t="s">
        <v>23</v>
      </c>
      <c r="AD44" s="53" t="s">
        <v>88</v>
      </c>
    </row>
    <row r="45" spans="1:30">
      <c r="A45" s="63">
        <v>3</v>
      </c>
      <c r="B45" s="61" t="s">
        <v>89</v>
      </c>
      <c r="C45" s="66">
        <f>标准成本!E8</f>
        <v>44.85</v>
      </c>
      <c r="D45" s="66">
        <f>标准成本!E22</f>
        <v>15.899999999999999</v>
      </c>
      <c r="E45" s="60"/>
      <c r="AC45" s="53" t="s">
        <v>73</v>
      </c>
      <c r="AD45" s="53" t="s">
        <v>89</v>
      </c>
    </row>
    <row r="46" spans="1:30" s="48" customFormat="1">
      <c r="A46" s="63">
        <v>4</v>
      </c>
      <c r="B46" s="61" t="s">
        <v>90</v>
      </c>
      <c r="C46" s="66">
        <f>C21/C6</f>
        <v>48.85</v>
      </c>
      <c r="D46" s="66">
        <f t="shared" ref="D46" si="23">D21/D6</f>
        <v>48.85</v>
      </c>
      <c r="E46" s="66"/>
      <c r="AC46" s="61" t="s">
        <v>29</v>
      </c>
      <c r="AD46" s="61" t="s">
        <v>92</v>
      </c>
    </row>
    <row r="47" spans="1:30" s="48" customFormat="1">
      <c r="A47" s="63">
        <v>5</v>
      </c>
      <c r="B47" s="61" t="s">
        <v>92</v>
      </c>
      <c r="C47" s="66">
        <f>标准成本!E11</f>
        <v>59.800000000000004</v>
      </c>
      <c r="D47" s="66">
        <f>标准成本!E25</f>
        <v>21.2</v>
      </c>
      <c r="E47" s="66"/>
      <c r="AC47" s="61" t="s">
        <v>29</v>
      </c>
      <c r="AD47" s="61" t="s">
        <v>92</v>
      </c>
    </row>
    <row r="48" spans="1:30">
      <c r="A48" s="53" t="s">
        <v>85</v>
      </c>
      <c r="B48" s="56" t="s">
        <v>103</v>
      </c>
      <c r="C48" s="60">
        <f>C40-C43-C44-C45-C47-C46</f>
        <v>-34.534696913763725</v>
      </c>
      <c r="D48" s="60">
        <f t="shared" ref="D48" si="24">D40-D43-D44-D45-D47-D46</f>
        <v>-39.736867265971938</v>
      </c>
      <c r="E48" s="60"/>
      <c r="AC48" s="53" t="s">
        <v>102</v>
      </c>
      <c r="AD48" s="56" t="s">
        <v>103</v>
      </c>
    </row>
    <row r="51" spans="2:10">
      <c r="C51" s="67"/>
      <c r="D51" s="67"/>
    </row>
    <row r="54" spans="2:10">
      <c r="B54" s="68"/>
      <c r="C54" s="69"/>
      <c r="D54" s="69"/>
      <c r="E54" s="69"/>
      <c r="F54" s="68"/>
      <c r="G54" s="68"/>
      <c r="H54" s="68"/>
      <c r="I54" s="68"/>
      <c r="J54" s="68"/>
    </row>
    <row r="55" spans="2:10">
      <c r="B55" s="68"/>
      <c r="C55" s="69"/>
      <c r="D55" s="69"/>
      <c r="E55" s="69"/>
      <c r="F55" s="68"/>
      <c r="G55" s="68"/>
      <c r="H55" s="68"/>
      <c r="I55" s="68"/>
      <c r="J55" s="68"/>
    </row>
    <row r="56" spans="2:10">
      <c r="B56" s="68"/>
      <c r="C56" s="69"/>
      <c r="D56" s="69"/>
      <c r="E56" s="69"/>
      <c r="F56" s="68"/>
      <c r="G56" s="68"/>
      <c r="H56" s="68"/>
      <c r="I56" s="68"/>
      <c r="J56" s="68"/>
    </row>
    <row r="57" spans="2:10">
      <c r="B57" s="68"/>
      <c r="C57" s="69"/>
      <c r="D57" s="69"/>
      <c r="E57" s="69"/>
      <c r="F57" s="68"/>
      <c r="G57" s="68"/>
      <c r="H57" s="68"/>
      <c r="I57" s="68"/>
      <c r="J57" s="68"/>
    </row>
    <row r="58" spans="2:10">
      <c r="B58" s="68"/>
      <c r="C58" s="69"/>
      <c r="D58" s="69"/>
      <c r="E58" s="69"/>
      <c r="F58" s="68"/>
      <c r="G58" s="68"/>
      <c r="H58" s="68"/>
      <c r="I58" s="68"/>
      <c r="J58" s="68"/>
    </row>
    <row r="59" spans="2:10">
      <c r="B59" s="68"/>
      <c r="C59" s="69"/>
      <c r="D59" s="69"/>
      <c r="E59" s="69"/>
      <c r="F59" s="68"/>
      <c r="G59" s="68"/>
      <c r="H59" s="68"/>
      <c r="I59" s="68"/>
      <c r="J59" s="68"/>
    </row>
    <row r="60" spans="2:10">
      <c r="B60" s="68"/>
      <c r="C60" s="69"/>
      <c r="D60" s="69"/>
      <c r="E60" s="69"/>
      <c r="F60" s="68"/>
      <c r="G60" s="68"/>
      <c r="H60" s="68"/>
      <c r="I60" s="68"/>
      <c r="J60" s="68"/>
    </row>
    <row r="61" spans="2:10">
      <c r="B61" s="68"/>
      <c r="C61" s="69"/>
      <c r="D61" s="69"/>
      <c r="E61" s="69"/>
      <c r="F61" s="68"/>
      <c r="G61" s="68"/>
      <c r="H61" s="68"/>
      <c r="I61" s="68"/>
      <c r="J61" s="68"/>
    </row>
    <row r="62" spans="2:10">
      <c r="B62" s="68"/>
      <c r="C62" s="69"/>
      <c r="D62" s="69"/>
      <c r="E62" s="69"/>
      <c r="F62" s="68"/>
      <c r="G62" s="68"/>
      <c r="H62" s="68"/>
      <c r="I62" s="68"/>
      <c r="J62" s="68"/>
    </row>
    <row r="63" spans="2:10">
      <c r="B63" s="68"/>
      <c r="C63" s="69"/>
      <c r="D63" s="69"/>
      <c r="E63" s="69"/>
      <c r="F63" s="68"/>
      <c r="G63" s="68"/>
      <c r="H63" s="68"/>
      <c r="I63" s="68"/>
      <c r="J63" s="68"/>
    </row>
    <row r="64" spans="2:10">
      <c r="B64" s="68"/>
      <c r="C64" s="69"/>
      <c r="D64" s="69"/>
      <c r="E64" s="69"/>
      <c r="F64" s="68"/>
      <c r="G64" s="68"/>
      <c r="H64" s="68"/>
      <c r="I64" s="68"/>
      <c r="J64" s="68"/>
    </row>
    <row r="65" spans="2:10">
      <c r="B65" s="68"/>
      <c r="C65" s="69"/>
      <c r="D65" s="69"/>
      <c r="E65" s="69"/>
      <c r="F65" s="68"/>
      <c r="G65" s="68"/>
      <c r="H65" s="68"/>
      <c r="I65" s="68"/>
      <c r="J65" s="68"/>
    </row>
    <row r="66" spans="2:10">
      <c r="B66" s="68"/>
      <c r="C66" s="69"/>
      <c r="D66" s="69"/>
      <c r="E66" s="69"/>
      <c r="F66" s="68"/>
      <c r="G66" s="68"/>
      <c r="H66" s="68"/>
      <c r="I66" s="68"/>
      <c r="J66" s="68"/>
    </row>
    <row r="67" spans="2:10">
      <c r="B67" s="68"/>
      <c r="C67" s="69"/>
      <c r="D67" s="69"/>
      <c r="E67" s="69"/>
      <c r="F67" s="68"/>
    </row>
    <row r="68" spans="2:10">
      <c r="B68" s="68"/>
      <c r="C68" s="69"/>
      <c r="D68" s="69"/>
      <c r="E68" s="69"/>
      <c r="F68" s="68"/>
    </row>
    <row r="69" spans="2:10">
      <c r="B69" s="68"/>
      <c r="C69" s="69"/>
      <c r="D69" s="69"/>
      <c r="E69" s="69"/>
      <c r="F69" s="68"/>
    </row>
    <row r="70" spans="2:10">
      <c r="B70" s="68"/>
      <c r="C70" s="69"/>
      <c r="D70" s="69"/>
      <c r="E70" s="69"/>
      <c r="F70" s="68"/>
    </row>
    <row r="71" spans="2:10">
      <c r="B71" s="68"/>
      <c r="C71" s="69"/>
      <c r="D71" s="69"/>
      <c r="E71" s="69"/>
      <c r="F71" s="68"/>
    </row>
    <row r="72" spans="2:10">
      <c r="B72" s="68"/>
      <c r="C72" s="69"/>
      <c r="D72" s="69"/>
      <c r="E72" s="69"/>
      <c r="F72" s="68"/>
    </row>
    <row r="73" spans="2:10">
      <c r="B73" s="68"/>
      <c r="C73" s="69"/>
      <c r="D73" s="69"/>
      <c r="E73" s="69"/>
      <c r="F73" s="68"/>
    </row>
    <row r="74" spans="2:10">
      <c r="B74" s="68"/>
      <c r="C74" s="69"/>
      <c r="D74" s="69"/>
      <c r="E74" s="69"/>
      <c r="F74" s="68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4" activePane="bottomRight" state="frozen"/>
      <selection pane="topRight"/>
      <selection pane="bottomLeft"/>
      <selection pane="bottomRight" activeCell="G26" sqref="G26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4" width="12.875" style="50" bestFit="1" customWidth="1"/>
    <col min="5" max="5" width="18.75" style="50" customWidth="1"/>
    <col min="6" max="6" width="12.375" style="49" customWidth="1"/>
    <col min="7" max="7" width="10.125" style="49" customWidth="1"/>
    <col min="8" max="14" width="9" style="49" customWidth="1"/>
    <col min="15" max="31" width="9" style="49"/>
    <col min="32" max="32" width="4.375" style="49" customWidth="1"/>
    <col min="33" max="33" width="13.875" style="49" customWidth="1"/>
    <col min="34" max="16384" width="9" style="49"/>
  </cols>
  <sheetData>
    <row r="1" spans="1:34">
      <c r="A1" s="246" t="s">
        <v>143</v>
      </c>
      <c r="B1" s="246"/>
      <c r="C1" s="250" t="s">
        <v>250</v>
      </c>
      <c r="D1" s="251"/>
      <c r="E1" s="252"/>
    </row>
    <row r="2" spans="1:34">
      <c r="A2" s="246" t="s">
        <v>144</v>
      </c>
      <c r="B2" s="246"/>
      <c r="C2" s="253" t="str">
        <f>'2022年'!C2:E2</f>
        <v>陕汽</v>
      </c>
      <c r="D2" s="253"/>
      <c r="E2" s="253"/>
    </row>
    <row r="3" spans="1:34">
      <c r="A3" s="246" t="s">
        <v>145</v>
      </c>
      <c r="B3" s="246"/>
      <c r="C3" s="162" t="str">
        <f>销量!C5</f>
        <v>司机座椅</v>
      </c>
      <c r="D3" s="162" t="str">
        <f>销量!D5</f>
        <v>副司机座椅</v>
      </c>
      <c r="E3" s="247" t="s">
        <v>17</v>
      </c>
    </row>
    <row r="4" spans="1:34">
      <c r="A4" s="246" t="s">
        <v>146</v>
      </c>
      <c r="B4" s="246"/>
      <c r="C4" s="162" t="str">
        <f>销量!C6</f>
        <v>DZ15221519945</v>
      </c>
      <c r="D4" s="162" t="str">
        <f>销量!D6</f>
        <v>副司机暂无</v>
      </c>
      <c r="E4" s="248"/>
    </row>
    <row r="5" spans="1:34">
      <c r="A5" s="246" t="s">
        <v>147</v>
      </c>
      <c r="B5" s="246"/>
      <c r="C5" s="52"/>
      <c r="D5" s="52"/>
      <c r="E5" s="249"/>
      <c r="AH5" s="49" t="s">
        <v>18</v>
      </c>
    </row>
    <row r="6" spans="1:34" ht="17.25">
      <c r="A6" s="53" t="s">
        <v>15</v>
      </c>
      <c r="B6" s="54" t="s">
        <v>148</v>
      </c>
      <c r="C6" s="23">
        <f>销量!C10</f>
        <v>10000</v>
      </c>
      <c r="D6" s="23">
        <f>销量!D10</f>
        <v>10000</v>
      </c>
      <c r="E6" s="55">
        <f t="shared" ref="E6:E15" si="0">SUM(C6:D6)</f>
        <v>20000</v>
      </c>
      <c r="P6" s="54" t="s">
        <v>3</v>
      </c>
      <c r="AF6" s="53" t="s">
        <v>15</v>
      </c>
      <c r="AG6" s="54" t="s">
        <v>3</v>
      </c>
      <c r="AH6" s="49" t="s">
        <v>19</v>
      </c>
    </row>
    <row r="7" spans="1:34">
      <c r="A7" s="161">
        <v>1</v>
      </c>
      <c r="B7" s="54" t="s">
        <v>20</v>
      </c>
      <c r="C7" s="55">
        <f>C6*销量!C8</f>
        <v>14950000</v>
      </c>
      <c r="D7" s="55">
        <f>D6*销量!D8</f>
        <v>5300000</v>
      </c>
      <c r="E7" s="55">
        <f t="shared" si="0"/>
        <v>20250000</v>
      </c>
      <c r="F7" s="50"/>
      <c r="P7" s="54" t="s">
        <v>20</v>
      </c>
      <c r="AF7" s="53" t="s">
        <v>21</v>
      </c>
      <c r="AG7" s="54" t="s">
        <v>20</v>
      </c>
      <c r="AH7" s="49" t="s">
        <v>19</v>
      </c>
    </row>
    <row r="8" spans="1:34">
      <c r="A8" s="161">
        <v>2</v>
      </c>
      <c r="B8" s="161" t="s">
        <v>22</v>
      </c>
      <c r="C8" s="55">
        <f>C7*(1-销量!$L$7)</f>
        <v>598000.00000000058</v>
      </c>
      <c r="D8" s="55">
        <f>D7*(1-销量!$L$7)</f>
        <v>212000.00000000017</v>
      </c>
      <c r="E8" s="55">
        <f t="shared" si="0"/>
        <v>810000.0000000007</v>
      </c>
      <c r="F8" s="70"/>
      <c r="P8" s="161" t="s">
        <v>24</v>
      </c>
      <c r="AF8" s="53" t="s">
        <v>23</v>
      </c>
      <c r="AG8" s="161" t="s">
        <v>24</v>
      </c>
      <c r="AH8" s="49" t="s">
        <v>19</v>
      </c>
    </row>
    <row r="9" spans="1:34">
      <c r="A9" s="161">
        <v>3</v>
      </c>
      <c r="B9" s="54" t="s">
        <v>25</v>
      </c>
      <c r="C9" s="55">
        <f>+C7-C8</f>
        <v>14352000</v>
      </c>
      <c r="D9" s="55">
        <f t="shared" ref="D9" si="1">+D7-D8</f>
        <v>5088000</v>
      </c>
      <c r="E9" s="55">
        <f t="shared" si="0"/>
        <v>19440000</v>
      </c>
      <c r="P9" s="54" t="s">
        <v>25</v>
      </c>
      <c r="AF9" s="53" t="s">
        <v>26</v>
      </c>
      <c r="AG9" s="54" t="s">
        <v>25</v>
      </c>
      <c r="AH9" s="49" t="s">
        <v>27</v>
      </c>
    </row>
    <row r="10" spans="1:34">
      <c r="A10" s="161">
        <v>4</v>
      </c>
      <c r="B10" s="53" t="s">
        <v>28</v>
      </c>
      <c r="C10" s="55">
        <f>C6*材料成本!F41</f>
        <v>10866309.2432</v>
      </c>
      <c r="D10" s="55">
        <f>D6*材料成本!F42</f>
        <v>3813504</v>
      </c>
      <c r="E10" s="55">
        <f t="shared" si="0"/>
        <v>14679813.2432</v>
      </c>
      <c r="P10" s="53" t="s">
        <v>28</v>
      </c>
      <c r="AF10" s="53" t="s">
        <v>29</v>
      </c>
      <c r="AG10" s="53" t="s">
        <v>28</v>
      </c>
      <c r="AH10" s="49" t="s">
        <v>30</v>
      </c>
    </row>
    <row r="11" spans="1:34">
      <c r="A11" s="161">
        <v>5</v>
      </c>
      <c r="B11" s="53" t="s">
        <v>31</v>
      </c>
      <c r="C11" s="55">
        <f>+C6*C36</f>
        <v>840488.79626820749</v>
      </c>
      <c r="D11" s="55">
        <f>+D6*D36</f>
        <v>297965.92777401337</v>
      </c>
      <c r="E11" s="55">
        <f t="shared" si="0"/>
        <v>1138454.724042221</v>
      </c>
      <c r="P11" s="53" t="s">
        <v>31</v>
      </c>
      <c r="AF11" s="53" t="s">
        <v>32</v>
      </c>
      <c r="AG11" s="53" t="s">
        <v>31</v>
      </c>
    </row>
    <row r="12" spans="1:34">
      <c r="A12" s="161">
        <v>6</v>
      </c>
      <c r="B12" s="53" t="s">
        <v>33</v>
      </c>
      <c r="C12" s="55">
        <f>+C6*C37</f>
        <v>225386.04453609523</v>
      </c>
      <c r="D12" s="55">
        <f t="shared" ref="D12" si="2">+D6*D37</f>
        <v>79902.744885706008</v>
      </c>
      <c r="E12" s="55">
        <f t="shared" si="0"/>
        <v>305288.78942180122</v>
      </c>
      <c r="P12" s="53" t="s">
        <v>33</v>
      </c>
      <c r="AF12" s="53" t="s">
        <v>34</v>
      </c>
      <c r="AG12" s="53" t="s">
        <v>33</v>
      </c>
    </row>
    <row r="13" spans="1:34">
      <c r="A13" s="161">
        <v>7</v>
      </c>
      <c r="B13" s="53" t="s">
        <v>35</v>
      </c>
      <c r="C13" s="55">
        <f>+C6*C38</f>
        <v>597999.99999999988</v>
      </c>
      <c r="D13" s="55">
        <f t="shared" ref="D13" si="3">+D6*D38</f>
        <v>211999.99999999997</v>
      </c>
      <c r="E13" s="55">
        <f t="shared" si="0"/>
        <v>809999.99999999988</v>
      </c>
      <c r="P13" s="53" t="s">
        <v>35</v>
      </c>
      <c r="AF13" s="53" t="s">
        <v>36</v>
      </c>
      <c r="AG13" s="53" t="s">
        <v>35</v>
      </c>
      <c r="AH13" s="49" t="s">
        <v>19</v>
      </c>
    </row>
    <row r="14" spans="1:34">
      <c r="A14" s="161">
        <v>8</v>
      </c>
      <c r="B14" s="56" t="s">
        <v>37</v>
      </c>
      <c r="C14" s="55">
        <f>SUM(C11:C13)</f>
        <v>1663874.8408043026</v>
      </c>
      <c r="D14" s="55">
        <f t="shared" ref="D14" si="4">SUM(D11:D13)</f>
        <v>589868.67265971936</v>
      </c>
      <c r="E14" s="55">
        <f t="shared" si="0"/>
        <v>2253743.513464022</v>
      </c>
      <c r="P14" s="56" t="s">
        <v>37</v>
      </c>
      <c r="AF14" s="53" t="s">
        <v>38</v>
      </c>
      <c r="AG14" s="56" t="s">
        <v>37</v>
      </c>
    </row>
    <row r="15" spans="1:34">
      <c r="A15" s="161">
        <v>9</v>
      </c>
      <c r="B15" s="56" t="s">
        <v>39</v>
      </c>
      <c r="C15" s="55">
        <f>+C9-C10-C14</f>
        <v>1821815.915995697</v>
      </c>
      <c r="D15" s="55">
        <f t="shared" ref="D15" si="5">+D9-D10-D14</f>
        <v>684627.32734028064</v>
      </c>
      <c r="E15" s="55">
        <f t="shared" si="0"/>
        <v>2506443.2433359777</v>
      </c>
      <c r="P15" s="56" t="s">
        <v>39</v>
      </c>
      <c r="AF15" s="53" t="s">
        <v>40</v>
      </c>
      <c r="AG15" s="56" t="s">
        <v>39</v>
      </c>
    </row>
    <row r="16" spans="1:34">
      <c r="A16" s="161">
        <v>10</v>
      </c>
      <c r="B16" s="53" t="s">
        <v>41</v>
      </c>
      <c r="C16" s="57">
        <f>+C15/C9</f>
        <v>0.12693812123715836</v>
      </c>
      <c r="D16" s="57">
        <f t="shared" ref="D16" si="6">+D15/D9</f>
        <v>0.13455725773197338</v>
      </c>
      <c r="E16" s="57">
        <f t="shared" ref="E16" si="7">+E15/E9</f>
        <v>0.12893226560370255</v>
      </c>
      <c r="P16" s="53" t="s">
        <v>41</v>
      </c>
      <c r="AF16" s="53" t="s">
        <v>42</v>
      </c>
      <c r="AG16" s="53" t="s">
        <v>41</v>
      </c>
    </row>
    <row r="17" spans="1:34">
      <c r="A17" s="161">
        <v>11</v>
      </c>
      <c r="B17" s="53" t="s">
        <v>43</v>
      </c>
      <c r="C17" s="55">
        <f>C6*C43+C18</f>
        <v>701439.99999999988</v>
      </c>
      <c r="D17" s="55">
        <f t="shared" ref="D17" si="8">D6*D43+D18</f>
        <v>267190</v>
      </c>
      <c r="E17" s="55">
        <f>SUM(C17:D17)</f>
        <v>968629.99999999988</v>
      </c>
      <c r="F17" s="70"/>
      <c r="P17" s="53" t="s">
        <v>43</v>
      </c>
      <c r="AF17" s="53" t="s">
        <v>44</v>
      </c>
      <c r="AG17" s="53" t="s">
        <v>43</v>
      </c>
    </row>
    <row r="18" spans="1:34" s="47" customFormat="1">
      <c r="A18" s="161">
        <v>12</v>
      </c>
      <c r="B18" s="58" t="s">
        <v>149</v>
      </c>
      <c r="C18" s="59">
        <f>$E$18/$E$6*C6</f>
        <v>28690.000000000004</v>
      </c>
      <c r="D18" s="59">
        <f>$E$18/$E$6*D6</f>
        <v>28690.000000000004</v>
      </c>
      <c r="E18" s="59">
        <f>项目投资!D26</f>
        <v>57380</v>
      </c>
      <c r="F18" s="71" t="s">
        <v>150</v>
      </c>
      <c r="G18" s="71"/>
      <c r="H18" s="71"/>
    </row>
    <row r="19" spans="1:34">
      <c r="A19" s="161">
        <v>13</v>
      </c>
      <c r="B19" s="53" t="s">
        <v>45</v>
      </c>
      <c r="C19" s="55">
        <f>C6*C44</f>
        <v>104650</v>
      </c>
      <c r="D19" s="55">
        <f t="shared" ref="D19" si="9">D6*D44</f>
        <v>37100</v>
      </c>
      <c r="E19" s="55">
        <f>SUM(C19:D19)</f>
        <v>141750</v>
      </c>
      <c r="F19" s="47"/>
      <c r="P19" s="53" t="s">
        <v>45</v>
      </c>
      <c r="AF19" s="53" t="s">
        <v>46</v>
      </c>
      <c r="AG19" s="53" t="s">
        <v>45</v>
      </c>
      <c r="AH19" s="49" t="s">
        <v>19</v>
      </c>
    </row>
    <row r="20" spans="1:34">
      <c r="A20" s="161">
        <v>14</v>
      </c>
      <c r="B20" s="53" t="s">
        <v>47</v>
      </c>
      <c r="C20" s="55">
        <f>C6*C45</f>
        <v>448500</v>
      </c>
      <c r="D20" s="55">
        <f t="shared" ref="D20" si="10">D6*D45</f>
        <v>159000</v>
      </c>
      <c r="E20" s="55">
        <f>SUM(C20:D20)</f>
        <v>607500</v>
      </c>
      <c r="P20" s="53" t="s">
        <v>47</v>
      </c>
      <c r="AF20" s="53" t="s">
        <v>48</v>
      </c>
      <c r="AG20" s="53" t="s">
        <v>47</v>
      </c>
    </row>
    <row r="21" spans="1:34">
      <c r="A21" s="161">
        <v>15</v>
      </c>
      <c r="B21" s="53" t="s">
        <v>49</v>
      </c>
      <c r="C21" s="60">
        <f>$E$21/$E$6*C6</f>
        <v>48850</v>
      </c>
      <c r="D21" s="60">
        <f>$E$21/$E$6*D6</f>
        <v>48850</v>
      </c>
      <c r="E21" s="55">
        <f>项目投资!D27</f>
        <v>97700</v>
      </c>
      <c r="P21" s="53" t="s">
        <v>49</v>
      </c>
      <c r="AF21" s="53"/>
      <c r="AG21" s="53"/>
    </row>
    <row r="22" spans="1:34">
      <c r="A22" s="161">
        <v>16</v>
      </c>
      <c r="B22" s="53" t="s">
        <v>50</v>
      </c>
      <c r="C22" s="55">
        <f>C6*C47</f>
        <v>598000</v>
      </c>
      <c r="D22" s="55">
        <f t="shared" ref="D22" si="11">D6*D47</f>
        <v>212000</v>
      </c>
      <c r="E22" s="55">
        <f>SUM(C22:D22)</f>
        <v>810000</v>
      </c>
      <c r="P22" s="53" t="s">
        <v>50</v>
      </c>
      <c r="AF22" s="53" t="s">
        <v>51</v>
      </c>
      <c r="AG22" s="53" t="s">
        <v>50</v>
      </c>
    </row>
    <row r="23" spans="1:34">
      <c r="A23" s="161">
        <v>17</v>
      </c>
      <c r="B23" s="56" t="s">
        <v>52</v>
      </c>
      <c r="C23" s="60">
        <f>+C22+C21+C20+C19+C17</f>
        <v>1901440</v>
      </c>
      <c r="D23" s="60">
        <f t="shared" ref="D23" si="12">+D22+D21+D20+D19+D17</f>
        <v>724140</v>
      </c>
      <c r="E23" s="60">
        <f t="shared" ref="E23" si="13">+E22+E21+E20+E19+E17</f>
        <v>2625580</v>
      </c>
      <c r="P23" s="56" t="s">
        <v>52</v>
      </c>
      <c r="AF23" s="53" t="s">
        <v>53</v>
      </c>
      <c r="AG23" s="56" t="s">
        <v>52</v>
      </c>
    </row>
    <row r="24" spans="1:34">
      <c r="A24" s="161">
        <v>18</v>
      </c>
      <c r="B24" s="61" t="s">
        <v>54</v>
      </c>
      <c r="C24" s="60">
        <f>+C15-C23</f>
        <v>-79624.084004302975</v>
      </c>
      <c r="D24" s="60">
        <f t="shared" ref="D24" si="14">+D15-D23</f>
        <v>-39512.672659719363</v>
      </c>
      <c r="E24" s="60">
        <f t="shared" ref="E24" si="15">+E15-E23</f>
        <v>-119136.75666402234</v>
      </c>
      <c r="G24" s="72"/>
      <c r="P24" s="53" t="s">
        <v>54</v>
      </c>
      <c r="AF24" s="53" t="s">
        <v>55</v>
      </c>
      <c r="AG24" s="53" t="s">
        <v>54</v>
      </c>
    </row>
    <row r="25" spans="1:34">
      <c r="A25" s="161">
        <v>19</v>
      </c>
      <c r="B25" s="53" t="s">
        <v>270</v>
      </c>
      <c r="C25" s="60">
        <f t="shared" ref="C25:E25" si="16">IF(C24&lt;0,0,C24*0.15)</f>
        <v>0</v>
      </c>
      <c r="D25" s="60">
        <f t="shared" si="16"/>
        <v>0</v>
      </c>
      <c r="E25" s="60">
        <f t="shared" si="16"/>
        <v>0</v>
      </c>
      <c r="F25" s="68"/>
      <c r="G25" s="68"/>
      <c r="H25" s="68"/>
      <c r="P25" s="53" t="s">
        <v>56</v>
      </c>
      <c r="AF25" s="53" t="s">
        <v>57</v>
      </c>
      <c r="AG25" s="53" t="s">
        <v>56</v>
      </c>
    </row>
    <row r="26" spans="1:34">
      <c r="A26" s="161">
        <v>20</v>
      </c>
      <c r="B26" s="53" t="s">
        <v>58</v>
      </c>
      <c r="C26" s="60">
        <f t="shared" ref="C26:D26" si="17">C24-C25</f>
        <v>-79624.084004302975</v>
      </c>
      <c r="D26" s="60">
        <f t="shared" si="17"/>
        <v>-39512.672659719363</v>
      </c>
      <c r="E26" s="55">
        <f>E24-E25</f>
        <v>-119136.75666402234</v>
      </c>
      <c r="F26" s="68"/>
      <c r="G26" s="68"/>
      <c r="H26" s="68"/>
      <c r="P26" s="53" t="s">
        <v>58</v>
      </c>
      <c r="AF26" s="53" t="s">
        <v>59</v>
      </c>
      <c r="AG26" s="53" t="s">
        <v>58</v>
      </c>
    </row>
    <row r="27" spans="1:34">
      <c r="A27" s="161">
        <v>21</v>
      </c>
      <c r="B27" s="53" t="s">
        <v>62</v>
      </c>
      <c r="C27" s="62">
        <f t="shared" ref="C27:E27" si="18">C26/C7</f>
        <v>-5.3260256859065536E-3</v>
      </c>
      <c r="D27" s="62">
        <f t="shared" ref="D27" si="19">D26/D7</f>
        <v>-7.4552212565508228E-3</v>
      </c>
      <c r="E27" s="62">
        <f t="shared" si="18"/>
        <v>-5.883296625383819E-3</v>
      </c>
      <c r="F27" s="68"/>
      <c r="G27" s="68"/>
      <c r="H27" s="68"/>
      <c r="P27" s="53" t="s">
        <v>62</v>
      </c>
      <c r="AF27" s="53" t="s">
        <v>61</v>
      </c>
      <c r="AG27" s="53" t="s">
        <v>62</v>
      </c>
    </row>
    <row r="28" spans="1:34">
      <c r="F28" s="68"/>
      <c r="G28" s="68"/>
      <c r="H28" s="68"/>
      <c r="P28" s="53"/>
    </row>
    <row r="29" spans="1:34">
      <c r="A29" s="49" t="s">
        <v>63</v>
      </c>
      <c r="E29" s="50" t="s">
        <v>151</v>
      </c>
      <c r="F29" s="68"/>
      <c r="G29" s="68"/>
      <c r="H29" s="68"/>
      <c r="P29" s="53"/>
      <c r="AF29" s="49" t="s">
        <v>63</v>
      </c>
    </row>
    <row r="30" spans="1:34">
      <c r="A30" s="53" t="s">
        <v>68</v>
      </c>
      <c r="B30" s="56" t="s">
        <v>69</v>
      </c>
      <c r="C30" s="60"/>
      <c r="D30" s="60"/>
      <c r="E30" s="60"/>
      <c r="F30" s="68"/>
      <c r="G30" s="68"/>
      <c r="H30" s="68"/>
      <c r="J30" s="68"/>
      <c r="P30" s="56" t="s">
        <v>69</v>
      </c>
      <c r="AF30" s="53" t="s">
        <v>70</v>
      </c>
      <c r="AG30" s="56" t="s">
        <v>69</v>
      </c>
    </row>
    <row r="31" spans="1:34">
      <c r="A31" s="161">
        <v>1</v>
      </c>
      <c r="B31" s="58" t="s">
        <v>71</v>
      </c>
      <c r="C31" s="64">
        <f>销量!C8</f>
        <v>1495</v>
      </c>
      <c r="D31" s="64">
        <f>销量!D8</f>
        <v>530</v>
      </c>
      <c r="E31" s="60"/>
      <c r="F31" s="68"/>
      <c r="G31" s="68"/>
      <c r="H31" s="68"/>
      <c r="J31" s="68"/>
      <c r="P31" s="53" t="s">
        <v>71</v>
      </c>
      <c r="AF31" s="53" t="s">
        <v>21</v>
      </c>
      <c r="AG31" s="53" t="s">
        <v>71</v>
      </c>
    </row>
    <row r="32" spans="1:34">
      <c r="A32" s="161">
        <v>2</v>
      </c>
      <c r="B32" s="53" t="s">
        <v>152</v>
      </c>
      <c r="C32" s="55">
        <f>C9/C6</f>
        <v>1435.2</v>
      </c>
      <c r="D32" s="55">
        <f t="shared" ref="D32" si="20">D9/D6</f>
        <v>508.8</v>
      </c>
      <c r="E32" s="60"/>
      <c r="F32" s="68"/>
      <c r="G32" s="68"/>
      <c r="H32" s="68"/>
      <c r="I32" s="68"/>
      <c r="J32" s="68"/>
      <c r="K32" s="68"/>
      <c r="L32" s="68"/>
      <c r="AF32" s="53"/>
      <c r="AG32" s="53"/>
    </row>
    <row r="33" spans="1:33">
      <c r="A33" s="161">
        <v>3</v>
      </c>
      <c r="B33" s="58" t="s">
        <v>72</v>
      </c>
      <c r="C33" s="55">
        <f>材料成本!F41</f>
        <v>1086.6309243200001</v>
      </c>
      <c r="D33" s="55">
        <f>材料成本!F42</f>
        <v>381.35039999999998</v>
      </c>
      <c r="E33" s="60"/>
      <c r="G33" s="68"/>
      <c r="H33" s="68"/>
      <c r="I33" s="68"/>
      <c r="J33" s="68"/>
      <c r="K33" s="68"/>
      <c r="L33" s="68"/>
      <c r="P33" s="53" t="s">
        <v>72</v>
      </c>
      <c r="AF33" s="53" t="s">
        <v>23</v>
      </c>
      <c r="AG33" s="53" t="s">
        <v>72</v>
      </c>
    </row>
    <row r="34" spans="1:33" ht="17.25" customHeight="1">
      <c r="A34" s="161">
        <v>4</v>
      </c>
      <c r="B34" s="53" t="s">
        <v>74</v>
      </c>
      <c r="C34" s="65">
        <f>C32-C33</f>
        <v>348.56907567999997</v>
      </c>
      <c r="D34" s="65">
        <f t="shared" ref="D34" si="21">D32-D33</f>
        <v>127.44960000000003</v>
      </c>
      <c r="E34" s="60"/>
      <c r="G34" s="68"/>
      <c r="H34" s="68"/>
      <c r="I34" s="68"/>
      <c r="J34" s="68"/>
      <c r="K34" s="68"/>
      <c r="L34" s="68"/>
      <c r="P34" s="53" t="s">
        <v>74</v>
      </c>
      <c r="AF34" s="53" t="s">
        <v>73</v>
      </c>
      <c r="AG34" s="53" t="s">
        <v>74</v>
      </c>
    </row>
    <row r="35" spans="1:33">
      <c r="A35" s="53" t="s">
        <v>70</v>
      </c>
      <c r="B35" s="56" t="s">
        <v>9</v>
      </c>
      <c r="C35" s="60"/>
      <c r="D35" s="60"/>
      <c r="E35" s="6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56" t="s">
        <v>9</v>
      </c>
      <c r="AF35" s="53" t="s">
        <v>76</v>
      </c>
      <c r="AG35" s="56" t="s">
        <v>9</v>
      </c>
    </row>
    <row r="36" spans="1:33">
      <c r="A36" s="161">
        <v>1</v>
      </c>
      <c r="B36" s="53" t="s">
        <v>77</v>
      </c>
      <c r="C36" s="59">
        <f>'2022年'!C36</f>
        <v>84.048879626820749</v>
      </c>
      <c r="D36" s="59">
        <f>'2022年'!D36</f>
        <v>29.796592777401337</v>
      </c>
      <c r="E36" s="64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53" t="s">
        <v>77</v>
      </c>
      <c r="AF36" s="53" t="s">
        <v>73</v>
      </c>
      <c r="AG36" s="53" t="s">
        <v>77</v>
      </c>
    </row>
    <row r="37" spans="1:33">
      <c r="A37" s="161">
        <v>2</v>
      </c>
      <c r="B37" s="53" t="s">
        <v>78</v>
      </c>
      <c r="C37" s="59">
        <f>'2022年'!C37</f>
        <v>22.538604453609523</v>
      </c>
      <c r="D37" s="59">
        <f>'2022年'!D37</f>
        <v>7.9902744885706003</v>
      </c>
      <c r="E37" s="64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53" t="s">
        <v>78</v>
      </c>
      <c r="AF37" s="53" t="s">
        <v>26</v>
      </c>
      <c r="AG37" s="53" t="s">
        <v>78</v>
      </c>
    </row>
    <row r="38" spans="1:33">
      <c r="A38" s="161">
        <v>3</v>
      </c>
      <c r="B38" s="53" t="s">
        <v>79</v>
      </c>
      <c r="C38" s="59">
        <f>'2022年'!C38</f>
        <v>59.79999999999999</v>
      </c>
      <c r="D38" s="59">
        <f>'2022年'!D38</f>
        <v>21.199999999999996</v>
      </c>
      <c r="E38" s="64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53" t="s">
        <v>79</v>
      </c>
      <c r="AF38" s="53" t="s">
        <v>32</v>
      </c>
      <c r="AG38" s="53" t="s">
        <v>79</v>
      </c>
    </row>
    <row r="39" spans="1:33">
      <c r="A39" s="53" t="s">
        <v>76</v>
      </c>
      <c r="B39" s="56" t="s">
        <v>81</v>
      </c>
      <c r="C39" s="60"/>
      <c r="D39" s="60"/>
      <c r="E39" s="60"/>
      <c r="P39" s="56" t="s">
        <v>81</v>
      </c>
      <c r="AF39" s="53" t="s">
        <v>80</v>
      </c>
      <c r="AG39" s="56" t="s">
        <v>81</v>
      </c>
    </row>
    <row r="40" spans="1:33">
      <c r="A40" s="161">
        <v>1</v>
      </c>
      <c r="B40" s="53" t="s">
        <v>83</v>
      </c>
      <c r="C40" s="60">
        <f>C34-C36-C37-C38</f>
        <v>182.18159159956971</v>
      </c>
      <c r="D40" s="60">
        <f t="shared" ref="D40" si="22">D34-D36-D37-D38</f>
        <v>68.462732734028094</v>
      </c>
      <c r="E40" s="60"/>
      <c r="P40" s="53" t="s">
        <v>83</v>
      </c>
      <c r="AF40" s="53" t="s">
        <v>21</v>
      </c>
      <c r="AG40" s="53" t="s">
        <v>83</v>
      </c>
    </row>
    <row r="41" spans="1:33">
      <c r="A41" s="161">
        <v>2</v>
      </c>
      <c r="B41" s="53" t="s">
        <v>84</v>
      </c>
      <c r="C41" s="60"/>
      <c r="D41" s="60"/>
      <c r="E41" s="60"/>
      <c r="P41" s="53" t="s">
        <v>84</v>
      </c>
      <c r="AF41" s="53" t="s">
        <v>23</v>
      </c>
      <c r="AG41" s="53" t="s">
        <v>84</v>
      </c>
    </row>
    <row r="42" spans="1:33">
      <c r="A42" s="53" t="s">
        <v>80</v>
      </c>
      <c r="B42" s="56" t="s">
        <v>86</v>
      </c>
      <c r="C42" s="60"/>
      <c r="D42" s="60"/>
      <c r="E42" s="60"/>
      <c r="P42" s="56" t="s">
        <v>86</v>
      </c>
      <c r="AF42" s="53" t="s">
        <v>85</v>
      </c>
      <c r="AG42" s="56" t="s">
        <v>86</v>
      </c>
    </row>
    <row r="43" spans="1:33">
      <c r="A43" s="161">
        <v>1</v>
      </c>
      <c r="B43" s="61" t="s">
        <v>87</v>
      </c>
      <c r="C43" s="59">
        <f>'2022年'!C43</f>
        <v>67.274999999999991</v>
      </c>
      <c r="D43" s="59">
        <f>'2022年'!D43</f>
        <v>23.849999999999998</v>
      </c>
      <c r="E43" s="60"/>
      <c r="P43" s="53" t="s">
        <v>87</v>
      </c>
      <c r="AF43" s="53" t="s">
        <v>21</v>
      </c>
      <c r="AG43" s="53" t="s">
        <v>87</v>
      </c>
    </row>
    <row r="44" spans="1:33">
      <c r="A44" s="161">
        <v>2</v>
      </c>
      <c r="B44" s="61" t="s">
        <v>88</v>
      </c>
      <c r="C44" s="59">
        <f>'2022年'!C44</f>
        <v>10.465</v>
      </c>
      <c r="D44" s="59">
        <f>'2022年'!D44</f>
        <v>3.71</v>
      </c>
      <c r="E44" s="60"/>
      <c r="P44" s="53" t="s">
        <v>88</v>
      </c>
      <c r="AF44" s="53" t="s">
        <v>23</v>
      </c>
      <c r="AG44" s="53" t="s">
        <v>88</v>
      </c>
    </row>
    <row r="45" spans="1:33">
      <c r="A45" s="161">
        <v>3</v>
      </c>
      <c r="B45" s="61" t="s">
        <v>89</v>
      </c>
      <c r="C45" s="59">
        <f>'2022年'!C45</f>
        <v>44.85</v>
      </c>
      <c r="D45" s="59">
        <f>'2022年'!D45</f>
        <v>15.899999999999999</v>
      </c>
      <c r="E45" s="60"/>
      <c r="P45" s="53" t="s">
        <v>89</v>
      </c>
      <c r="AF45" s="53" t="s">
        <v>73</v>
      </c>
      <c r="AG45" s="53" t="s">
        <v>89</v>
      </c>
    </row>
    <row r="46" spans="1:33" s="48" customFormat="1">
      <c r="A46" s="161">
        <v>4</v>
      </c>
      <c r="B46" s="61" t="s">
        <v>90</v>
      </c>
      <c r="C46" s="66">
        <f>C21/C6</f>
        <v>4.8849999999999998</v>
      </c>
      <c r="D46" s="66">
        <f t="shared" ref="D46" si="23">D21/D6</f>
        <v>4.8849999999999998</v>
      </c>
      <c r="E46" s="66"/>
      <c r="P46" s="61" t="s">
        <v>92</v>
      </c>
      <c r="AF46" s="61" t="s">
        <v>29</v>
      </c>
      <c r="AG46" s="61" t="s">
        <v>92</v>
      </c>
    </row>
    <row r="47" spans="1:33" s="48" customFormat="1">
      <c r="A47" s="161">
        <v>5</v>
      </c>
      <c r="B47" s="61" t="s">
        <v>92</v>
      </c>
      <c r="C47" s="66">
        <f>'2022年'!C47</f>
        <v>59.800000000000004</v>
      </c>
      <c r="D47" s="66">
        <f>'2022年'!D47</f>
        <v>21.2</v>
      </c>
      <c r="E47" s="66"/>
      <c r="P47" s="61" t="s">
        <v>92</v>
      </c>
      <c r="AF47" s="61" t="s">
        <v>29</v>
      </c>
      <c r="AG47" s="61" t="s">
        <v>92</v>
      </c>
    </row>
    <row r="48" spans="1:33">
      <c r="A48" s="53" t="s">
        <v>85</v>
      </c>
      <c r="B48" s="56" t="s">
        <v>103</v>
      </c>
      <c r="C48" s="60">
        <f>C40-C43-C44-C45-C47-C46</f>
        <v>-5.0934084004302864</v>
      </c>
      <c r="D48" s="60">
        <f t="shared" ref="D48" si="24">D40-D43-D44-D45-D47-D46</f>
        <v>-1.0822672659718986</v>
      </c>
      <c r="E48" s="60"/>
      <c r="P48" s="56" t="s">
        <v>103</v>
      </c>
      <c r="AF48" s="53" t="s">
        <v>102</v>
      </c>
      <c r="AG48" s="56" t="s">
        <v>103</v>
      </c>
    </row>
    <row r="51" spans="2:10">
      <c r="C51" s="67"/>
      <c r="D51" s="67"/>
    </row>
    <row r="54" spans="2:10">
      <c r="B54" s="68"/>
      <c r="C54" s="69"/>
      <c r="D54" s="69"/>
      <c r="E54" s="69"/>
      <c r="F54" s="68"/>
      <c r="G54" s="68"/>
      <c r="H54" s="68"/>
      <c r="I54" s="68"/>
      <c r="J54" s="68"/>
    </row>
    <row r="55" spans="2:10">
      <c r="B55" s="68"/>
      <c r="C55" s="69"/>
      <c r="D55" s="69"/>
      <c r="E55" s="69"/>
      <c r="F55" s="68"/>
      <c r="G55" s="68"/>
      <c r="H55" s="68"/>
      <c r="I55" s="68"/>
      <c r="J55" s="68"/>
    </row>
    <row r="56" spans="2:10">
      <c r="B56" s="68"/>
      <c r="C56" s="69"/>
      <c r="D56" s="69"/>
      <c r="E56" s="69"/>
      <c r="F56" s="68"/>
      <c r="G56" s="68"/>
      <c r="H56" s="68"/>
      <c r="I56" s="68"/>
      <c r="J56" s="68"/>
    </row>
    <row r="57" spans="2:10">
      <c r="B57" s="68"/>
      <c r="C57" s="69"/>
      <c r="D57" s="69"/>
      <c r="E57" s="69"/>
      <c r="F57" s="68"/>
      <c r="G57" s="68"/>
      <c r="H57" s="68"/>
      <c r="I57" s="68"/>
      <c r="J57" s="68"/>
    </row>
    <row r="58" spans="2:10">
      <c r="B58" s="68"/>
      <c r="C58" s="69"/>
      <c r="D58" s="69"/>
      <c r="E58" s="69"/>
      <c r="F58" s="68"/>
      <c r="G58" s="68"/>
      <c r="H58" s="68"/>
      <c r="I58" s="68"/>
      <c r="J58" s="68"/>
    </row>
    <row r="59" spans="2:10">
      <c r="B59" s="68"/>
      <c r="C59" s="69"/>
      <c r="D59" s="69"/>
      <c r="E59" s="69"/>
      <c r="F59" s="68"/>
      <c r="G59" s="68"/>
      <c r="H59" s="68"/>
      <c r="I59" s="68"/>
      <c r="J59" s="68"/>
    </row>
    <row r="60" spans="2:10">
      <c r="B60" s="68"/>
      <c r="C60" s="69"/>
      <c r="D60" s="69"/>
      <c r="E60" s="69"/>
      <c r="F60" s="68"/>
      <c r="G60" s="68"/>
      <c r="H60" s="68"/>
      <c r="I60" s="68"/>
      <c r="J60" s="68"/>
    </row>
    <row r="61" spans="2:10">
      <c r="B61" s="68"/>
      <c r="C61" s="69"/>
      <c r="D61" s="69"/>
      <c r="E61" s="69"/>
      <c r="F61" s="68"/>
      <c r="G61" s="68"/>
      <c r="H61" s="68"/>
      <c r="I61" s="68"/>
      <c r="J61" s="68"/>
    </row>
    <row r="62" spans="2:10">
      <c r="B62" s="68"/>
      <c r="C62" s="69"/>
      <c r="D62" s="69"/>
      <c r="E62" s="69"/>
      <c r="F62" s="68"/>
      <c r="G62" s="68"/>
      <c r="H62" s="68"/>
      <c r="I62" s="68"/>
      <c r="J62" s="68"/>
    </row>
    <row r="63" spans="2:10">
      <c r="B63" s="68"/>
      <c r="C63" s="69"/>
      <c r="D63" s="69"/>
      <c r="E63" s="69"/>
      <c r="F63" s="68"/>
      <c r="G63" s="68"/>
      <c r="H63" s="68"/>
      <c r="I63" s="68"/>
      <c r="J63" s="68"/>
    </row>
    <row r="64" spans="2:10">
      <c r="B64" s="68"/>
      <c r="C64" s="69"/>
      <c r="D64" s="69"/>
      <c r="E64" s="69"/>
      <c r="F64" s="68"/>
      <c r="G64" s="68"/>
      <c r="H64" s="68"/>
      <c r="I64" s="68"/>
      <c r="J64" s="68"/>
    </row>
    <row r="65" spans="2:10">
      <c r="B65" s="68"/>
      <c r="C65" s="69"/>
      <c r="D65" s="69"/>
      <c r="E65" s="69"/>
      <c r="F65" s="68"/>
      <c r="G65" s="68"/>
      <c r="H65" s="68"/>
      <c r="I65" s="68"/>
      <c r="J65" s="68"/>
    </row>
    <row r="66" spans="2:10">
      <c r="B66" s="68"/>
      <c r="C66" s="69"/>
      <c r="D66" s="69"/>
      <c r="E66" s="69"/>
      <c r="F66" s="68"/>
      <c r="G66" s="68"/>
      <c r="H66" s="68"/>
      <c r="I66" s="68"/>
      <c r="J66" s="68"/>
    </row>
    <row r="67" spans="2:10">
      <c r="B67" s="68"/>
      <c r="C67" s="69"/>
      <c r="D67" s="69"/>
      <c r="E67" s="69"/>
      <c r="F67" s="68"/>
    </row>
    <row r="68" spans="2:10">
      <c r="B68" s="68"/>
      <c r="C68" s="69"/>
      <c r="D68" s="69"/>
      <c r="E68" s="69"/>
      <c r="F68" s="68"/>
    </row>
    <row r="69" spans="2:10">
      <c r="B69" s="68"/>
      <c r="C69" s="69"/>
      <c r="D69" s="69"/>
      <c r="E69" s="69"/>
      <c r="F69" s="68"/>
    </row>
    <row r="70" spans="2:10">
      <c r="B70" s="68"/>
      <c r="C70" s="69"/>
      <c r="D70" s="69"/>
      <c r="E70" s="69"/>
      <c r="F70" s="68"/>
    </row>
    <row r="71" spans="2:10">
      <c r="B71" s="68"/>
      <c r="C71" s="69"/>
      <c r="D71" s="69"/>
      <c r="E71" s="69"/>
      <c r="F71" s="68"/>
    </row>
    <row r="72" spans="2:10">
      <c r="B72" s="68"/>
      <c r="C72" s="69"/>
      <c r="D72" s="69"/>
      <c r="E72" s="69"/>
      <c r="F72" s="68"/>
    </row>
    <row r="73" spans="2:10">
      <c r="B73" s="68"/>
      <c r="C73" s="69"/>
      <c r="D73" s="69"/>
      <c r="E73" s="69"/>
      <c r="F73" s="68"/>
    </row>
    <row r="74" spans="2:10">
      <c r="B74" s="68"/>
      <c r="C74" s="69"/>
      <c r="D74" s="69"/>
      <c r="E74" s="69"/>
      <c r="F74" s="68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4" activePane="bottomRight" state="frozen"/>
      <selection pane="topRight"/>
      <selection pane="bottomLeft"/>
      <selection pane="bottomRight" activeCell="E25" sqref="E25:E26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4" width="14" style="50" bestFit="1" customWidth="1"/>
    <col min="5" max="5" width="18.75" style="50" customWidth="1"/>
    <col min="6" max="6" width="12.375" style="49" customWidth="1"/>
    <col min="7" max="7" width="10.125" style="49" customWidth="1"/>
    <col min="8" max="14" width="9" style="49" customWidth="1"/>
    <col min="15" max="31" width="9" style="49"/>
    <col min="32" max="32" width="4.375" style="49" customWidth="1"/>
    <col min="33" max="33" width="13.875" style="49" customWidth="1"/>
    <col min="34" max="16384" width="9" style="49"/>
  </cols>
  <sheetData>
    <row r="1" spans="1:34">
      <c r="A1" s="246" t="s">
        <v>143</v>
      </c>
      <c r="B1" s="246"/>
      <c r="C1" s="250" t="s">
        <v>251</v>
      </c>
      <c r="D1" s="251"/>
      <c r="E1" s="252"/>
    </row>
    <row r="2" spans="1:34">
      <c r="A2" s="246" t="s">
        <v>144</v>
      </c>
      <c r="B2" s="246"/>
      <c r="C2" s="253" t="str">
        <f>'2022年'!C2:E2</f>
        <v>陕汽</v>
      </c>
      <c r="D2" s="253"/>
      <c r="E2" s="253"/>
    </row>
    <row r="3" spans="1:34">
      <c r="A3" s="246" t="s">
        <v>145</v>
      </c>
      <c r="B3" s="246"/>
      <c r="C3" s="162" t="str">
        <f>销量!C5</f>
        <v>司机座椅</v>
      </c>
      <c r="D3" s="162" t="str">
        <f>销量!D5</f>
        <v>副司机座椅</v>
      </c>
      <c r="E3" s="247" t="s">
        <v>17</v>
      </c>
    </row>
    <row r="4" spans="1:34">
      <c r="A4" s="246" t="s">
        <v>146</v>
      </c>
      <c r="B4" s="246"/>
      <c r="C4" s="162" t="str">
        <f>销量!C6</f>
        <v>DZ15221519945</v>
      </c>
      <c r="D4" s="162" t="str">
        <f>销量!D6</f>
        <v>副司机暂无</v>
      </c>
      <c r="E4" s="248"/>
    </row>
    <row r="5" spans="1:34">
      <c r="A5" s="246" t="s">
        <v>147</v>
      </c>
      <c r="B5" s="246"/>
      <c r="C5" s="52"/>
      <c r="D5" s="52"/>
      <c r="E5" s="249"/>
      <c r="AH5" s="49" t="s">
        <v>18</v>
      </c>
    </row>
    <row r="6" spans="1:34" ht="17.25">
      <c r="A6" s="53" t="s">
        <v>15</v>
      </c>
      <c r="B6" s="54" t="s">
        <v>148</v>
      </c>
      <c r="C6" s="23">
        <f>销量!C11</f>
        <v>30000</v>
      </c>
      <c r="D6" s="23">
        <f>销量!D11</f>
        <v>30000</v>
      </c>
      <c r="E6" s="55">
        <f t="shared" ref="E6:E15" si="0">SUM(C6:D6)</f>
        <v>60000</v>
      </c>
      <c r="P6" s="54" t="s">
        <v>3</v>
      </c>
      <c r="AF6" s="53" t="s">
        <v>15</v>
      </c>
      <c r="AG6" s="54" t="s">
        <v>3</v>
      </c>
      <c r="AH6" s="49" t="s">
        <v>19</v>
      </c>
    </row>
    <row r="7" spans="1:34">
      <c r="A7" s="161">
        <v>1</v>
      </c>
      <c r="B7" s="54" t="s">
        <v>20</v>
      </c>
      <c r="C7" s="55">
        <f>C6*销量!C8</f>
        <v>44850000</v>
      </c>
      <c r="D7" s="55">
        <f>D6*销量!D8</f>
        <v>15900000</v>
      </c>
      <c r="E7" s="55">
        <f t="shared" si="0"/>
        <v>60750000</v>
      </c>
      <c r="F7" s="50"/>
      <c r="P7" s="54" t="s">
        <v>20</v>
      </c>
      <c r="AF7" s="53" t="s">
        <v>21</v>
      </c>
      <c r="AG7" s="54" t="s">
        <v>20</v>
      </c>
      <c r="AH7" s="49" t="s">
        <v>19</v>
      </c>
    </row>
    <row r="8" spans="1:34">
      <c r="A8" s="161">
        <v>2</v>
      </c>
      <c r="B8" s="161" t="s">
        <v>22</v>
      </c>
      <c r="C8" s="55">
        <f>C7*(1-销量!$L$8)</f>
        <v>3516240.0000000009</v>
      </c>
      <c r="D8" s="55">
        <f>D7*(1-销量!$L$8)</f>
        <v>1246560.0000000005</v>
      </c>
      <c r="E8" s="55">
        <f t="shared" si="0"/>
        <v>4762800.0000000019</v>
      </c>
      <c r="F8" s="70"/>
      <c r="P8" s="161" t="s">
        <v>24</v>
      </c>
      <c r="AF8" s="53" t="s">
        <v>23</v>
      </c>
      <c r="AG8" s="161" t="s">
        <v>24</v>
      </c>
      <c r="AH8" s="49" t="s">
        <v>19</v>
      </c>
    </row>
    <row r="9" spans="1:34">
      <c r="A9" s="161">
        <v>3</v>
      </c>
      <c r="B9" s="54" t="s">
        <v>25</v>
      </c>
      <c r="C9" s="55">
        <f>+C7-C8</f>
        <v>41333760</v>
      </c>
      <c r="D9" s="55">
        <f t="shared" ref="D9" si="1">+D7-D8</f>
        <v>14653440</v>
      </c>
      <c r="E9" s="55">
        <f t="shared" si="0"/>
        <v>55987200</v>
      </c>
      <c r="P9" s="54" t="s">
        <v>25</v>
      </c>
      <c r="AF9" s="53" t="s">
        <v>26</v>
      </c>
      <c r="AG9" s="54" t="s">
        <v>25</v>
      </c>
      <c r="AH9" s="49" t="s">
        <v>27</v>
      </c>
    </row>
    <row r="10" spans="1:34">
      <c r="A10" s="161">
        <v>4</v>
      </c>
      <c r="B10" s="53" t="s">
        <v>28</v>
      </c>
      <c r="C10" s="55">
        <f>C6*材料成本!G41</f>
        <v>31294970.620416</v>
      </c>
      <c r="D10" s="55">
        <f>D6*材料成本!G42</f>
        <v>10982891.519999998</v>
      </c>
      <c r="E10" s="55">
        <f t="shared" si="0"/>
        <v>42277862.140415996</v>
      </c>
      <c r="P10" s="53" t="s">
        <v>28</v>
      </c>
      <c r="AF10" s="53" t="s">
        <v>29</v>
      </c>
      <c r="AG10" s="53" t="s">
        <v>28</v>
      </c>
      <c r="AH10" s="49" t="s">
        <v>30</v>
      </c>
    </row>
    <row r="11" spans="1:34">
      <c r="A11" s="161">
        <v>5</v>
      </c>
      <c r="B11" s="53" t="s">
        <v>31</v>
      </c>
      <c r="C11" s="55">
        <f>+C6*C36</f>
        <v>2521466.3888046225</v>
      </c>
      <c r="D11" s="55">
        <f t="shared" ref="D11" si="2">+D6*D36</f>
        <v>893897.78332204011</v>
      </c>
      <c r="E11" s="55">
        <f t="shared" si="0"/>
        <v>3415364.1721266625</v>
      </c>
      <c r="P11" s="53" t="s">
        <v>31</v>
      </c>
      <c r="AF11" s="53" t="s">
        <v>32</v>
      </c>
      <c r="AG11" s="53" t="s">
        <v>31</v>
      </c>
    </row>
    <row r="12" spans="1:34">
      <c r="A12" s="161">
        <v>6</v>
      </c>
      <c r="B12" s="53" t="s">
        <v>33</v>
      </c>
      <c r="C12" s="55">
        <f>+C6*C37</f>
        <v>676158.13360828569</v>
      </c>
      <c r="D12" s="55">
        <f t="shared" ref="D12" si="3">+D6*D37</f>
        <v>239708.23465711801</v>
      </c>
      <c r="E12" s="55">
        <f t="shared" si="0"/>
        <v>915866.36826540367</v>
      </c>
      <c r="P12" s="53" t="s">
        <v>33</v>
      </c>
      <c r="AF12" s="53" t="s">
        <v>34</v>
      </c>
      <c r="AG12" s="53" t="s">
        <v>33</v>
      </c>
    </row>
    <row r="13" spans="1:34">
      <c r="A13" s="161">
        <v>7</v>
      </c>
      <c r="B13" s="53" t="s">
        <v>35</v>
      </c>
      <c r="C13" s="55">
        <f>+C6*C38</f>
        <v>1793999.9999999998</v>
      </c>
      <c r="D13" s="55">
        <f t="shared" ref="D13" si="4">+D6*D38</f>
        <v>635999.99999999988</v>
      </c>
      <c r="E13" s="55">
        <f t="shared" si="0"/>
        <v>2429999.9999999995</v>
      </c>
      <c r="P13" s="53" t="s">
        <v>35</v>
      </c>
      <c r="AF13" s="53" t="s">
        <v>36</v>
      </c>
      <c r="AG13" s="53" t="s">
        <v>35</v>
      </c>
      <c r="AH13" s="49" t="s">
        <v>19</v>
      </c>
    </row>
    <row r="14" spans="1:34">
      <c r="A14" s="161">
        <v>8</v>
      </c>
      <c r="B14" s="56" t="s">
        <v>37</v>
      </c>
      <c r="C14" s="55">
        <f>SUM(C11:C13)</f>
        <v>4991624.5224129083</v>
      </c>
      <c r="D14" s="55">
        <f t="shared" ref="D14" si="5">SUM(D11:D13)</f>
        <v>1769606.0179791581</v>
      </c>
      <c r="E14" s="55">
        <f t="shared" si="0"/>
        <v>6761230.5403920664</v>
      </c>
      <c r="P14" s="56" t="s">
        <v>37</v>
      </c>
      <c r="AF14" s="53" t="s">
        <v>38</v>
      </c>
      <c r="AG14" s="56" t="s">
        <v>37</v>
      </c>
    </row>
    <row r="15" spans="1:34">
      <c r="A15" s="161">
        <v>9</v>
      </c>
      <c r="B15" s="56" t="s">
        <v>39</v>
      </c>
      <c r="C15" s="55">
        <f>+C9-C10-C14</f>
        <v>5047164.8571710913</v>
      </c>
      <c r="D15" s="55">
        <f t="shared" ref="D15" si="6">+D9-D10-D14</f>
        <v>1900942.4620208442</v>
      </c>
      <c r="E15" s="55">
        <f t="shared" si="0"/>
        <v>6948107.3191919355</v>
      </c>
      <c r="P15" s="56" t="s">
        <v>39</v>
      </c>
      <c r="AF15" s="53" t="s">
        <v>40</v>
      </c>
      <c r="AG15" s="56" t="s">
        <v>39</v>
      </c>
    </row>
    <row r="16" spans="1:34">
      <c r="A16" s="161">
        <v>10</v>
      </c>
      <c r="B16" s="53" t="s">
        <v>41</v>
      </c>
      <c r="C16" s="57">
        <f>+C15/C9</f>
        <v>0.12210756672441828</v>
      </c>
      <c r="D16" s="57">
        <f t="shared" ref="D16" si="7">+D15/D9</f>
        <v>0.12972670321923346</v>
      </c>
      <c r="E16" s="57">
        <f t="shared" ref="E16" si="8">+E15/E9</f>
        <v>0.12410171109096249</v>
      </c>
      <c r="P16" s="53" t="s">
        <v>41</v>
      </c>
      <c r="AF16" s="53" t="s">
        <v>42</v>
      </c>
      <c r="AG16" s="53" t="s">
        <v>41</v>
      </c>
    </row>
    <row r="17" spans="1:34">
      <c r="A17" s="161">
        <v>11</v>
      </c>
      <c r="B17" s="53" t="s">
        <v>43</v>
      </c>
      <c r="C17" s="55">
        <f>C6*C43+C18</f>
        <v>2046939.9999999998</v>
      </c>
      <c r="D17" s="55">
        <f t="shared" ref="D17" si="9">D6*D43+D18</f>
        <v>744189.99999999988</v>
      </c>
      <c r="E17" s="55">
        <f>SUM(C17:D17)</f>
        <v>2791129.9999999995</v>
      </c>
      <c r="F17" s="70"/>
      <c r="P17" s="53" t="s">
        <v>43</v>
      </c>
      <c r="AF17" s="53" t="s">
        <v>44</v>
      </c>
      <c r="AG17" s="53" t="s">
        <v>43</v>
      </c>
    </row>
    <row r="18" spans="1:34" s="47" customFormat="1">
      <c r="A18" s="161">
        <v>12</v>
      </c>
      <c r="B18" s="58" t="s">
        <v>149</v>
      </c>
      <c r="C18" s="59">
        <f>$E$18/$E$6*C6</f>
        <v>28690</v>
      </c>
      <c r="D18" s="59">
        <f>$E$18/$E$6*D6</f>
        <v>28690</v>
      </c>
      <c r="E18" s="59">
        <f>项目投资!D26</f>
        <v>57380</v>
      </c>
      <c r="F18" s="71" t="s">
        <v>150</v>
      </c>
      <c r="G18" s="71"/>
      <c r="H18" s="71"/>
    </row>
    <row r="19" spans="1:34">
      <c r="A19" s="161">
        <v>13</v>
      </c>
      <c r="B19" s="53" t="s">
        <v>45</v>
      </c>
      <c r="C19" s="55">
        <f>C6*C44</f>
        <v>313950</v>
      </c>
      <c r="D19" s="55">
        <f t="shared" ref="D19" si="10">D6*D44</f>
        <v>111300</v>
      </c>
      <c r="E19" s="55">
        <f>SUM(C19:D19)</f>
        <v>425250</v>
      </c>
      <c r="F19" s="47"/>
      <c r="P19" s="53" t="s">
        <v>45</v>
      </c>
      <c r="AF19" s="53" t="s">
        <v>46</v>
      </c>
      <c r="AG19" s="53" t="s">
        <v>45</v>
      </c>
      <c r="AH19" s="49" t="s">
        <v>19</v>
      </c>
    </row>
    <row r="20" spans="1:34">
      <c r="A20" s="161">
        <v>14</v>
      </c>
      <c r="B20" s="53" t="s">
        <v>47</v>
      </c>
      <c r="C20" s="55">
        <f>C6*C45</f>
        <v>1345500</v>
      </c>
      <c r="D20" s="55">
        <f t="shared" ref="D20" si="11">D6*D45</f>
        <v>476999.99999999994</v>
      </c>
      <c r="E20" s="55">
        <f>SUM(C20:D20)</f>
        <v>1822500</v>
      </c>
      <c r="P20" s="53" t="s">
        <v>47</v>
      </c>
      <c r="AF20" s="53" t="s">
        <v>48</v>
      </c>
      <c r="AG20" s="53" t="s">
        <v>47</v>
      </c>
    </row>
    <row r="21" spans="1:34">
      <c r="A21" s="161">
        <v>15</v>
      </c>
      <c r="B21" s="53" t="s">
        <v>49</v>
      </c>
      <c r="C21" s="60">
        <f>$E$21/$E$6*C6</f>
        <v>48850</v>
      </c>
      <c r="D21" s="60">
        <f>$E$21/$E$6*D6</f>
        <v>48850</v>
      </c>
      <c r="E21" s="55">
        <f>项目投资!D27</f>
        <v>97700</v>
      </c>
      <c r="P21" s="53" t="s">
        <v>49</v>
      </c>
      <c r="AF21" s="53"/>
      <c r="AG21" s="53"/>
    </row>
    <row r="22" spans="1:34">
      <c r="A22" s="161">
        <v>16</v>
      </c>
      <c r="B22" s="53" t="s">
        <v>50</v>
      </c>
      <c r="C22" s="55">
        <f>C6*C47</f>
        <v>1794000.0000000002</v>
      </c>
      <c r="D22" s="55">
        <f t="shared" ref="D22" si="12">D6*D47</f>
        <v>636000</v>
      </c>
      <c r="E22" s="55">
        <f>SUM(C22:D22)</f>
        <v>2430000</v>
      </c>
      <c r="P22" s="53" t="s">
        <v>50</v>
      </c>
      <c r="AF22" s="53" t="s">
        <v>51</v>
      </c>
      <c r="AG22" s="53" t="s">
        <v>50</v>
      </c>
    </row>
    <row r="23" spans="1:34">
      <c r="A23" s="161">
        <v>17</v>
      </c>
      <c r="B23" s="56" t="s">
        <v>52</v>
      </c>
      <c r="C23" s="60">
        <f>+C22+C21+C20+C19+C17</f>
        <v>5549240</v>
      </c>
      <c r="D23" s="60">
        <f t="shared" ref="D23" si="13">+D22+D21+D20+D19+D17</f>
        <v>2017340</v>
      </c>
      <c r="E23" s="60">
        <f t="shared" ref="E23" si="14">+E22+E21+E20+E19+E17</f>
        <v>7566580</v>
      </c>
      <c r="P23" s="56" t="s">
        <v>52</v>
      </c>
      <c r="AF23" s="53" t="s">
        <v>53</v>
      </c>
      <c r="AG23" s="56" t="s">
        <v>52</v>
      </c>
    </row>
    <row r="24" spans="1:34">
      <c r="A24" s="161">
        <v>18</v>
      </c>
      <c r="B24" s="61" t="s">
        <v>54</v>
      </c>
      <c r="C24" s="60">
        <f>+C15-C23</f>
        <v>-502075.14282890875</v>
      </c>
      <c r="D24" s="60">
        <f t="shared" ref="D24" si="15">+D15-D23</f>
        <v>-116397.53797915578</v>
      </c>
      <c r="E24" s="60">
        <f t="shared" ref="E24" si="16">+E15-E23</f>
        <v>-618472.68080806453</v>
      </c>
      <c r="G24" s="72"/>
      <c r="P24" s="53" t="s">
        <v>54</v>
      </c>
      <c r="AF24" s="53" t="s">
        <v>55</v>
      </c>
      <c r="AG24" s="53" t="s">
        <v>54</v>
      </c>
    </row>
    <row r="25" spans="1:34">
      <c r="A25" s="161">
        <v>19</v>
      </c>
      <c r="B25" s="53" t="s">
        <v>270</v>
      </c>
      <c r="C25" s="60">
        <f>IF(C24&lt;0,0,C24*0.15)</f>
        <v>0</v>
      </c>
      <c r="D25" s="60">
        <f>IF(D24&lt;0,0,D24*0.15)</f>
        <v>0</v>
      </c>
      <c r="E25" s="60">
        <f>IF(E24&lt;0,0,E24*0.15)</f>
        <v>0</v>
      </c>
      <c r="F25" s="68"/>
      <c r="G25" s="68"/>
      <c r="H25" s="68"/>
      <c r="P25" s="53" t="s">
        <v>56</v>
      </c>
      <c r="AF25" s="53" t="s">
        <v>57</v>
      </c>
      <c r="AG25" s="53" t="s">
        <v>56</v>
      </c>
    </row>
    <row r="26" spans="1:34">
      <c r="A26" s="161">
        <v>20</v>
      </c>
      <c r="B26" s="53" t="s">
        <v>58</v>
      </c>
      <c r="C26" s="60">
        <f t="shared" ref="C26:D26" si="17">C24-C25</f>
        <v>-502075.14282890875</v>
      </c>
      <c r="D26" s="60">
        <f t="shared" si="17"/>
        <v>-116397.53797915578</v>
      </c>
      <c r="E26" s="55">
        <f>E24-E25</f>
        <v>-618472.68080806453</v>
      </c>
      <c r="F26" s="191"/>
      <c r="G26" s="68"/>
      <c r="H26" s="68"/>
      <c r="P26" s="53" t="s">
        <v>58</v>
      </c>
      <c r="AF26" s="53" t="s">
        <v>59</v>
      </c>
      <c r="AG26" s="53" t="s">
        <v>58</v>
      </c>
    </row>
    <row r="27" spans="1:34">
      <c r="A27" s="161">
        <v>21</v>
      </c>
      <c r="B27" s="53" t="s">
        <v>62</v>
      </c>
      <c r="C27" s="62">
        <f t="shared" ref="C27:E27" si="18">C26/C7</f>
        <v>-1.1194540531302314E-2</v>
      </c>
      <c r="D27" s="62">
        <f t="shared" ref="D27" si="19">D26/D7</f>
        <v>-7.320599872902879E-3</v>
      </c>
      <c r="E27" s="62">
        <f t="shared" si="18"/>
        <v>-1.0180620260215054E-2</v>
      </c>
      <c r="F27" s="189"/>
      <c r="G27" s="68"/>
      <c r="H27" s="68"/>
      <c r="P27" s="53" t="s">
        <v>62</v>
      </c>
      <c r="AF27" s="53" t="s">
        <v>61</v>
      </c>
      <c r="AG27" s="53" t="s">
        <v>62</v>
      </c>
    </row>
    <row r="28" spans="1:34">
      <c r="F28" s="68"/>
      <c r="G28" s="68"/>
      <c r="H28" s="68"/>
      <c r="P28" s="53"/>
    </row>
    <row r="29" spans="1:34">
      <c r="A29" s="49" t="s">
        <v>63</v>
      </c>
      <c r="E29" s="50" t="s">
        <v>151</v>
      </c>
      <c r="F29" s="68"/>
      <c r="G29" s="68"/>
      <c r="H29" s="68"/>
      <c r="P29" s="53"/>
      <c r="AF29" s="49" t="s">
        <v>63</v>
      </c>
    </row>
    <row r="30" spans="1:34">
      <c r="A30" s="53" t="s">
        <v>68</v>
      </c>
      <c r="B30" s="56" t="s">
        <v>69</v>
      </c>
      <c r="C30" s="60"/>
      <c r="D30" s="60"/>
      <c r="E30" s="60"/>
      <c r="F30" s="68"/>
      <c r="G30" s="68"/>
      <c r="H30" s="68"/>
      <c r="J30" s="68"/>
      <c r="P30" s="56" t="s">
        <v>69</v>
      </c>
      <c r="AF30" s="53" t="s">
        <v>70</v>
      </c>
      <c r="AG30" s="56" t="s">
        <v>69</v>
      </c>
    </row>
    <row r="31" spans="1:34">
      <c r="A31" s="161">
        <v>1</v>
      </c>
      <c r="B31" s="58" t="s">
        <v>71</v>
      </c>
      <c r="C31" s="64">
        <f>销量!C8</f>
        <v>1495</v>
      </c>
      <c r="D31" s="64">
        <f>销量!D8</f>
        <v>530</v>
      </c>
      <c r="E31" s="60"/>
      <c r="F31" s="68"/>
      <c r="G31" s="68"/>
      <c r="H31" s="68"/>
      <c r="J31" s="68"/>
      <c r="P31" s="53" t="s">
        <v>71</v>
      </c>
      <c r="AF31" s="53" t="s">
        <v>21</v>
      </c>
      <c r="AG31" s="53" t="s">
        <v>71</v>
      </c>
    </row>
    <row r="32" spans="1:34">
      <c r="A32" s="161">
        <v>2</v>
      </c>
      <c r="B32" s="53" t="s">
        <v>152</v>
      </c>
      <c r="C32" s="55">
        <f>C9/C6</f>
        <v>1377.7919999999999</v>
      </c>
      <c r="D32" s="55">
        <f t="shared" ref="D32" si="20">D9/D6</f>
        <v>488.44799999999998</v>
      </c>
      <c r="E32" s="60"/>
      <c r="F32" s="68"/>
      <c r="G32" s="68"/>
      <c r="H32" s="68"/>
      <c r="I32" s="68"/>
      <c r="J32" s="68"/>
      <c r="K32" s="68"/>
      <c r="L32" s="68"/>
      <c r="AF32" s="53"/>
      <c r="AG32" s="53"/>
    </row>
    <row r="33" spans="1:33">
      <c r="A33" s="161">
        <v>3</v>
      </c>
      <c r="B33" s="58" t="s">
        <v>72</v>
      </c>
      <c r="C33" s="55">
        <f>材料成本!G41</f>
        <v>1043.1656873472</v>
      </c>
      <c r="D33" s="55">
        <f>材料成本!G42</f>
        <v>366.09638399999994</v>
      </c>
      <c r="E33" s="60"/>
      <c r="G33" s="68"/>
      <c r="H33" s="68"/>
      <c r="I33" s="68"/>
      <c r="J33" s="68"/>
      <c r="K33" s="68"/>
      <c r="L33" s="68"/>
      <c r="P33" s="53" t="s">
        <v>72</v>
      </c>
      <c r="AF33" s="53" t="s">
        <v>23</v>
      </c>
      <c r="AG33" s="53" t="s">
        <v>72</v>
      </c>
    </row>
    <row r="34" spans="1:33" ht="17.25" customHeight="1">
      <c r="A34" s="161">
        <v>4</v>
      </c>
      <c r="B34" s="53" t="s">
        <v>74</v>
      </c>
      <c r="C34" s="65">
        <f>C32-C33</f>
        <v>334.62631265279992</v>
      </c>
      <c r="D34" s="65">
        <f t="shared" ref="D34" si="21">D32-D33</f>
        <v>122.35161600000004</v>
      </c>
      <c r="E34" s="60"/>
      <c r="G34" s="68"/>
      <c r="H34" s="68"/>
      <c r="I34" s="68"/>
      <c r="J34" s="68"/>
      <c r="K34" s="68"/>
      <c r="L34" s="68"/>
      <c r="P34" s="53" t="s">
        <v>74</v>
      </c>
      <c r="AF34" s="53" t="s">
        <v>73</v>
      </c>
      <c r="AG34" s="53" t="s">
        <v>74</v>
      </c>
    </row>
    <row r="35" spans="1:33">
      <c r="A35" s="53" t="s">
        <v>70</v>
      </c>
      <c r="B35" s="56" t="s">
        <v>9</v>
      </c>
      <c r="C35" s="60"/>
      <c r="D35" s="60"/>
      <c r="E35" s="6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56" t="s">
        <v>9</v>
      </c>
      <c r="AF35" s="53" t="s">
        <v>76</v>
      </c>
      <c r="AG35" s="56" t="s">
        <v>9</v>
      </c>
    </row>
    <row r="36" spans="1:33">
      <c r="A36" s="161">
        <v>1</v>
      </c>
      <c r="B36" s="53" t="s">
        <v>77</v>
      </c>
      <c r="C36" s="59">
        <f>'2022年'!C36</f>
        <v>84.048879626820749</v>
      </c>
      <c r="D36" s="59">
        <f>'2022年'!D36</f>
        <v>29.796592777401337</v>
      </c>
      <c r="E36" s="64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53" t="s">
        <v>77</v>
      </c>
      <c r="AF36" s="53" t="s">
        <v>73</v>
      </c>
      <c r="AG36" s="53" t="s">
        <v>77</v>
      </c>
    </row>
    <row r="37" spans="1:33">
      <c r="A37" s="161">
        <v>2</v>
      </c>
      <c r="B37" s="53" t="s">
        <v>78</v>
      </c>
      <c r="C37" s="59">
        <f>'2022年'!C37</f>
        <v>22.538604453609523</v>
      </c>
      <c r="D37" s="59">
        <f>'2022年'!D37</f>
        <v>7.9902744885706003</v>
      </c>
      <c r="E37" s="64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53" t="s">
        <v>78</v>
      </c>
      <c r="AF37" s="53" t="s">
        <v>26</v>
      </c>
      <c r="AG37" s="53" t="s">
        <v>78</v>
      </c>
    </row>
    <row r="38" spans="1:33">
      <c r="A38" s="161">
        <v>3</v>
      </c>
      <c r="B38" s="53" t="s">
        <v>79</v>
      </c>
      <c r="C38" s="59">
        <f>'2022年'!C38</f>
        <v>59.79999999999999</v>
      </c>
      <c r="D38" s="59">
        <f>'2022年'!D38</f>
        <v>21.199999999999996</v>
      </c>
      <c r="E38" s="64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53" t="s">
        <v>79</v>
      </c>
      <c r="AF38" s="53" t="s">
        <v>32</v>
      </c>
      <c r="AG38" s="53" t="s">
        <v>79</v>
      </c>
    </row>
    <row r="39" spans="1:33">
      <c r="A39" s="53" t="s">
        <v>76</v>
      </c>
      <c r="B39" s="56" t="s">
        <v>81</v>
      </c>
      <c r="C39" s="60"/>
      <c r="D39" s="60"/>
      <c r="E39" s="60"/>
      <c r="P39" s="56" t="s">
        <v>81</v>
      </c>
      <c r="AF39" s="53" t="s">
        <v>80</v>
      </c>
      <c r="AG39" s="56" t="s">
        <v>81</v>
      </c>
    </row>
    <row r="40" spans="1:33">
      <c r="A40" s="161">
        <v>1</v>
      </c>
      <c r="B40" s="53" t="s">
        <v>83</v>
      </c>
      <c r="C40" s="60">
        <f>C34-C36-C37-C38</f>
        <v>168.23882857236967</v>
      </c>
      <c r="D40" s="60">
        <f t="shared" ref="D40" si="22">D34-D36-D37-D38</f>
        <v>63.36474873402809</v>
      </c>
      <c r="E40" s="60"/>
      <c r="P40" s="53" t="s">
        <v>83</v>
      </c>
      <c r="AF40" s="53" t="s">
        <v>21</v>
      </c>
      <c r="AG40" s="53" t="s">
        <v>83</v>
      </c>
    </row>
    <row r="41" spans="1:33">
      <c r="A41" s="161">
        <v>2</v>
      </c>
      <c r="B41" s="53" t="s">
        <v>84</v>
      </c>
      <c r="C41" s="60"/>
      <c r="D41" s="60"/>
      <c r="E41" s="60"/>
      <c r="P41" s="53" t="s">
        <v>84</v>
      </c>
      <c r="AF41" s="53" t="s">
        <v>23</v>
      </c>
      <c r="AG41" s="53" t="s">
        <v>84</v>
      </c>
    </row>
    <row r="42" spans="1:33">
      <c r="A42" s="53" t="s">
        <v>80</v>
      </c>
      <c r="B42" s="56" t="s">
        <v>86</v>
      </c>
      <c r="C42" s="60"/>
      <c r="D42" s="60"/>
      <c r="E42" s="60"/>
      <c r="P42" s="56" t="s">
        <v>86</v>
      </c>
      <c r="AF42" s="53" t="s">
        <v>85</v>
      </c>
      <c r="AG42" s="56" t="s">
        <v>86</v>
      </c>
    </row>
    <row r="43" spans="1:33">
      <c r="A43" s="161">
        <v>1</v>
      </c>
      <c r="B43" s="61" t="s">
        <v>87</v>
      </c>
      <c r="C43" s="59">
        <f>'2022年'!C43</f>
        <v>67.274999999999991</v>
      </c>
      <c r="D43" s="59">
        <f>'2022年'!D43</f>
        <v>23.849999999999998</v>
      </c>
      <c r="E43" s="60"/>
      <c r="P43" s="53" t="s">
        <v>87</v>
      </c>
      <c r="AF43" s="53" t="s">
        <v>21</v>
      </c>
      <c r="AG43" s="53" t="s">
        <v>87</v>
      </c>
    </row>
    <row r="44" spans="1:33">
      <c r="A44" s="161">
        <v>2</v>
      </c>
      <c r="B44" s="61" t="s">
        <v>88</v>
      </c>
      <c r="C44" s="59">
        <f>'2022年'!C44</f>
        <v>10.465</v>
      </c>
      <c r="D44" s="59">
        <f>'2022年'!D44</f>
        <v>3.71</v>
      </c>
      <c r="E44" s="60"/>
      <c r="P44" s="53" t="s">
        <v>88</v>
      </c>
      <c r="AF44" s="53" t="s">
        <v>23</v>
      </c>
      <c r="AG44" s="53" t="s">
        <v>88</v>
      </c>
    </row>
    <row r="45" spans="1:33">
      <c r="A45" s="161">
        <v>3</v>
      </c>
      <c r="B45" s="61" t="s">
        <v>89</v>
      </c>
      <c r="C45" s="59">
        <f>'2022年'!C45</f>
        <v>44.85</v>
      </c>
      <c r="D45" s="59">
        <f>'2022年'!D45</f>
        <v>15.899999999999999</v>
      </c>
      <c r="E45" s="60"/>
      <c r="P45" s="53" t="s">
        <v>89</v>
      </c>
      <c r="AF45" s="53" t="s">
        <v>73</v>
      </c>
      <c r="AG45" s="53" t="s">
        <v>89</v>
      </c>
    </row>
    <row r="46" spans="1:33" s="48" customFormat="1">
      <c r="A46" s="161">
        <v>4</v>
      </c>
      <c r="B46" s="61" t="s">
        <v>90</v>
      </c>
      <c r="C46" s="66">
        <f>C21/C6</f>
        <v>1.6283333333333334</v>
      </c>
      <c r="D46" s="66">
        <f t="shared" ref="D46" si="23">D21/D6</f>
        <v>1.6283333333333334</v>
      </c>
      <c r="E46" s="66"/>
      <c r="P46" s="61" t="s">
        <v>92</v>
      </c>
      <c r="AF46" s="61" t="s">
        <v>29</v>
      </c>
      <c r="AG46" s="61" t="s">
        <v>92</v>
      </c>
    </row>
    <row r="47" spans="1:33" s="48" customFormat="1">
      <c r="A47" s="161">
        <v>5</v>
      </c>
      <c r="B47" s="61" t="s">
        <v>92</v>
      </c>
      <c r="C47" s="66">
        <f>'2022年'!C47</f>
        <v>59.800000000000004</v>
      </c>
      <c r="D47" s="66">
        <f>'2022年'!D47</f>
        <v>21.2</v>
      </c>
      <c r="E47" s="66"/>
      <c r="P47" s="61" t="s">
        <v>92</v>
      </c>
      <c r="AF47" s="61" t="s">
        <v>29</v>
      </c>
      <c r="AG47" s="61" t="s">
        <v>92</v>
      </c>
    </row>
    <row r="48" spans="1:33">
      <c r="A48" s="53" t="s">
        <v>85</v>
      </c>
      <c r="B48" s="56" t="s">
        <v>103</v>
      </c>
      <c r="C48" s="60">
        <f>C40-C43-C44-C45-C47-C46</f>
        <v>-15.779504760963665</v>
      </c>
      <c r="D48" s="60">
        <f t="shared" ref="D48" si="24">D40-D43-D44-D45-D47-D46</f>
        <v>-2.9235845993052432</v>
      </c>
      <c r="E48" s="60"/>
      <c r="P48" s="56" t="s">
        <v>103</v>
      </c>
      <c r="AF48" s="53" t="s">
        <v>102</v>
      </c>
      <c r="AG48" s="56" t="s">
        <v>103</v>
      </c>
    </row>
    <row r="51" spans="2:10">
      <c r="C51" s="67"/>
      <c r="D51" s="67"/>
    </row>
    <row r="54" spans="2:10">
      <c r="B54" s="68"/>
      <c r="C54" s="69"/>
      <c r="D54" s="69"/>
      <c r="E54" s="69"/>
      <c r="F54" s="68"/>
      <c r="G54" s="68"/>
      <c r="H54" s="68"/>
      <c r="I54" s="68"/>
      <c r="J54" s="68"/>
    </row>
    <row r="55" spans="2:10">
      <c r="B55" s="68"/>
      <c r="C55" s="69"/>
      <c r="D55" s="69"/>
      <c r="E55" s="69"/>
      <c r="F55" s="68"/>
      <c r="G55" s="68"/>
      <c r="H55" s="68"/>
      <c r="I55" s="68"/>
      <c r="J55" s="68"/>
    </row>
    <row r="56" spans="2:10">
      <c r="B56" s="68"/>
      <c r="C56" s="69"/>
      <c r="D56" s="69"/>
      <c r="E56" s="69"/>
      <c r="F56" s="68"/>
      <c r="G56" s="68"/>
      <c r="H56" s="68"/>
      <c r="I56" s="68"/>
      <c r="J56" s="68"/>
    </row>
    <row r="57" spans="2:10">
      <c r="B57" s="68"/>
      <c r="C57" s="69"/>
      <c r="D57" s="69"/>
      <c r="E57" s="69"/>
      <c r="F57" s="68"/>
      <c r="G57" s="68"/>
      <c r="H57" s="68"/>
      <c r="I57" s="68"/>
      <c r="J57" s="68"/>
    </row>
    <row r="58" spans="2:10">
      <c r="B58" s="68"/>
      <c r="C58" s="69"/>
      <c r="D58" s="69"/>
      <c r="E58" s="69"/>
      <c r="F58" s="68"/>
      <c r="G58" s="68"/>
      <c r="H58" s="68"/>
      <c r="I58" s="68"/>
      <c r="J58" s="68"/>
    </row>
    <row r="59" spans="2:10">
      <c r="B59" s="68"/>
      <c r="C59" s="69"/>
      <c r="D59" s="69"/>
      <c r="E59" s="69"/>
      <c r="F59" s="68"/>
      <c r="G59" s="68"/>
      <c r="H59" s="68"/>
      <c r="I59" s="68"/>
      <c r="J59" s="68"/>
    </row>
    <row r="60" spans="2:10">
      <c r="B60" s="68"/>
      <c r="C60" s="69"/>
      <c r="D60" s="69"/>
      <c r="E60" s="69"/>
      <c r="F60" s="68"/>
      <c r="G60" s="68"/>
      <c r="H60" s="68"/>
      <c r="I60" s="68"/>
      <c r="J60" s="68"/>
    </row>
    <row r="61" spans="2:10">
      <c r="B61" s="68"/>
      <c r="C61" s="69"/>
      <c r="D61" s="69"/>
      <c r="E61" s="69"/>
      <c r="F61" s="68"/>
      <c r="G61" s="68"/>
      <c r="H61" s="68"/>
      <c r="I61" s="68"/>
      <c r="J61" s="68"/>
    </row>
    <row r="62" spans="2:10">
      <c r="B62" s="68"/>
      <c r="C62" s="69"/>
      <c r="D62" s="69"/>
      <c r="E62" s="69"/>
      <c r="F62" s="68"/>
      <c r="G62" s="68"/>
      <c r="H62" s="68"/>
      <c r="I62" s="68"/>
      <c r="J62" s="68"/>
    </row>
    <row r="63" spans="2:10">
      <c r="B63" s="68"/>
      <c r="C63" s="69"/>
      <c r="D63" s="69"/>
      <c r="E63" s="69"/>
      <c r="F63" s="68"/>
      <c r="G63" s="68"/>
      <c r="H63" s="68"/>
      <c r="I63" s="68"/>
      <c r="J63" s="68"/>
    </row>
    <row r="64" spans="2:10">
      <c r="B64" s="68"/>
      <c r="C64" s="69"/>
      <c r="D64" s="69"/>
      <c r="E64" s="69"/>
      <c r="F64" s="68"/>
      <c r="G64" s="68"/>
      <c r="H64" s="68"/>
      <c r="I64" s="68"/>
      <c r="J64" s="68"/>
    </row>
    <row r="65" spans="2:10">
      <c r="B65" s="68"/>
      <c r="C65" s="69"/>
      <c r="D65" s="69"/>
      <c r="E65" s="69"/>
      <c r="F65" s="68"/>
      <c r="G65" s="68"/>
      <c r="H65" s="68"/>
      <c r="I65" s="68"/>
      <c r="J65" s="68"/>
    </row>
    <row r="66" spans="2:10">
      <c r="B66" s="68"/>
      <c r="C66" s="69"/>
      <c r="D66" s="69"/>
      <c r="E66" s="69"/>
      <c r="F66" s="68"/>
      <c r="G66" s="68"/>
      <c r="H66" s="68"/>
      <c r="I66" s="68"/>
      <c r="J66" s="68"/>
    </row>
    <row r="67" spans="2:10">
      <c r="B67" s="68"/>
      <c r="C67" s="69"/>
      <c r="D67" s="69"/>
      <c r="E67" s="69"/>
      <c r="F67" s="68"/>
    </row>
    <row r="68" spans="2:10">
      <c r="B68" s="68"/>
      <c r="C68" s="69"/>
      <c r="D68" s="69"/>
      <c r="E68" s="69"/>
      <c r="F68" s="68"/>
    </row>
    <row r="69" spans="2:10">
      <c r="B69" s="68"/>
      <c r="C69" s="69"/>
      <c r="D69" s="69"/>
      <c r="E69" s="69"/>
      <c r="F69" s="68"/>
    </row>
    <row r="70" spans="2:10">
      <c r="B70" s="68"/>
      <c r="C70" s="69"/>
      <c r="D70" s="69"/>
      <c r="E70" s="69"/>
      <c r="F70" s="68"/>
    </row>
    <row r="71" spans="2:10">
      <c r="B71" s="68"/>
      <c r="C71" s="69"/>
      <c r="D71" s="69"/>
      <c r="E71" s="69"/>
      <c r="F71" s="68"/>
    </row>
    <row r="72" spans="2:10">
      <c r="B72" s="68"/>
      <c r="C72" s="69"/>
      <c r="D72" s="69"/>
      <c r="E72" s="69"/>
      <c r="F72" s="68"/>
    </row>
    <row r="73" spans="2:10">
      <c r="B73" s="68"/>
      <c r="C73" s="69"/>
      <c r="D73" s="69"/>
      <c r="E73" s="69"/>
      <c r="F73" s="68"/>
    </row>
    <row r="74" spans="2:10">
      <c r="B74" s="68"/>
      <c r="C74" s="69"/>
      <c r="D74" s="69"/>
      <c r="E74" s="69"/>
      <c r="F74" s="68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workbookViewId="0">
      <pane xSplit="2" ySplit="7" topLeftCell="C14" activePane="bottomRight" state="frozen"/>
      <selection pane="topRight"/>
      <selection pane="bottomLeft"/>
      <selection pane="bottomRight" activeCell="G28" sqref="G28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4" width="14" style="50" bestFit="1" customWidth="1"/>
    <col min="5" max="5" width="18.75" style="50" customWidth="1"/>
    <col min="6" max="6" width="12.375" style="49" customWidth="1"/>
    <col min="7" max="7" width="10.125" style="49" customWidth="1"/>
    <col min="8" max="13" width="9" style="49" customWidth="1"/>
    <col min="14" max="26" width="9" style="49"/>
    <col min="27" max="27" width="4.375" style="49" customWidth="1"/>
    <col min="28" max="28" width="13.875" style="49" customWidth="1"/>
    <col min="29" max="16384" width="9" style="49"/>
  </cols>
  <sheetData>
    <row r="1" spans="1:29">
      <c r="A1" s="246" t="s">
        <v>143</v>
      </c>
      <c r="B1" s="246"/>
      <c r="C1" s="250" t="s">
        <v>252</v>
      </c>
      <c r="D1" s="251"/>
      <c r="E1" s="252"/>
    </row>
    <row r="2" spans="1:29">
      <c r="A2" s="246" t="s">
        <v>144</v>
      </c>
      <c r="B2" s="246"/>
      <c r="C2" s="254" t="str">
        <f>'2022年'!C2:E2</f>
        <v>陕汽</v>
      </c>
      <c r="D2" s="255"/>
      <c r="E2" s="256"/>
    </row>
    <row r="3" spans="1:29">
      <c r="A3" s="246" t="s">
        <v>145</v>
      </c>
      <c r="B3" s="246"/>
      <c r="C3" s="162" t="str">
        <f>销量!C5</f>
        <v>司机座椅</v>
      </c>
      <c r="D3" s="162" t="str">
        <f>销量!D5</f>
        <v>副司机座椅</v>
      </c>
      <c r="E3" s="247" t="s">
        <v>17</v>
      </c>
    </row>
    <row r="4" spans="1:29" ht="16.5" customHeight="1">
      <c r="A4" s="246" t="s">
        <v>146</v>
      </c>
      <c r="B4" s="246"/>
      <c r="C4" s="162" t="str">
        <f>销量!C6</f>
        <v>DZ15221519945</v>
      </c>
      <c r="D4" s="162" t="str">
        <f>销量!D6</f>
        <v>副司机暂无</v>
      </c>
      <c r="E4" s="248"/>
    </row>
    <row r="5" spans="1:29">
      <c r="A5" s="246" t="s">
        <v>147</v>
      </c>
      <c r="B5" s="246"/>
      <c r="C5" s="52"/>
      <c r="D5" s="52"/>
      <c r="E5" s="249"/>
      <c r="AC5" s="49" t="s">
        <v>18</v>
      </c>
    </row>
    <row r="6" spans="1:29" ht="17.25">
      <c r="A6" s="53" t="s">
        <v>15</v>
      </c>
      <c r="B6" s="54" t="s">
        <v>148</v>
      </c>
      <c r="C6" s="23">
        <f>销量!C12</f>
        <v>30000</v>
      </c>
      <c r="D6" s="23">
        <f>销量!D12</f>
        <v>30000</v>
      </c>
      <c r="E6" s="55">
        <f t="shared" ref="E6:E15" si="0">SUM(C6:D6)</f>
        <v>60000</v>
      </c>
      <c r="AA6" s="53" t="s">
        <v>15</v>
      </c>
      <c r="AB6" s="54" t="s">
        <v>3</v>
      </c>
      <c r="AC6" s="49" t="s">
        <v>19</v>
      </c>
    </row>
    <row r="7" spans="1:29">
      <c r="A7" s="161">
        <v>1</v>
      </c>
      <c r="B7" s="54" t="s">
        <v>20</v>
      </c>
      <c r="C7" s="55">
        <f>C6*销量!C8</f>
        <v>44850000</v>
      </c>
      <c r="D7" s="55">
        <f>D6*销量!D8</f>
        <v>15900000</v>
      </c>
      <c r="E7" s="55">
        <f t="shared" si="0"/>
        <v>60750000</v>
      </c>
      <c r="F7" s="50"/>
      <c r="AA7" s="53" t="s">
        <v>21</v>
      </c>
      <c r="AB7" s="54" t="s">
        <v>20</v>
      </c>
      <c r="AC7" s="49" t="s">
        <v>19</v>
      </c>
    </row>
    <row r="8" spans="1:29">
      <c r="A8" s="161">
        <v>2</v>
      </c>
      <c r="B8" s="161" t="s">
        <v>22</v>
      </c>
      <c r="C8" s="55">
        <f>C7*(1-销量!$L$9)</f>
        <v>5169590.4000000069</v>
      </c>
      <c r="D8" s="55">
        <f>D7*(1-销量!$L$9)</f>
        <v>1832697.6000000022</v>
      </c>
      <c r="E8" s="55">
        <f t="shared" si="0"/>
        <v>7002288.0000000093</v>
      </c>
      <c r="F8" s="70"/>
      <c r="AA8" s="53" t="s">
        <v>23</v>
      </c>
      <c r="AB8" s="161" t="s">
        <v>24</v>
      </c>
      <c r="AC8" s="49" t="s">
        <v>19</v>
      </c>
    </row>
    <row r="9" spans="1:29">
      <c r="A9" s="161">
        <v>3</v>
      </c>
      <c r="B9" s="54" t="s">
        <v>25</v>
      </c>
      <c r="C9" s="55">
        <f>+C7-C8</f>
        <v>39680409.599999994</v>
      </c>
      <c r="D9" s="55">
        <f t="shared" ref="D9" si="1">+D7-D8</f>
        <v>14067302.399999999</v>
      </c>
      <c r="E9" s="55">
        <f t="shared" si="0"/>
        <v>53747711.999999993</v>
      </c>
      <c r="AA9" s="53" t="s">
        <v>26</v>
      </c>
      <c r="AB9" s="54" t="s">
        <v>25</v>
      </c>
      <c r="AC9" s="49" t="s">
        <v>27</v>
      </c>
    </row>
    <row r="10" spans="1:29">
      <c r="A10" s="161">
        <v>4</v>
      </c>
      <c r="B10" s="53" t="s">
        <v>28</v>
      </c>
      <c r="C10" s="55">
        <f>C6*材料成本!H41</f>
        <v>30043171.79559936</v>
      </c>
      <c r="D10" s="55">
        <f>D6*材料成本!H42</f>
        <v>10543575.859199997</v>
      </c>
      <c r="E10" s="55">
        <f t="shared" si="0"/>
        <v>40586747.654799357</v>
      </c>
      <c r="AA10" s="53" t="s">
        <v>29</v>
      </c>
      <c r="AB10" s="53" t="s">
        <v>28</v>
      </c>
      <c r="AC10" s="49" t="s">
        <v>30</v>
      </c>
    </row>
    <row r="11" spans="1:29">
      <c r="A11" s="161">
        <v>5</v>
      </c>
      <c r="B11" s="53" t="s">
        <v>31</v>
      </c>
      <c r="C11" s="55">
        <f>+C6*C36</f>
        <v>2521466.3888046225</v>
      </c>
      <c r="D11" s="55">
        <f t="shared" ref="D11" si="2">+D6*D36</f>
        <v>893897.78332204011</v>
      </c>
      <c r="E11" s="55">
        <f t="shared" si="0"/>
        <v>3415364.1721266625</v>
      </c>
      <c r="AA11" s="53" t="s">
        <v>32</v>
      </c>
      <c r="AB11" s="53" t="s">
        <v>31</v>
      </c>
    </row>
    <row r="12" spans="1:29">
      <c r="A12" s="161">
        <v>6</v>
      </c>
      <c r="B12" s="53" t="s">
        <v>33</v>
      </c>
      <c r="C12" s="55">
        <f>+C6*C37</f>
        <v>676158.13360828569</v>
      </c>
      <c r="D12" s="55">
        <f t="shared" ref="D12" si="3">+D6*D37</f>
        <v>239708.23465711801</v>
      </c>
      <c r="E12" s="55">
        <f t="shared" si="0"/>
        <v>915866.36826540367</v>
      </c>
      <c r="AA12" s="53" t="s">
        <v>34</v>
      </c>
      <c r="AB12" s="53" t="s">
        <v>33</v>
      </c>
    </row>
    <row r="13" spans="1:29">
      <c r="A13" s="161">
        <v>7</v>
      </c>
      <c r="B13" s="53" t="s">
        <v>35</v>
      </c>
      <c r="C13" s="55">
        <f>+C6*C38</f>
        <v>1793999.9999999998</v>
      </c>
      <c r="D13" s="55">
        <f t="shared" ref="D13" si="4">+D6*D38</f>
        <v>635999.99999999988</v>
      </c>
      <c r="E13" s="55">
        <f t="shared" si="0"/>
        <v>2429999.9999999995</v>
      </c>
      <c r="AA13" s="53" t="s">
        <v>36</v>
      </c>
      <c r="AB13" s="53" t="s">
        <v>35</v>
      </c>
      <c r="AC13" s="49" t="s">
        <v>19</v>
      </c>
    </row>
    <row r="14" spans="1:29">
      <c r="A14" s="161">
        <v>8</v>
      </c>
      <c r="B14" s="56" t="s">
        <v>37</v>
      </c>
      <c r="C14" s="55">
        <f>SUM(C11:C13)</f>
        <v>4991624.5224129083</v>
      </c>
      <c r="D14" s="55">
        <f t="shared" ref="D14" si="5">SUM(D11:D13)</f>
        <v>1769606.0179791581</v>
      </c>
      <c r="E14" s="55">
        <f t="shared" si="0"/>
        <v>6761230.5403920664</v>
      </c>
      <c r="AA14" s="53" t="s">
        <v>38</v>
      </c>
      <c r="AB14" s="56" t="s">
        <v>37</v>
      </c>
    </row>
    <row r="15" spans="1:29">
      <c r="A15" s="161">
        <v>9</v>
      </c>
      <c r="B15" s="56" t="s">
        <v>39</v>
      </c>
      <c r="C15" s="55">
        <f>+C9-C10-C14</f>
        <v>4645613.2819877258</v>
      </c>
      <c r="D15" s="55">
        <f t="shared" ref="D15" si="6">+D9-D10-D14</f>
        <v>1754120.5228208434</v>
      </c>
      <c r="E15" s="55">
        <f t="shared" si="0"/>
        <v>6399733.8048085691</v>
      </c>
      <c r="AA15" s="53" t="s">
        <v>40</v>
      </c>
      <c r="AB15" s="56" t="s">
        <v>39</v>
      </c>
    </row>
    <row r="16" spans="1:29">
      <c r="A16" s="161">
        <v>10</v>
      </c>
      <c r="B16" s="53" t="s">
        <v>41</v>
      </c>
      <c r="C16" s="57">
        <f>+C15/C9</f>
        <v>0.11707573910698055</v>
      </c>
      <c r="D16" s="57">
        <f t="shared" ref="D16" si="7">+D15/D9</f>
        <v>0.1246948756017958</v>
      </c>
      <c r="E16" s="57">
        <f t="shared" ref="E16" si="8">+E15/E9</f>
        <v>0.11906988347352479</v>
      </c>
      <c r="AA16" s="53" t="s">
        <v>42</v>
      </c>
      <c r="AB16" s="53" t="s">
        <v>41</v>
      </c>
    </row>
    <row r="17" spans="1:29">
      <c r="A17" s="161">
        <v>11</v>
      </c>
      <c r="B17" s="53" t="s">
        <v>43</v>
      </c>
      <c r="C17" s="55">
        <f>C6*C43+C18</f>
        <v>2046939.9999999998</v>
      </c>
      <c r="D17" s="55">
        <f t="shared" ref="D17" si="9">D6*D43+D18</f>
        <v>744189.99999999988</v>
      </c>
      <c r="E17" s="55">
        <f>SUM(C17:D17)</f>
        <v>2791129.9999999995</v>
      </c>
      <c r="F17" s="70"/>
      <c r="AA17" s="53" t="s">
        <v>44</v>
      </c>
      <c r="AB17" s="53" t="s">
        <v>43</v>
      </c>
    </row>
    <row r="18" spans="1:29" s="47" customFormat="1">
      <c r="A18" s="161">
        <v>12</v>
      </c>
      <c r="B18" s="58" t="s">
        <v>149</v>
      </c>
      <c r="C18" s="59">
        <f>$E$18/$E$6*C6</f>
        <v>28690</v>
      </c>
      <c r="D18" s="59">
        <f>$E$18/$E$6*D6</f>
        <v>28690</v>
      </c>
      <c r="E18" s="59">
        <f>项目投资!D26</f>
        <v>57380</v>
      </c>
      <c r="F18" s="71" t="s">
        <v>150</v>
      </c>
      <c r="G18" s="71"/>
      <c r="H18" s="71"/>
    </row>
    <row r="19" spans="1:29">
      <c r="A19" s="161">
        <v>13</v>
      </c>
      <c r="B19" s="53" t="s">
        <v>45</v>
      </c>
      <c r="C19" s="55">
        <f>C6*C44</f>
        <v>313950</v>
      </c>
      <c r="D19" s="55">
        <f t="shared" ref="D19" si="10">D6*D44</f>
        <v>111300</v>
      </c>
      <c r="E19" s="55">
        <f>SUM(C19:D19)</f>
        <v>425250</v>
      </c>
      <c r="F19" s="47"/>
      <c r="AA19" s="53" t="s">
        <v>46</v>
      </c>
      <c r="AB19" s="53" t="s">
        <v>45</v>
      </c>
      <c r="AC19" s="49" t="s">
        <v>19</v>
      </c>
    </row>
    <row r="20" spans="1:29">
      <c r="A20" s="161">
        <v>14</v>
      </c>
      <c r="B20" s="53" t="s">
        <v>47</v>
      </c>
      <c r="C20" s="55">
        <f>C6*C45</f>
        <v>1345500</v>
      </c>
      <c r="D20" s="55">
        <f t="shared" ref="D20" si="11">D6*D45</f>
        <v>476999.99999999994</v>
      </c>
      <c r="E20" s="55">
        <f>SUM(C20:D20)</f>
        <v>1822500</v>
      </c>
      <c r="AA20" s="53" t="s">
        <v>48</v>
      </c>
      <c r="AB20" s="53" t="s">
        <v>47</v>
      </c>
    </row>
    <row r="21" spans="1:29">
      <c r="A21" s="161">
        <v>15</v>
      </c>
      <c r="B21" s="53" t="s">
        <v>49</v>
      </c>
      <c r="C21" s="60">
        <f>$E$21/$E$6*C6</f>
        <v>48850</v>
      </c>
      <c r="D21" s="60">
        <f>$E$21/$E$6*D6</f>
        <v>48850</v>
      </c>
      <c r="E21" s="55">
        <f>项目投资!D27</f>
        <v>97700</v>
      </c>
      <c r="AA21" s="53"/>
      <c r="AB21" s="53"/>
    </row>
    <row r="22" spans="1:29">
      <c r="A22" s="161">
        <v>16</v>
      </c>
      <c r="B22" s="53" t="s">
        <v>50</v>
      </c>
      <c r="C22" s="55">
        <f>C6*C47</f>
        <v>1794000.0000000002</v>
      </c>
      <c r="D22" s="55">
        <f t="shared" ref="D22" si="12">D6*D47</f>
        <v>636000</v>
      </c>
      <c r="E22" s="55">
        <f>SUM(C22:D22)</f>
        <v>2430000</v>
      </c>
      <c r="AA22" s="53" t="s">
        <v>51</v>
      </c>
      <c r="AB22" s="53" t="s">
        <v>50</v>
      </c>
    </row>
    <row r="23" spans="1:29">
      <c r="A23" s="161">
        <v>17</v>
      </c>
      <c r="B23" s="56" t="s">
        <v>52</v>
      </c>
      <c r="C23" s="60">
        <f>+C22+C21+C20+C19+C17</f>
        <v>5549240</v>
      </c>
      <c r="D23" s="60">
        <f t="shared" ref="D23" si="13">+D22+D21+D20+D19+D17</f>
        <v>2017340</v>
      </c>
      <c r="E23" s="60">
        <f t="shared" ref="E23" si="14">+E22+E21+E20+E19+E17</f>
        <v>7566580</v>
      </c>
      <c r="AA23" s="53" t="s">
        <v>53</v>
      </c>
      <c r="AB23" s="56" t="s">
        <v>52</v>
      </c>
    </row>
    <row r="24" spans="1:29">
      <c r="A24" s="161">
        <v>18</v>
      </c>
      <c r="B24" s="61" t="s">
        <v>54</v>
      </c>
      <c r="C24" s="60">
        <f>+C15-C23</f>
        <v>-903626.71801227424</v>
      </c>
      <c r="D24" s="60">
        <f t="shared" ref="D24:E24" si="15">+D15-D23</f>
        <v>-263219.47717915662</v>
      </c>
      <c r="E24" s="60">
        <f t="shared" si="15"/>
        <v>-1166846.1951914309</v>
      </c>
      <c r="G24" s="72"/>
      <c r="AA24" s="53" t="s">
        <v>55</v>
      </c>
      <c r="AB24" s="53" t="s">
        <v>54</v>
      </c>
    </row>
    <row r="25" spans="1:29">
      <c r="A25" s="161">
        <v>19</v>
      </c>
      <c r="B25" s="53" t="s">
        <v>270</v>
      </c>
      <c r="C25" s="60">
        <f>IF(C24&lt;0,0,C24*0.15)</f>
        <v>0</v>
      </c>
      <c r="D25" s="60">
        <f>IF(D24&lt;0,0,D24*0.15)</f>
        <v>0</v>
      </c>
      <c r="E25" s="60">
        <f>IF(E24&lt;0,0,E24*0.15)</f>
        <v>0</v>
      </c>
      <c r="F25" s="68"/>
      <c r="G25" s="68"/>
      <c r="H25" s="68"/>
      <c r="AA25" s="53" t="s">
        <v>57</v>
      </c>
      <c r="AB25" s="53" t="s">
        <v>56</v>
      </c>
    </row>
    <row r="26" spans="1:29">
      <c r="A26" s="161">
        <v>20</v>
      </c>
      <c r="B26" s="53" t="s">
        <v>58</v>
      </c>
      <c r="C26" s="60">
        <f t="shared" ref="C26:E26" si="16">C24-C25</f>
        <v>-903626.71801227424</v>
      </c>
      <c r="D26" s="60">
        <f t="shared" si="16"/>
        <v>-263219.47717915662</v>
      </c>
      <c r="E26" s="60">
        <f t="shared" si="16"/>
        <v>-1166846.1951914309</v>
      </c>
      <c r="F26" s="68"/>
      <c r="G26" s="68"/>
      <c r="H26" s="68"/>
      <c r="AA26" s="53" t="s">
        <v>59</v>
      </c>
      <c r="AB26" s="53" t="s">
        <v>58</v>
      </c>
    </row>
    <row r="27" spans="1:29">
      <c r="A27" s="161">
        <v>21</v>
      </c>
      <c r="B27" s="53" t="s">
        <v>62</v>
      </c>
      <c r="C27" s="62">
        <f t="shared" ref="C27:E27" si="17">C26/C7</f>
        <v>-2.0147752909972672E-2</v>
      </c>
      <c r="D27" s="62">
        <f t="shared" ref="D27" si="18">D26/D7</f>
        <v>-1.6554684099318026E-2</v>
      </c>
      <c r="E27" s="62">
        <f t="shared" si="17"/>
        <v>-1.9207344776813677E-2</v>
      </c>
      <c r="F27" s="68"/>
      <c r="G27" s="68"/>
      <c r="H27" s="68"/>
      <c r="AA27" s="53" t="s">
        <v>61</v>
      </c>
      <c r="AB27" s="53" t="s">
        <v>62</v>
      </c>
    </row>
    <row r="28" spans="1:29">
      <c r="F28" s="68"/>
      <c r="G28" s="68"/>
      <c r="H28" s="68"/>
    </row>
    <row r="29" spans="1:29">
      <c r="A29" s="49" t="s">
        <v>63</v>
      </c>
      <c r="E29" s="50" t="s">
        <v>151</v>
      </c>
      <c r="F29" s="68"/>
      <c r="G29" s="68"/>
      <c r="H29" s="68"/>
      <c r="AA29" s="49" t="s">
        <v>63</v>
      </c>
    </row>
    <row r="30" spans="1:29">
      <c r="A30" s="53" t="s">
        <v>68</v>
      </c>
      <c r="B30" s="56" t="s">
        <v>69</v>
      </c>
      <c r="C30" s="60"/>
      <c r="D30" s="60"/>
      <c r="E30" s="60"/>
      <c r="F30" s="68"/>
      <c r="G30" s="68"/>
      <c r="H30" s="68"/>
      <c r="J30" s="68"/>
      <c r="AA30" s="53" t="s">
        <v>70</v>
      </c>
      <c r="AB30" s="56" t="s">
        <v>69</v>
      </c>
    </row>
    <row r="31" spans="1:29">
      <c r="A31" s="161">
        <v>1</v>
      </c>
      <c r="B31" s="58" t="s">
        <v>71</v>
      </c>
      <c r="C31" s="64">
        <f>销量!C8</f>
        <v>1495</v>
      </c>
      <c r="D31" s="64">
        <f>销量!D8</f>
        <v>530</v>
      </c>
      <c r="E31" s="60"/>
      <c r="F31" s="68"/>
      <c r="G31" s="68"/>
      <c r="H31" s="68"/>
      <c r="J31" s="68"/>
      <c r="AA31" s="53" t="s">
        <v>21</v>
      </c>
      <c r="AB31" s="53" t="s">
        <v>71</v>
      </c>
    </row>
    <row r="32" spans="1:29">
      <c r="A32" s="161">
        <v>2</v>
      </c>
      <c r="B32" s="53" t="s">
        <v>152</v>
      </c>
      <c r="C32" s="55">
        <f>C9/C6</f>
        <v>1322.6803199999997</v>
      </c>
      <c r="D32" s="55">
        <f t="shared" ref="D32" si="19">D9/D6</f>
        <v>468.91007999999994</v>
      </c>
      <c r="E32" s="60"/>
      <c r="F32" s="68"/>
      <c r="G32" s="68"/>
      <c r="H32" s="68"/>
      <c r="I32" s="68"/>
      <c r="J32" s="68"/>
      <c r="K32" s="68"/>
      <c r="L32" s="68"/>
      <c r="AA32" s="53"/>
      <c r="AB32" s="53"/>
    </row>
    <row r="33" spans="1:28">
      <c r="A33" s="161">
        <v>3</v>
      </c>
      <c r="B33" s="58" t="s">
        <v>72</v>
      </c>
      <c r="C33" s="55">
        <f>材料成本!H41</f>
        <v>1001.439059853312</v>
      </c>
      <c r="D33" s="55">
        <f>材料成本!H42</f>
        <v>351.45252863999991</v>
      </c>
      <c r="E33" s="60"/>
      <c r="G33" s="68"/>
      <c r="H33" s="68"/>
      <c r="I33" s="68"/>
      <c r="J33" s="68"/>
      <c r="K33" s="68"/>
      <c r="L33" s="68"/>
      <c r="AA33" s="53" t="s">
        <v>23</v>
      </c>
      <c r="AB33" s="53" t="s">
        <v>72</v>
      </c>
    </row>
    <row r="34" spans="1:28" ht="17.25" customHeight="1">
      <c r="A34" s="161">
        <v>4</v>
      </c>
      <c r="B34" s="53" t="s">
        <v>74</v>
      </c>
      <c r="C34" s="65">
        <f>C32-C33</f>
        <v>321.24126014668775</v>
      </c>
      <c r="D34" s="65">
        <f t="shared" ref="D34" si="20">D32-D33</f>
        <v>117.45755136000002</v>
      </c>
      <c r="E34" s="60"/>
      <c r="G34" s="68"/>
      <c r="H34" s="68"/>
      <c r="I34" s="68"/>
      <c r="J34" s="68"/>
      <c r="K34" s="68"/>
      <c r="L34" s="68"/>
      <c r="AA34" s="53" t="s">
        <v>73</v>
      </c>
      <c r="AB34" s="53" t="s">
        <v>74</v>
      </c>
    </row>
    <row r="35" spans="1:28">
      <c r="A35" s="53" t="s">
        <v>70</v>
      </c>
      <c r="B35" s="56" t="s">
        <v>9</v>
      </c>
      <c r="C35" s="60"/>
      <c r="D35" s="60"/>
      <c r="E35" s="60"/>
      <c r="F35" s="68"/>
      <c r="G35" s="68"/>
      <c r="H35" s="68"/>
      <c r="I35" s="68"/>
      <c r="J35" s="68"/>
      <c r="K35" s="68"/>
      <c r="L35" s="68"/>
      <c r="M35" s="68"/>
      <c r="AA35" s="53" t="s">
        <v>76</v>
      </c>
      <c r="AB35" s="56" t="s">
        <v>9</v>
      </c>
    </row>
    <row r="36" spans="1:28">
      <c r="A36" s="161">
        <v>1</v>
      </c>
      <c r="B36" s="53" t="s">
        <v>77</v>
      </c>
      <c r="C36" s="59">
        <f>'2022年'!C36</f>
        <v>84.048879626820749</v>
      </c>
      <c r="D36" s="59">
        <f>'2022年'!D36</f>
        <v>29.796592777401337</v>
      </c>
      <c r="E36" s="64"/>
      <c r="F36" s="68"/>
      <c r="G36" s="68"/>
      <c r="H36" s="68"/>
      <c r="I36" s="68"/>
      <c r="J36" s="68"/>
      <c r="K36" s="68"/>
      <c r="L36" s="68"/>
      <c r="M36" s="68"/>
      <c r="AA36" s="53" t="s">
        <v>73</v>
      </c>
      <c r="AB36" s="53" t="s">
        <v>77</v>
      </c>
    </row>
    <row r="37" spans="1:28">
      <c r="A37" s="161">
        <v>2</v>
      </c>
      <c r="B37" s="53" t="s">
        <v>78</v>
      </c>
      <c r="C37" s="59">
        <f>'2022年'!C37</f>
        <v>22.538604453609523</v>
      </c>
      <c r="D37" s="59">
        <f>'2022年'!D37</f>
        <v>7.9902744885706003</v>
      </c>
      <c r="E37" s="64"/>
      <c r="F37" s="68"/>
      <c r="G37" s="68"/>
      <c r="H37" s="68"/>
      <c r="I37" s="68"/>
      <c r="J37" s="68"/>
      <c r="K37" s="68"/>
      <c r="L37" s="68"/>
      <c r="M37" s="68"/>
      <c r="AA37" s="53" t="s">
        <v>26</v>
      </c>
      <c r="AB37" s="53" t="s">
        <v>78</v>
      </c>
    </row>
    <row r="38" spans="1:28">
      <c r="A38" s="161">
        <v>3</v>
      </c>
      <c r="B38" s="53" t="s">
        <v>79</v>
      </c>
      <c r="C38" s="59">
        <f>'2022年'!C38</f>
        <v>59.79999999999999</v>
      </c>
      <c r="D38" s="59">
        <f>'2022年'!D38</f>
        <v>21.199999999999996</v>
      </c>
      <c r="E38" s="64"/>
      <c r="F38" s="68"/>
      <c r="G38" s="68"/>
      <c r="H38" s="68"/>
      <c r="I38" s="68"/>
      <c r="J38" s="68"/>
      <c r="K38" s="68"/>
      <c r="L38" s="68"/>
      <c r="M38" s="68"/>
      <c r="AA38" s="53" t="s">
        <v>32</v>
      </c>
      <c r="AB38" s="53" t="s">
        <v>79</v>
      </c>
    </row>
    <row r="39" spans="1:28">
      <c r="A39" s="53" t="s">
        <v>76</v>
      </c>
      <c r="B39" s="56" t="s">
        <v>81</v>
      </c>
      <c r="C39" s="60"/>
      <c r="D39" s="60"/>
      <c r="E39" s="60"/>
      <c r="AA39" s="53" t="s">
        <v>80</v>
      </c>
      <c r="AB39" s="56" t="s">
        <v>81</v>
      </c>
    </row>
    <row r="40" spans="1:28">
      <c r="A40" s="161">
        <v>1</v>
      </c>
      <c r="B40" s="53" t="s">
        <v>83</v>
      </c>
      <c r="C40" s="60">
        <f>C34-C36-C37-C38</f>
        <v>154.8537760662575</v>
      </c>
      <c r="D40" s="60">
        <f t="shared" ref="D40" si="21">D34-D36-D37-D38</f>
        <v>58.47068409402808</v>
      </c>
      <c r="E40" s="60"/>
      <c r="AA40" s="53" t="s">
        <v>21</v>
      </c>
      <c r="AB40" s="53" t="s">
        <v>83</v>
      </c>
    </row>
    <row r="41" spans="1:28">
      <c r="A41" s="161">
        <v>2</v>
      </c>
      <c r="B41" s="53" t="s">
        <v>84</v>
      </c>
      <c r="C41" s="60"/>
      <c r="D41" s="60"/>
      <c r="E41" s="60"/>
      <c r="AA41" s="53" t="s">
        <v>23</v>
      </c>
      <c r="AB41" s="53" t="s">
        <v>84</v>
      </c>
    </row>
    <row r="42" spans="1:28">
      <c r="A42" s="53" t="s">
        <v>80</v>
      </c>
      <c r="B42" s="56" t="s">
        <v>86</v>
      </c>
      <c r="C42" s="60"/>
      <c r="D42" s="60"/>
      <c r="E42" s="60"/>
      <c r="AA42" s="53" t="s">
        <v>85</v>
      </c>
      <c r="AB42" s="56" t="s">
        <v>86</v>
      </c>
    </row>
    <row r="43" spans="1:28">
      <c r="A43" s="161">
        <v>1</v>
      </c>
      <c r="B43" s="61" t="s">
        <v>87</v>
      </c>
      <c r="C43" s="59">
        <f>'2022年'!C43</f>
        <v>67.274999999999991</v>
      </c>
      <c r="D43" s="59">
        <f>'2022年'!D43</f>
        <v>23.849999999999998</v>
      </c>
      <c r="E43" s="60"/>
      <c r="AA43" s="53" t="s">
        <v>21</v>
      </c>
      <c r="AB43" s="53" t="s">
        <v>87</v>
      </c>
    </row>
    <row r="44" spans="1:28">
      <c r="A44" s="161">
        <v>2</v>
      </c>
      <c r="B44" s="61" t="s">
        <v>88</v>
      </c>
      <c r="C44" s="59">
        <f>'2022年'!C44</f>
        <v>10.465</v>
      </c>
      <c r="D44" s="59">
        <f>'2022年'!D44</f>
        <v>3.71</v>
      </c>
      <c r="E44" s="60"/>
      <c r="AA44" s="53" t="s">
        <v>23</v>
      </c>
      <c r="AB44" s="53" t="s">
        <v>88</v>
      </c>
    </row>
    <row r="45" spans="1:28">
      <c r="A45" s="161">
        <v>3</v>
      </c>
      <c r="B45" s="61" t="s">
        <v>89</v>
      </c>
      <c r="C45" s="59">
        <f>'2022年'!C45</f>
        <v>44.85</v>
      </c>
      <c r="D45" s="59">
        <f>'2022年'!D45</f>
        <v>15.899999999999999</v>
      </c>
      <c r="E45" s="60"/>
      <c r="AA45" s="53" t="s">
        <v>73</v>
      </c>
      <c r="AB45" s="53" t="s">
        <v>89</v>
      </c>
    </row>
    <row r="46" spans="1:28" s="48" customFormat="1">
      <c r="A46" s="161">
        <v>4</v>
      </c>
      <c r="B46" s="61" t="s">
        <v>90</v>
      </c>
      <c r="C46" s="66">
        <f>C21/C6</f>
        <v>1.6283333333333334</v>
      </c>
      <c r="D46" s="66">
        <f t="shared" ref="D46" si="22">D21/D6</f>
        <v>1.6283333333333334</v>
      </c>
      <c r="E46" s="66"/>
      <c r="AA46" s="61" t="s">
        <v>29</v>
      </c>
      <c r="AB46" s="61" t="s">
        <v>92</v>
      </c>
    </row>
    <row r="47" spans="1:28" s="48" customFormat="1">
      <c r="A47" s="161">
        <v>5</v>
      </c>
      <c r="B47" s="61" t="s">
        <v>92</v>
      </c>
      <c r="C47" s="66">
        <f>'2022年'!C47</f>
        <v>59.800000000000004</v>
      </c>
      <c r="D47" s="66">
        <f>'2022年'!D47</f>
        <v>21.2</v>
      </c>
      <c r="E47" s="66"/>
      <c r="AA47" s="61" t="s">
        <v>29</v>
      </c>
      <c r="AB47" s="61" t="s">
        <v>92</v>
      </c>
    </row>
    <row r="48" spans="1:28">
      <c r="A48" s="53" t="s">
        <v>85</v>
      </c>
      <c r="B48" s="56" t="s">
        <v>103</v>
      </c>
      <c r="C48" s="60">
        <f>C40-C43-C44-C45-C47-C46</f>
        <v>-29.164557267075839</v>
      </c>
      <c r="D48" s="60">
        <f t="shared" ref="D48" si="23">D40-D43-D44-D45-D47-D46</f>
        <v>-7.8176492393052541</v>
      </c>
      <c r="E48" s="60"/>
      <c r="AA48" s="53" t="s">
        <v>102</v>
      </c>
      <c r="AB48" s="56" t="s">
        <v>103</v>
      </c>
    </row>
    <row r="51" spans="2:10">
      <c r="C51" s="67"/>
      <c r="D51" s="67"/>
    </row>
    <row r="54" spans="2:10">
      <c r="B54" s="68"/>
      <c r="C54" s="69"/>
      <c r="D54" s="69"/>
      <c r="E54" s="69"/>
      <c r="F54" s="68"/>
      <c r="G54" s="68"/>
      <c r="H54" s="68"/>
      <c r="I54" s="68"/>
      <c r="J54" s="68"/>
    </row>
    <row r="55" spans="2:10">
      <c r="B55" s="68"/>
      <c r="C55" s="69"/>
      <c r="D55" s="69"/>
      <c r="E55" s="69"/>
      <c r="F55" s="68"/>
      <c r="G55" s="68"/>
      <c r="H55" s="68"/>
      <c r="I55" s="68"/>
      <c r="J55" s="68"/>
    </row>
    <row r="56" spans="2:10">
      <c r="B56" s="68"/>
      <c r="C56" s="69"/>
      <c r="D56" s="69"/>
      <c r="E56" s="69"/>
      <c r="F56" s="68"/>
      <c r="G56" s="68"/>
      <c r="H56" s="68"/>
      <c r="I56" s="68"/>
      <c r="J56" s="68"/>
    </row>
    <row r="57" spans="2:10">
      <c r="B57" s="68"/>
      <c r="C57" s="69"/>
      <c r="D57" s="69"/>
      <c r="E57" s="69"/>
      <c r="F57" s="68"/>
      <c r="G57" s="68"/>
      <c r="H57" s="68"/>
      <c r="I57" s="68"/>
      <c r="J57" s="68"/>
    </row>
    <row r="58" spans="2:10">
      <c r="B58" s="68"/>
      <c r="C58" s="69"/>
      <c r="D58" s="69"/>
      <c r="E58" s="69"/>
      <c r="F58" s="68"/>
      <c r="G58" s="68"/>
      <c r="H58" s="68"/>
      <c r="I58" s="68"/>
      <c r="J58" s="68"/>
    </row>
    <row r="59" spans="2:10">
      <c r="B59" s="68"/>
      <c r="C59" s="69"/>
      <c r="D59" s="69"/>
      <c r="E59" s="69"/>
      <c r="F59" s="68"/>
      <c r="G59" s="68"/>
      <c r="H59" s="68"/>
      <c r="I59" s="68"/>
      <c r="J59" s="68"/>
    </row>
    <row r="60" spans="2:10">
      <c r="B60" s="68"/>
      <c r="C60" s="69"/>
      <c r="D60" s="69"/>
      <c r="E60" s="69"/>
      <c r="F60" s="68"/>
      <c r="G60" s="68"/>
      <c r="H60" s="68"/>
      <c r="I60" s="68"/>
      <c r="J60" s="68"/>
    </row>
    <row r="61" spans="2:10">
      <c r="B61" s="68"/>
      <c r="C61" s="69"/>
      <c r="D61" s="69"/>
      <c r="E61" s="69"/>
      <c r="F61" s="68"/>
      <c r="G61" s="68"/>
      <c r="H61" s="68"/>
      <c r="I61" s="68"/>
      <c r="J61" s="68"/>
    </row>
    <row r="62" spans="2:10">
      <c r="B62" s="68"/>
      <c r="C62" s="69"/>
      <c r="D62" s="69"/>
      <c r="E62" s="69"/>
      <c r="F62" s="68"/>
      <c r="G62" s="68"/>
      <c r="H62" s="68"/>
      <c r="I62" s="68"/>
      <c r="J62" s="68"/>
    </row>
    <row r="63" spans="2:10">
      <c r="B63" s="68"/>
      <c r="C63" s="69"/>
      <c r="D63" s="69"/>
      <c r="E63" s="69"/>
      <c r="F63" s="68"/>
      <c r="G63" s="68"/>
      <c r="H63" s="68"/>
      <c r="I63" s="68"/>
      <c r="J63" s="68"/>
    </row>
    <row r="64" spans="2:10">
      <c r="B64" s="68"/>
      <c r="C64" s="69"/>
      <c r="D64" s="69"/>
      <c r="E64" s="69"/>
      <c r="F64" s="68"/>
      <c r="G64" s="68"/>
      <c r="H64" s="68"/>
      <c r="I64" s="68"/>
      <c r="J64" s="68"/>
    </row>
    <row r="65" spans="2:10">
      <c r="B65" s="68"/>
      <c r="C65" s="69"/>
      <c r="D65" s="69"/>
      <c r="E65" s="69"/>
      <c r="F65" s="68"/>
      <c r="G65" s="68"/>
      <c r="H65" s="68"/>
      <c r="I65" s="68"/>
      <c r="J65" s="68"/>
    </row>
    <row r="66" spans="2:10">
      <c r="B66" s="68"/>
      <c r="C66" s="69"/>
      <c r="D66" s="69"/>
      <c r="E66" s="69"/>
      <c r="F66" s="68"/>
      <c r="G66" s="68"/>
      <c r="H66" s="68"/>
      <c r="I66" s="68"/>
      <c r="J66" s="68"/>
    </row>
    <row r="67" spans="2:10">
      <c r="B67" s="68"/>
      <c r="C67" s="69"/>
      <c r="D67" s="69"/>
      <c r="E67" s="69"/>
      <c r="F67" s="68"/>
    </row>
    <row r="68" spans="2:10">
      <c r="B68" s="68"/>
      <c r="C68" s="69"/>
      <c r="D68" s="69"/>
      <c r="E68" s="69"/>
      <c r="F68" s="68"/>
    </row>
    <row r="69" spans="2:10">
      <c r="B69" s="68"/>
      <c r="C69" s="69"/>
      <c r="D69" s="69"/>
      <c r="E69" s="69"/>
      <c r="F69" s="68"/>
    </row>
    <row r="70" spans="2:10">
      <c r="B70" s="68"/>
      <c r="C70" s="69"/>
      <c r="D70" s="69"/>
      <c r="E70" s="69"/>
      <c r="F70" s="68"/>
    </row>
    <row r="71" spans="2:10">
      <c r="B71" s="68"/>
      <c r="C71" s="69"/>
      <c r="D71" s="69"/>
      <c r="E71" s="69"/>
      <c r="F71" s="68"/>
    </row>
    <row r="72" spans="2:10">
      <c r="B72" s="68"/>
      <c r="C72" s="69"/>
      <c r="D72" s="69"/>
      <c r="E72" s="69"/>
      <c r="F72" s="68"/>
    </row>
    <row r="73" spans="2:10">
      <c r="B73" s="68"/>
      <c r="C73" s="69"/>
      <c r="D73" s="69"/>
      <c r="E73" s="69"/>
      <c r="F73" s="68"/>
    </row>
    <row r="74" spans="2:10">
      <c r="B74" s="68"/>
      <c r="C74" s="69"/>
      <c r="D74" s="69"/>
      <c r="E74" s="69"/>
      <c r="F74" s="68"/>
    </row>
  </sheetData>
  <mergeCells count="8">
    <mergeCell ref="E3:E5"/>
    <mergeCell ref="C2:E2"/>
    <mergeCell ref="C1:E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4" activePane="bottomRight" state="frozen"/>
      <selection pane="topRight"/>
      <selection pane="bottomLeft"/>
      <selection pane="bottomRight" activeCell="F29" sqref="F29"/>
    </sheetView>
  </sheetViews>
  <sheetFormatPr defaultColWidth="9" defaultRowHeight="16.5"/>
  <cols>
    <col min="1" max="1" width="5.125" style="49" customWidth="1"/>
    <col min="2" max="2" width="17.5" style="49" customWidth="1"/>
    <col min="3" max="3" width="13.25" style="50" customWidth="1"/>
    <col min="4" max="4" width="14" style="50" bestFit="1" customWidth="1"/>
    <col min="5" max="5" width="18.75" style="50" customWidth="1"/>
    <col min="6" max="6" width="12.375" style="49" customWidth="1"/>
    <col min="7" max="7" width="10.125" style="49" customWidth="1"/>
    <col min="8" max="14" width="9" style="49" customWidth="1"/>
    <col min="15" max="31" width="9" style="49"/>
    <col min="32" max="32" width="4.375" style="49" customWidth="1"/>
    <col min="33" max="33" width="13.875" style="49" customWidth="1"/>
    <col min="34" max="16384" width="9" style="49"/>
  </cols>
  <sheetData>
    <row r="1" spans="1:34">
      <c r="A1" s="246" t="s">
        <v>143</v>
      </c>
      <c r="B1" s="246"/>
      <c r="C1" s="250" t="s">
        <v>253</v>
      </c>
      <c r="D1" s="251"/>
      <c r="E1" s="252"/>
    </row>
    <row r="2" spans="1:34">
      <c r="A2" s="246" t="s">
        <v>144</v>
      </c>
      <c r="B2" s="246"/>
      <c r="C2" s="253" t="str">
        <f>'2022年'!C2:E2</f>
        <v>陕汽</v>
      </c>
      <c r="D2" s="253"/>
      <c r="E2" s="253"/>
    </row>
    <row r="3" spans="1:34">
      <c r="A3" s="246" t="s">
        <v>145</v>
      </c>
      <c r="B3" s="246"/>
      <c r="C3" s="162" t="str">
        <f>销量!C5</f>
        <v>司机座椅</v>
      </c>
      <c r="D3" s="162" t="str">
        <f>销量!D5</f>
        <v>副司机座椅</v>
      </c>
      <c r="E3" s="247" t="s">
        <v>17</v>
      </c>
    </row>
    <row r="4" spans="1:34">
      <c r="A4" s="246" t="s">
        <v>146</v>
      </c>
      <c r="B4" s="246"/>
      <c r="C4" s="162" t="str">
        <f>销量!C6</f>
        <v>DZ15221519945</v>
      </c>
      <c r="D4" s="162" t="str">
        <f>销量!D6</f>
        <v>副司机暂无</v>
      </c>
      <c r="E4" s="248"/>
    </row>
    <row r="5" spans="1:34">
      <c r="A5" s="246" t="s">
        <v>147</v>
      </c>
      <c r="B5" s="246"/>
      <c r="C5" s="52"/>
      <c r="D5" s="52"/>
      <c r="E5" s="249"/>
      <c r="AH5" s="49" t="s">
        <v>18</v>
      </c>
    </row>
    <row r="6" spans="1:34" ht="17.25">
      <c r="A6" s="53" t="s">
        <v>15</v>
      </c>
      <c r="B6" s="54" t="s">
        <v>148</v>
      </c>
      <c r="C6" s="23">
        <f>销量!C13</f>
        <v>30000</v>
      </c>
      <c r="D6" s="23">
        <f>销量!D13</f>
        <v>30000</v>
      </c>
      <c r="E6" s="55">
        <f t="shared" ref="E6:E15" si="0">SUM(C6:D6)</f>
        <v>60000</v>
      </c>
      <c r="P6" s="54" t="s">
        <v>3</v>
      </c>
      <c r="AF6" s="53" t="s">
        <v>15</v>
      </c>
      <c r="AG6" s="54" t="s">
        <v>3</v>
      </c>
      <c r="AH6" s="49" t="s">
        <v>19</v>
      </c>
    </row>
    <row r="7" spans="1:34">
      <c r="A7" s="161">
        <v>1</v>
      </c>
      <c r="B7" s="54" t="s">
        <v>20</v>
      </c>
      <c r="C7" s="55">
        <f>C6*销量!C8</f>
        <v>44850000</v>
      </c>
      <c r="D7" s="55">
        <f>D6*销量!D8</f>
        <v>15900000</v>
      </c>
      <c r="E7" s="55">
        <f t="shared" si="0"/>
        <v>60750000</v>
      </c>
      <c r="F7" s="50"/>
      <c r="P7" s="54" t="s">
        <v>20</v>
      </c>
      <c r="AF7" s="53" t="s">
        <v>21</v>
      </c>
      <c r="AG7" s="54" t="s">
        <v>20</v>
      </c>
      <c r="AH7" s="49" t="s">
        <v>19</v>
      </c>
    </row>
    <row r="8" spans="1:34">
      <c r="A8" s="161">
        <v>2</v>
      </c>
      <c r="B8" s="161" t="s">
        <v>22</v>
      </c>
      <c r="C8" s="55">
        <f>C7*(1-销量!$L$10)</f>
        <v>6756806.7840000065</v>
      </c>
      <c r="D8" s="55">
        <f>D7*(1-销量!$L$10)</f>
        <v>2395389.6960000023</v>
      </c>
      <c r="E8" s="55">
        <f t="shared" si="0"/>
        <v>9152196.4800000079</v>
      </c>
      <c r="F8" s="70"/>
      <c r="P8" s="161" t="s">
        <v>24</v>
      </c>
      <c r="AF8" s="53" t="s">
        <v>23</v>
      </c>
      <c r="AG8" s="161" t="s">
        <v>24</v>
      </c>
      <c r="AH8" s="49" t="s">
        <v>19</v>
      </c>
    </row>
    <row r="9" spans="1:34">
      <c r="A9" s="161">
        <v>3</v>
      </c>
      <c r="B9" s="54" t="s">
        <v>25</v>
      </c>
      <c r="C9" s="55">
        <f>+C7-C8</f>
        <v>38093193.215999991</v>
      </c>
      <c r="D9" s="55">
        <f t="shared" ref="D9" si="1">+D7-D8</f>
        <v>13504610.303999998</v>
      </c>
      <c r="E9" s="55">
        <f t="shared" si="0"/>
        <v>51597803.519999988</v>
      </c>
      <c r="P9" s="54" t="s">
        <v>25</v>
      </c>
      <c r="AF9" s="53" t="s">
        <v>26</v>
      </c>
      <c r="AG9" s="54" t="s">
        <v>25</v>
      </c>
      <c r="AH9" s="49" t="s">
        <v>27</v>
      </c>
    </row>
    <row r="10" spans="1:34">
      <c r="A10" s="161">
        <v>4</v>
      </c>
      <c r="B10" s="53" t="s">
        <v>28</v>
      </c>
      <c r="C10" s="55">
        <f>C6*材料成本!I41</f>
        <v>28841444.923775382</v>
      </c>
      <c r="D10" s="55">
        <f>D6*材料成本!I42</f>
        <v>10121832.824831998</v>
      </c>
      <c r="E10" s="55">
        <f t="shared" si="0"/>
        <v>38963277.748607382</v>
      </c>
      <c r="P10" s="53" t="s">
        <v>28</v>
      </c>
      <c r="AF10" s="53" t="s">
        <v>29</v>
      </c>
      <c r="AG10" s="53" t="s">
        <v>28</v>
      </c>
      <c r="AH10" s="49" t="s">
        <v>30</v>
      </c>
    </row>
    <row r="11" spans="1:34">
      <c r="A11" s="161">
        <v>5</v>
      </c>
      <c r="B11" s="53" t="s">
        <v>31</v>
      </c>
      <c r="C11" s="55">
        <f>+C6*C36</f>
        <v>2521466.3888046225</v>
      </c>
      <c r="D11" s="55">
        <f t="shared" ref="D11" si="2">+D6*D36</f>
        <v>893897.78332204011</v>
      </c>
      <c r="E11" s="55">
        <f t="shared" si="0"/>
        <v>3415364.1721266625</v>
      </c>
      <c r="P11" s="53" t="s">
        <v>31</v>
      </c>
      <c r="AF11" s="53" t="s">
        <v>32</v>
      </c>
      <c r="AG11" s="53" t="s">
        <v>31</v>
      </c>
    </row>
    <row r="12" spans="1:34">
      <c r="A12" s="161">
        <v>6</v>
      </c>
      <c r="B12" s="53" t="s">
        <v>33</v>
      </c>
      <c r="C12" s="55">
        <f>+C6*C37</f>
        <v>676158.13360828569</v>
      </c>
      <c r="D12" s="55">
        <f t="shared" ref="D12" si="3">+D6*D37</f>
        <v>239708.23465711801</v>
      </c>
      <c r="E12" s="55">
        <f t="shared" si="0"/>
        <v>915866.36826540367</v>
      </c>
      <c r="P12" s="53" t="s">
        <v>33</v>
      </c>
      <c r="AF12" s="53" t="s">
        <v>34</v>
      </c>
      <c r="AG12" s="53" t="s">
        <v>33</v>
      </c>
    </row>
    <row r="13" spans="1:34">
      <c r="A13" s="161">
        <v>7</v>
      </c>
      <c r="B13" s="53" t="s">
        <v>35</v>
      </c>
      <c r="C13" s="55">
        <f>+C6*C38</f>
        <v>1793999.9999999998</v>
      </c>
      <c r="D13" s="55">
        <f t="shared" ref="D13" si="4">+D6*D38</f>
        <v>635999.99999999988</v>
      </c>
      <c r="E13" s="55">
        <f t="shared" si="0"/>
        <v>2429999.9999999995</v>
      </c>
      <c r="P13" s="53" t="s">
        <v>35</v>
      </c>
      <c r="AF13" s="53" t="s">
        <v>36</v>
      </c>
      <c r="AG13" s="53" t="s">
        <v>35</v>
      </c>
      <c r="AH13" s="49" t="s">
        <v>19</v>
      </c>
    </row>
    <row r="14" spans="1:34">
      <c r="A14" s="161">
        <v>8</v>
      </c>
      <c r="B14" s="56" t="s">
        <v>37</v>
      </c>
      <c r="C14" s="55">
        <f>SUM(C11:C13)</f>
        <v>4991624.5224129083</v>
      </c>
      <c r="D14" s="55">
        <f t="shared" ref="D14" si="5">SUM(D11:D13)</f>
        <v>1769606.0179791581</v>
      </c>
      <c r="E14" s="55">
        <f t="shared" si="0"/>
        <v>6761230.5403920664</v>
      </c>
      <c r="P14" s="56" t="s">
        <v>37</v>
      </c>
      <c r="AF14" s="53" t="s">
        <v>38</v>
      </c>
      <c r="AG14" s="56" t="s">
        <v>37</v>
      </c>
    </row>
    <row r="15" spans="1:34">
      <c r="A15" s="161">
        <v>9</v>
      </c>
      <c r="B15" s="56" t="s">
        <v>39</v>
      </c>
      <c r="C15" s="55">
        <f>+C9-C10-C14</f>
        <v>4260123.7698117001</v>
      </c>
      <c r="D15" s="55">
        <f t="shared" ref="D15" si="6">+D9-D10-D14</f>
        <v>1613171.4611888416</v>
      </c>
      <c r="E15" s="55">
        <f t="shared" si="0"/>
        <v>5873295.2310005417</v>
      </c>
      <c r="P15" s="56" t="s">
        <v>39</v>
      </c>
      <c r="AF15" s="53" t="s">
        <v>40</v>
      </c>
      <c r="AG15" s="56" t="s">
        <v>39</v>
      </c>
    </row>
    <row r="16" spans="1:34">
      <c r="A16" s="161">
        <v>10</v>
      </c>
      <c r="B16" s="53" t="s">
        <v>41</v>
      </c>
      <c r="C16" s="57">
        <f>+C15/C9</f>
        <v>0.11183425200548304</v>
      </c>
      <c r="D16" s="57">
        <f t="shared" ref="D16" si="7">+D15/D9</f>
        <v>0.11945338850029819</v>
      </c>
      <c r="E16" s="57">
        <f t="shared" ref="E16" si="8">+E15/E9</f>
        <v>0.11382839637202725</v>
      </c>
      <c r="P16" s="53" t="s">
        <v>41</v>
      </c>
      <c r="AF16" s="53" t="s">
        <v>42</v>
      </c>
      <c r="AG16" s="53" t="s">
        <v>41</v>
      </c>
    </row>
    <row r="17" spans="1:34">
      <c r="A17" s="161">
        <v>11</v>
      </c>
      <c r="B17" s="53" t="s">
        <v>43</v>
      </c>
      <c r="C17" s="55">
        <f>C6*C43+C18</f>
        <v>2046939.9999999998</v>
      </c>
      <c r="D17" s="55">
        <f t="shared" ref="D17" si="9">D6*D43+D18</f>
        <v>744189.99999999988</v>
      </c>
      <c r="E17" s="55">
        <f>SUM(C17:D17)</f>
        <v>2791129.9999999995</v>
      </c>
      <c r="F17" s="70"/>
      <c r="P17" s="53" t="s">
        <v>43</v>
      </c>
      <c r="AF17" s="53" t="s">
        <v>44</v>
      </c>
      <c r="AG17" s="53" t="s">
        <v>43</v>
      </c>
    </row>
    <row r="18" spans="1:34" s="47" customFormat="1">
      <c r="A18" s="161">
        <v>12</v>
      </c>
      <c r="B18" s="58" t="s">
        <v>149</v>
      </c>
      <c r="C18" s="59">
        <f>$E$18/$E$6*C6</f>
        <v>28690</v>
      </c>
      <c r="D18" s="59">
        <f>$E$18/$E$6*D6</f>
        <v>28690</v>
      </c>
      <c r="E18" s="59">
        <f>项目投资!D26</f>
        <v>57380</v>
      </c>
      <c r="F18" s="71" t="s">
        <v>150</v>
      </c>
      <c r="G18" s="71"/>
      <c r="H18" s="71"/>
    </row>
    <row r="19" spans="1:34">
      <c r="A19" s="161">
        <v>13</v>
      </c>
      <c r="B19" s="53" t="s">
        <v>45</v>
      </c>
      <c r="C19" s="55">
        <f>C6*C44</f>
        <v>313950</v>
      </c>
      <c r="D19" s="55">
        <f t="shared" ref="D19" si="10">D6*D44</f>
        <v>111300</v>
      </c>
      <c r="E19" s="55">
        <f>SUM(C19:D19)</f>
        <v>425250</v>
      </c>
      <c r="F19" s="47"/>
      <c r="P19" s="53" t="s">
        <v>45</v>
      </c>
      <c r="AF19" s="53" t="s">
        <v>46</v>
      </c>
      <c r="AG19" s="53" t="s">
        <v>45</v>
      </c>
      <c r="AH19" s="49" t="s">
        <v>19</v>
      </c>
    </row>
    <row r="20" spans="1:34">
      <c r="A20" s="161">
        <v>14</v>
      </c>
      <c r="B20" s="53" t="s">
        <v>47</v>
      </c>
      <c r="C20" s="55">
        <f>C6*C45</f>
        <v>1345500</v>
      </c>
      <c r="D20" s="55">
        <f t="shared" ref="D20" si="11">D6*D45</f>
        <v>476999.99999999994</v>
      </c>
      <c r="E20" s="55">
        <f>SUM(C20:D20)</f>
        <v>1822500</v>
      </c>
      <c r="P20" s="53" t="s">
        <v>47</v>
      </c>
      <c r="AF20" s="53" t="s">
        <v>48</v>
      </c>
      <c r="AG20" s="53" t="s">
        <v>47</v>
      </c>
    </row>
    <row r="21" spans="1:34">
      <c r="A21" s="161">
        <v>15</v>
      </c>
      <c r="B21" s="53" t="s">
        <v>49</v>
      </c>
      <c r="C21" s="60">
        <f>$E$21/$E$6*C6</f>
        <v>48850</v>
      </c>
      <c r="D21" s="60">
        <f>$E$21/$E$6*D6</f>
        <v>48850</v>
      </c>
      <c r="E21" s="55">
        <f>项目投资!D27</f>
        <v>97700</v>
      </c>
      <c r="P21" s="53" t="s">
        <v>49</v>
      </c>
      <c r="AF21" s="53"/>
      <c r="AG21" s="53"/>
    </row>
    <row r="22" spans="1:34">
      <c r="A22" s="161">
        <v>16</v>
      </c>
      <c r="B22" s="53" t="s">
        <v>50</v>
      </c>
      <c r="C22" s="55">
        <f>C6*C47</f>
        <v>1794000.0000000002</v>
      </c>
      <c r="D22" s="55">
        <f t="shared" ref="D22" si="12">D6*D47</f>
        <v>636000</v>
      </c>
      <c r="E22" s="55">
        <f>SUM(C22:D22)</f>
        <v>2430000</v>
      </c>
      <c r="P22" s="53" t="s">
        <v>50</v>
      </c>
      <c r="AF22" s="53" t="s">
        <v>51</v>
      </c>
      <c r="AG22" s="53" t="s">
        <v>50</v>
      </c>
    </row>
    <row r="23" spans="1:34">
      <c r="A23" s="161">
        <v>17</v>
      </c>
      <c r="B23" s="56" t="s">
        <v>52</v>
      </c>
      <c r="C23" s="60">
        <f>+C22+C21+C20+C19+C17</f>
        <v>5549240</v>
      </c>
      <c r="D23" s="60">
        <f t="shared" ref="D23" si="13">+D22+D21+D20+D19+D17</f>
        <v>2017340</v>
      </c>
      <c r="E23" s="60">
        <f t="shared" ref="E23" si="14">+E22+E21+E20+E19+E17</f>
        <v>7566580</v>
      </c>
      <c r="P23" s="56" t="s">
        <v>52</v>
      </c>
      <c r="AF23" s="53" t="s">
        <v>53</v>
      </c>
      <c r="AG23" s="56" t="s">
        <v>52</v>
      </c>
    </row>
    <row r="24" spans="1:34">
      <c r="A24" s="161">
        <v>18</v>
      </c>
      <c r="B24" s="61" t="s">
        <v>54</v>
      </c>
      <c r="C24" s="60">
        <f>+C15-C23</f>
        <v>-1289116.2301882999</v>
      </c>
      <c r="D24" s="60">
        <f t="shared" ref="D24" si="15">+D15-D23</f>
        <v>-404168.53881115839</v>
      </c>
      <c r="E24" s="60">
        <f t="shared" ref="E24" si="16">+E15-E23</f>
        <v>-1693284.7689994583</v>
      </c>
      <c r="G24" s="72"/>
      <c r="P24" s="53" t="s">
        <v>54</v>
      </c>
      <c r="AF24" s="53" t="s">
        <v>55</v>
      </c>
      <c r="AG24" s="53" t="s">
        <v>54</v>
      </c>
    </row>
    <row r="25" spans="1:34">
      <c r="A25" s="161">
        <v>19</v>
      </c>
      <c r="B25" s="53" t="s">
        <v>270</v>
      </c>
      <c r="C25" s="60">
        <f>IF(C24&lt;0,0,C24*0.15)</f>
        <v>0</v>
      </c>
      <c r="D25" s="60">
        <f>IF(D24&lt;0,0,D24*0.15)</f>
        <v>0</v>
      </c>
      <c r="E25" s="60">
        <f>IF(E24&lt;0,0,E24*0.15)</f>
        <v>0</v>
      </c>
      <c r="F25" s="68"/>
      <c r="G25" s="68"/>
      <c r="H25" s="68"/>
      <c r="P25" s="53" t="s">
        <v>56</v>
      </c>
      <c r="AF25" s="53" t="s">
        <v>57</v>
      </c>
      <c r="AG25" s="53" t="s">
        <v>56</v>
      </c>
    </row>
    <row r="26" spans="1:34">
      <c r="A26" s="161">
        <v>20</v>
      </c>
      <c r="B26" s="53" t="s">
        <v>58</v>
      </c>
      <c r="C26" s="60">
        <f t="shared" ref="C26:E26" si="17">C24-C25</f>
        <v>-1289116.2301882999</v>
      </c>
      <c r="D26" s="60">
        <f t="shared" si="17"/>
        <v>-404168.53881115839</v>
      </c>
      <c r="E26" s="60">
        <f t="shared" si="17"/>
        <v>-1693284.7689994583</v>
      </c>
      <c r="F26" s="68"/>
      <c r="G26" s="68"/>
      <c r="H26" s="68"/>
      <c r="P26" s="53" t="s">
        <v>58</v>
      </c>
      <c r="AF26" s="53" t="s">
        <v>59</v>
      </c>
      <c r="AG26" s="53" t="s">
        <v>58</v>
      </c>
    </row>
    <row r="27" spans="1:34">
      <c r="A27" s="161">
        <v>21</v>
      </c>
      <c r="B27" s="53" t="s">
        <v>62</v>
      </c>
      <c r="C27" s="62">
        <f t="shared" ref="C27:E27" si="18">C26/C7</f>
        <v>-2.8742836793496096E-2</v>
      </c>
      <c r="D27" s="62">
        <f t="shared" ref="D27" si="19">D26/D7</f>
        <v>-2.541940495667663E-2</v>
      </c>
      <c r="E27" s="62">
        <f t="shared" si="18"/>
        <v>-2.7873000312748284E-2</v>
      </c>
      <c r="F27" s="68"/>
      <c r="G27" s="68"/>
      <c r="H27" s="68"/>
      <c r="P27" s="53" t="s">
        <v>62</v>
      </c>
      <c r="AF27" s="53" t="s">
        <v>61</v>
      </c>
      <c r="AG27" s="53" t="s">
        <v>62</v>
      </c>
    </row>
    <row r="28" spans="1:34">
      <c r="F28" s="68"/>
      <c r="G28" s="68"/>
      <c r="H28" s="68"/>
      <c r="P28" s="53"/>
    </row>
    <row r="29" spans="1:34">
      <c r="A29" s="49" t="s">
        <v>63</v>
      </c>
      <c r="E29" s="50" t="s">
        <v>151</v>
      </c>
      <c r="F29" s="68"/>
      <c r="G29" s="68"/>
      <c r="H29" s="68"/>
      <c r="P29" s="53"/>
      <c r="AF29" s="49" t="s">
        <v>63</v>
      </c>
    </row>
    <row r="30" spans="1:34">
      <c r="A30" s="53" t="s">
        <v>68</v>
      </c>
      <c r="B30" s="56" t="s">
        <v>69</v>
      </c>
      <c r="C30" s="60"/>
      <c r="D30" s="60"/>
      <c r="E30" s="60"/>
      <c r="F30" s="68"/>
      <c r="G30" s="68"/>
      <c r="H30" s="68"/>
      <c r="J30" s="68"/>
      <c r="P30" s="56" t="s">
        <v>69</v>
      </c>
      <c r="AF30" s="53" t="s">
        <v>70</v>
      </c>
      <c r="AG30" s="56" t="s">
        <v>69</v>
      </c>
    </row>
    <row r="31" spans="1:34">
      <c r="A31" s="161">
        <v>1</v>
      </c>
      <c r="B31" s="58" t="s">
        <v>71</v>
      </c>
      <c r="C31" s="64">
        <f>销量!C8</f>
        <v>1495</v>
      </c>
      <c r="D31" s="64">
        <f>销量!D8</f>
        <v>530</v>
      </c>
      <c r="E31" s="60"/>
      <c r="F31" s="68"/>
      <c r="G31" s="68"/>
      <c r="H31" s="68"/>
      <c r="J31" s="68"/>
      <c r="P31" s="53" t="s">
        <v>71</v>
      </c>
      <c r="AF31" s="53" t="s">
        <v>21</v>
      </c>
      <c r="AG31" s="53" t="s">
        <v>71</v>
      </c>
    </row>
    <row r="32" spans="1:34">
      <c r="A32" s="161">
        <v>2</v>
      </c>
      <c r="B32" s="53" t="s">
        <v>152</v>
      </c>
      <c r="C32" s="55">
        <f>C9/C6</f>
        <v>1269.7731071999997</v>
      </c>
      <c r="D32" s="55">
        <f t="shared" ref="D32" si="20">D9/D6</f>
        <v>450.15367679999991</v>
      </c>
      <c r="E32" s="60"/>
      <c r="F32" s="68"/>
      <c r="G32" s="68"/>
      <c r="H32" s="68"/>
      <c r="I32" s="68"/>
      <c r="J32" s="68"/>
      <c r="K32" s="68"/>
      <c r="L32" s="68"/>
      <c r="AF32" s="53"/>
      <c r="AG32" s="53"/>
    </row>
    <row r="33" spans="1:33">
      <c r="A33" s="161">
        <v>3</v>
      </c>
      <c r="B33" s="58" t="s">
        <v>72</v>
      </c>
      <c r="C33" s="55">
        <f>材料成本!I41</f>
        <v>961.3814974591794</v>
      </c>
      <c r="D33" s="55">
        <f>材料成本!I42</f>
        <v>337.39442749439991</v>
      </c>
      <c r="E33" s="60"/>
      <c r="G33" s="68"/>
      <c r="H33" s="68"/>
      <c r="I33" s="68"/>
      <c r="J33" s="68"/>
      <c r="K33" s="68"/>
      <c r="L33" s="68"/>
      <c r="P33" s="53" t="s">
        <v>72</v>
      </c>
      <c r="AF33" s="53" t="s">
        <v>23</v>
      </c>
      <c r="AG33" s="53" t="s">
        <v>72</v>
      </c>
    </row>
    <row r="34" spans="1:33" ht="17.25" customHeight="1">
      <c r="A34" s="161">
        <v>4</v>
      </c>
      <c r="B34" s="53" t="s">
        <v>74</v>
      </c>
      <c r="C34" s="65">
        <f>C32-C33</f>
        <v>308.39160974082029</v>
      </c>
      <c r="D34" s="65">
        <f t="shared" ref="D34" si="21">D32-D33</f>
        <v>112.75924930560001</v>
      </c>
      <c r="E34" s="60"/>
      <c r="G34" s="68"/>
      <c r="H34" s="68"/>
      <c r="I34" s="68"/>
      <c r="J34" s="68"/>
      <c r="K34" s="68"/>
      <c r="L34" s="68"/>
      <c r="P34" s="53" t="s">
        <v>74</v>
      </c>
      <c r="AF34" s="53" t="s">
        <v>73</v>
      </c>
      <c r="AG34" s="53" t="s">
        <v>74</v>
      </c>
    </row>
    <row r="35" spans="1:33">
      <c r="A35" s="53" t="s">
        <v>70</v>
      </c>
      <c r="B35" s="56" t="s">
        <v>9</v>
      </c>
      <c r="C35" s="60"/>
      <c r="D35" s="60"/>
      <c r="E35" s="6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56" t="s">
        <v>9</v>
      </c>
      <c r="AF35" s="53" t="s">
        <v>76</v>
      </c>
      <c r="AG35" s="56" t="s">
        <v>9</v>
      </c>
    </row>
    <row r="36" spans="1:33">
      <c r="A36" s="161">
        <v>1</v>
      </c>
      <c r="B36" s="53" t="s">
        <v>77</v>
      </c>
      <c r="C36" s="59">
        <f>'2022年'!C36</f>
        <v>84.048879626820749</v>
      </c>
      <c r="D36" s="59">
        <f>'2022年'!D36</f>
        <v>29.796592777401337</v>
      </c>
      <c r="E36" s="64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53" t="s">
        <v>77</v>
      </c>
      <c r="AF36" s="53" t="s">
        <v>73</v>
      </c>
      <c r="AG36" s="53" t="s">
        <v>77</v>
      </c>
    </row>
    <row r="37" spans="1:33">
      <c r="A37" s="161">
        <v>2</v>
      </c>
      <c r="B37" s="53" t="s">
        <v>78</v>
      </c>
      <c r="C37" s="59">
        <f>'2022年'!C37</f>
        <v>22.538604453609523</v>
      </c>
      <c r="D37" s="59">
        <f>'2022年'!D37</f>
        <v>7.9902744885706003</v>
      </c>
      <c r="E37" s="64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53" t="s">
        <v>78</v>
      </c>
      <c r="AF37" s="53" t="s">
        <v>26</v>
      </c>
      <c r="AG37" s="53" t="s">
        <v>78</v>
      </c>
    </row>
    <row r="38" spans="1:33">
      <c r="A38" s="161">
        <v>3</v>
      </c>
      <c r="B38" s="53" t="s">
        <v>79</v>
      </c>
      <c r="C38" s="59">
        <f>'2022年'!C38</f>
        <v>59.79999999999999</v>
      </c>
      <c r="D38" s="59">
        <f>'2022年'!D38</f>
        <v>21.199999999999996</v>
      </c>
      <c r="E38" s="64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53" t="s">
        <v>79</v>
      </c>
      <c r="AF38" s="53" t="s">
        <v>32</v>
      </c>
      <c r="AG38" s="53" t="s">
        <v>79</v>
      </c>
    </row>
    <row r="39" spans="1:33">
      <c r="A39" s="53" t="s">
        <v>76</v>
      </c>
      <c r="B39" s="56" t="s">
        <v>81</v>
      </c>
      <c r="C39" s="60"/>
      <c r="D39" s="60"/>
      <c r="E39" s="60"/>
      <c r="P39" s="56" t="s">
        <v>81</v>
      </c>
      <c r="AF39" s="53" t="s">
        <v>80</v>
      </c>
      <c r="AG39" s="56" t="s">
        <v>81</v>
      </c>
    </row>
    <row r="40" spans="1:33">
      <c r="A40" s="161">
        <v>1</v>
      </c>
      <c r="B40" s="53" t="s">
        <v>83</v>
      </c>
      <c r="C40" s="60">
        <f>C34-C36-C37-C38</f>
        <v>142.00412566039003</v>
      </c>
      <c r="D40" s="60">
        <f t="shared" ref="D40" si="22">D34-D36-D37-D38</f>
        <v>53.772382039628063</v>
      </c>
      <c r="E40" s="60"/>
      <c r="P40" s="53" t="s">
        <v>83</v>
      </c>
      <c r="AF40" s="53" t="s">
        <v>21</v>
      </c>
      <c r="AG40" s="53" t="s">
        <v>83</v>
      </c>
    </row>
    <row r="41" spans="1:33">
      <c r="A41" s="161">
        <v>2</v>
      </c>
      <c r="B41" s="53" t="s">
        <v>84</v>
      </c>
      <c r="C41" s="60"/>
      <c r="D41" s="60"/>
      <c r="E41" s="60"/>
      <c r="P41" s="53" t="s">
        <v>84</v>
      </c>
      <c r="AF41" s="53" t="s">
        <v>23</v>
      </c>
      <c r="AG41" s="53" t="s">
        <v>84</v>
      </c>
    </row>
    <row r="42" spans="1:33">
      <c r="A42" s="53" t="s">
        <v>80</v>
      </c>
      <c r="B42" s="56" t="s">
        <v>86</v>
      </c>
      <c r="C42" s="60"/>
      <c r="D42" s="60"/>
      <c r="E42" s="60"/>
      <c r="P42" s="56" t="s">
        <v>86</v>
      </c>
      <c r="AF42" s="53" t="s">
        <v>85</v>
      </c>
      <c r="AG42" s="56" t="s">
        <v>86</v>
      </c>
    </row>
    <row r="43" spans="1:33">
      <c r="A43" s="161">
        <v>1</v>
      </c>
      <c r="B43" s="61" t="s">
        <v>87</v>
      </c>
      <c r="C43" s="59">
        <f>'2022年'!C43</f>
        <v>67.274999999999991</v>
      </c>
      <c r="D43" s="59">
        <f>'2022年'!D43</f>
        <v>23.849999999999998</v>
      </c>
      <c r="E43" s="60"/>
      <c r="P43" s="53" t="s">
        <v>87</v>
      </c>
      <c r="AF43" s="53" t="s">
        <v>21</v>
      </c>
      <c r="AG43" s="53" t="s">
        <v>87</v>
      </c>
    </row>
    <row r="44" spans="1:33">
      <c r="A44" s="161">
        <v>2</v>
      </c>
      <c r="B44" s="61" t="s">
        <v>88</v>
      </c>
      <c r="C44" s="59">
        <f>'2022年'!C44</f>
        <v>10.465</v>
      </c>
      <c r="D44" s="59">
        <f>'2022年'!D44</f>
        <v>3.71</v>
      </c>
      <c r="E44" s="60"/>
      <c r="P44" s="53" t="s">
        <v>88</v>
      </c>
      <c r="AF44" s="53" t="s">
        <v>23</v>
      </c>
      <c r="AG44" s="53" t="s">
        <v>88</v>
      </c>
    </row>
    <row r="45" spans="1:33">
      <c r="A45" s="161">
        <v>3</v>
      </c>
      <c r="B45" s="61" t="s">
        <v>89</v>
      </c>
      <c r="C45" s="59">
        <f>'2022年'!C45</f>
        <v>44.85</v>
      </c>
      <c r="D45" s="59">
        <f>'2022年'!D45</f>
        <v>15.899999999999999</v>
      </c>
      <c r="E45" s="60"/>
      <c r="P45" s="53" t="s">
        <v>89</v>
      </c>
      <c r="AF45" s="53" t="s">
        <v>73</v>
      </c>
      <c r="AG45" s="53" t="s">
        <v>89</v>
      </c>
    </row>
    <row r="46" spans="1:33" s="48" customFormat="1">
      <c r="A46" s="161">
        <v>4</v>
      </c>
      <c r="B46" s="61" t="s">
        <v>90</v>
      </c>
      <c r="C46" s="66">
        <f>C21/C6</f>
        <v>1.6283333333333334</v>
      </c>
      <c r="D46" s="66">
        <f t="shared" ref="D46" si="23">D21/D6</f>
        <v>1.6283333333333334</v>
      </c>
      <c r="E46" s="66"/>
      <c r="P46" s="61" t="s">
        <v>92</v>
      </c>
      <c r="AF46" s="61" t="s">
        <v>29</v>
      </c>
      <c r="AG46" s="61" t="s">
        <v>92</v>
      </c>
    </row>
    <row r="47" spans="1:33" s="48" customFormat="1">
      <c r="A47" s="161">
        <v>5</v>
      </c>
      <c r="B47" s="61" t="s">
        <v>92</v>
      </c>
      <c r="C47" s="66">
        <f>'2022年'!C47</f>
        <v>59.800000000000004</v>
      </c>
      <c r="D47" s="66">
        <f>'2022年'!D47</f>
        <v>21.2</v>
      </c>
      <c r="E47" s="66"/>
      <c r="P47" s="61" t="s">
        <v>92</v>
      </c>
      <c r="AF47" s="61" t="s">
        <v>29</v>
      </c>
      <c r="AG47" s="61" t="s">
        <v>92</v>
      </c>
    </row>
    <row r="48" spans="1:33">
      <c r="A48" s="53" t="s">
        <v>85</v>
      </c>
      <c r="B48" s="56" t="s">
        <v>103</v>
      </c>
      <c r="C48" s="60">
        <f>C40-C43-C44-C45-C47-C46</f>
        <v>-42.0142076729433</v>
      </c>
      <c r="D48" s="60">
        <f t="shared" ref="D48" si="24">D40-D43-D44-D45-D47-D46</f>
        <v>-12.515951293705267</v>
      </c>
      <c r="E48" s="60"/>
      <c r="P48" s="56" t="s">
        <v>103</v>
      </c>
      <c r="AF48" s="53" t="s">
        <v>102</v>
      </c>
      <c r="AG48" s="56" t="s">
        <v>103</v>
      </c>
    </row>
    <row r="51" spans="2:10">
      <c r="C51" s="67"/>
      <c r="D51" s="67"/>
    </row>
    <row r="54" spans="2:10">
      <c r="B54" s="68"/>
      <c r="C54" s="69"/>
      <c r="D54" s="69"/>
      <c r="E54" s="69"/>
      <c r="F54" s="68"/>
      <c r="G54" s="68"/>
      <c r="H54" s="68"/>
      <c r="I54" s="68"/>
      <c r="J54" s="68"/>
    </row>
    <row r="55" spans="2:10">
      <c r="B55" s="68"/>
      <c r="C55" s="69"/>
      <c r="D55" s="69"/>
      <c r="E55" s="69"/>
      <c r="F55" s="68"/>
      <c r="G55" s="68"/>
      <c r="H55" s="68"/>
      <c r="I55" s="68"/>
      <c r="J55" s="68"/>
    </row>
    <row r="56" spans="2:10">
      <c r="B56" s="68"/>
      <c r="C56" s="69"/>
      <c r="D56" s="69"/>
      <c r="E56" s="69"/>
      <c r="F56" s="68"/>
      <c r="G56" s="68"/>
      <c r="H56" s="68"/>
      <c r="I56" s="68"/>
      <c r="J56" s="68"/>
    </row>
    <row r="57" spans="2:10">
      <c r="B57" s="68"/>
      <c r="C57" s="69"/>
      <c r="D57" s="69"/>
      <c r="E57" s="69"/>
      <c r="F57" s="68"/>
      <c r="G57" s="68"/>
      <c r="H57" s="68"/>
      <c r="I57" s="68"/>
      <c r="J57" s="68"/>
    </row>
    <row r="58" spans="2:10">
      <c r="B58" s="68"/>
      <c r="C58" s="69"/>
      <c r="D58" s="69"/>
      <c r="E58" s="69"/>
      <c r="F58" s="68"/>
      <c r="G58" s="68"/>
      <c r="H58" s="68"/>
      <c r="I58" s="68"/>
      <c r="J58" s="68"/>
    </row>
    <row r="59" spans="2:10">
      <c r="B59" s="68"/>
      <c r="C59" s="69"/>
      <c r="D59" s="69"/>
      <c r="E59" s="69"/>
      <c r="F59" s="68"/>
      <c r="G59" s="68"/>
      <c r="H59" s="68"/>
      <c r="I59" s="68"/>
      <c r="J59" s="68"/>
    </row>
    <row r="60" spans="2:10">
      <c r="B60" s="68"/>
      <c r="C60" s="69"/>
      <c r="D60" s="69"/>
      <c r="E60" s="69"/>
      <c r="F60" s="68"/>
      <c r="G60" s="68"/>
      <c r="H60" s="68"/>
      <c r="I60" s="68"/>
      <c r="J60" s="68"/>
    </row>
    <row r="61" spans="2:10">
      <c r="B61" s="68"/>
      <c r="C61" s="69"/>
      <c r="D61" s="69"/>
      <c r="E61" s="69"/>
      <c r="F61" s="68"/>
      <c r="G61" s="68"/>
      <c r="H61" s="68"/>
      <c r="I61" s="68"/>
      <c r="J61" s="68"/>
    </row>
    <row r="62" spans="2:10">
      <c r="B62" s="68"/>
      <c r="C62" s="69"/>
      <c r="D62" s="69"/>
      <c r="E62" s="69"/>
      <c r="F62" s="68"/>
      <c r="G62" s="68"/>
      <c r="H62" s="68"/>
      <c r="I62" s="68"/>
      <c r="J62" s="68"/>
    </row>
    <row r="63" spans="2:10">
      <c r="B63" s="68"/>
      <c r="C63" s="69"/>
      <c r="D63" s="69"/>
      <c r="E63" s="69"/>
      <c r="F63" s="68"/>
      <c r="G63" s="68"/>
      <c r="H63" s="68"/>
      <c r="I63" s="68"/>
      <c r="J63" s="68"/>
    </row>
    <row r="64" spans="2:10">
      <c r="B64" s="68"/>
      <c r="C64" s="69"/>
      <c r="D64" s="69"/>
      <c r="E64" s="69"/>
      <c r="F64" s="68"/>
      <c r="G64" s="68"/>
      <c r="H64" s="68"/>
      <c r="I64" s="68"/>
      <c r="J64" s="68"/>
    </row>
    <row r="65" spans="2:10">
      <c r="B65" s="68"/>
      <c r="C65" s="69"/>
      <c r="D65" s="69"/>
      <c r="E65" s="69"/>
      <c r="F65" s="68"/>
      <c r="G65" s="68"/>
      <c r="H65" s="68"/>
      <c r="I65" s="68"/>
      <c r="J65" s="68"/>
    </row>
    <row r="66" spans="2:10">
      <c r="B66" s="68"/>
      <c r="C66" s="69"/>
      <c r="D66" s="69"/>
      <c r="E66" s="69"/>
      <c r="F66" s="68"/>
      <c r="G66" s="68"/>
      <c r="H66" s="68"/>
      <c r="I66" s="68"/>
      <c r="J66" s="68"/>
    </row>
    <row r="67" spans="2:10">
      <c r="B67" s="68"/>
      <c r="C67" s="69"/>
      <c r="D67" s="69"/>
      <c r="E67" s="69"/>
      <c r="F67" s="68"/>
    </row>
    <row r="68" spans="2:10">
      <c r="B68" s="68"/>
      <c r="C68" s="69"/>
      <c r="D68" s="69"/>
      <c r="E68" s="69"/>
      <c r="F68" s="68"/>
    </row>
    <row r="69" spans="2:10">
      <c r="B69" s="68"/>
      <c r="C69" s="69"/>
      <c r="D69" s="69"/>
      <c r="E69" s="69"/>
      <c r="F69" s="68"/>
    </row>
    <row r="70" spans="2:10">
      <c r="B70" s="68"/>
      <c r="C70" s="69"/>
      <c r="D70" s="69"/>
      <c r="E70" s="69"/>
      <c r="F70" s="68"/>
    </row>
    <row r="71" spans="2:10">
      <c r="B71" s="68"/>
      <c r="C71" s="69"/>
      <c r="D71" s="69"/>
      <c r="E71" s="69"/>
      <c r="F71" s="68"/>
    </row>
    <row r="72" spans="2:10">
      <c r="B72" s="68"/>
      <c r="C72" s="69"/>
      <c r="D72" s="69"/>
      <c r="E72" s="69"/>
      <c r="F72" s="68"/>
    </row>
    <row r="73" spans="2:10">
      <c r="B73" s="68"/>
      <c r="C73" s="69"/>
      <c r="D73" s="69"/>
      <c r="E73" s="69"/>
      <c r="F73" s="68"/>
    </row>
    <row r="74" spans="2:10">
      <c r="B74" s="68"/>
      <c r="C74" s="69"/>
      <c r="D74" s="69"/>
      <c r="E74" s="69"/>
      <c r="F74" s="68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>
      <pane xSplit="6" ySplit="2" topLeftCell="G3" activePane="bottomRight" state="frozen"/>
      <selection pane="topRight"/>
      <selection pane="bottomLeft"/>
      <selection pane="bottomRight" activeCell="H30" sqref="H30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14.875" customWidth="1"/>
    <col min="9" max="9" width="24.75" customWidth="1"/>
    <col min="10" max="10" width="14.125" customWidth="1"/>
    <col min="24" max="24" width="11.125" customWidth="1"/>
  </cols>
  <sheetData>
    <row r="1" spans="1:25" ht="20.25">
      <c r="A1" s="269" t="s">
        <v>153</v>
      </c>
      <c r="B1" s="269"/>
      <c r="C1" s="269"/>
      <c r="E1" s="270" t="s">
        <v>271</v>
      </c>
      <c r="F1" s="271"/>
      <c r="G1" s="271"/>
      <c r="H1" s="272"/>
      <c r="J1" s="267"/>
      <c r="K1" s="267"/>
      <c r="L1" s="267"/>
      <c r="M1" s="267"/>
    </row>
    <row r="2" spans="1:25" ht="23.45" customHeight="1">
      <c r="A2" s="28" t="s">
        <v>1</v>
      </c>
      <c r="B2" s="29" t="s">
        <v>154</v>
      </c>
      <c r="C2" s="30" t="s">
        <v>155</v>
      </c>
      <c r="E2" s="1" t="s">
        <v>156</v>
      </c>
      <c r="F2" s="1" t="s">
        <v>1</v>
      </c>
      <c r="G2" s="31" t="s">
        <v>157</v>
      </c>
      <c r="H2" s="1" t="s">
        <v>155</v>
      </c>
      <c r="J2" s="206"/>
      <c r="K2" s="206"/>
      <c r="L2" s="207"/>
      <c r="M2" s="208"/>
    </row>
    <row r="3" spans="1:25" ht="15.75" customHeight="1">
      <c r="A3" s="32" t="s">
        <v>158</v>
      </c>
      <c r="B3" s="33"/>
      <c r="C3" s="34"/>
      <c r="E3" s="261" t="s">
        <v>159</v>
      </c>
      <c r="F3" s="2" t="s">
        <v>160</v>
      </c>
      <c r="G3" s="35"/>
      <c r="H3" s="2"/>
      <c r="J3" s="268"/>
      <c r="K3" s="209"/>
      <c r="L3" s="210"/>
      <c r="M3" s="209"/>
    </row>
    <row r="4" spans="1:25" ht="15.75" customHeight="1">
      <c r="A4" s="32" t="s">
        <v>161</v>
      </c>
      <c r="B4" s="33"/>
      <c r="C4" s="36"/>
      <c r="E4" s="262"/>
      <c r="F4" s="2" t="s">
        <v>162</v>
      </c>
      <c r="G4" s="233">
        <v>4</v>
      </c>
      <c r="H4" s="227" t="s">
        <v>294</v>
      </c>
      <c r="J4" s="268"/>
      <c r="K4" s="209"/>
      <c r="L4" s="210"/>
      <c r="M4" s="209"/>
    </row>
    <row r="5" spans="1:25" ht="15.75" customHeight="1">
      <c r="A5" s="32" t="s">
        <v>163</v>
      </c>
      <c r="B5" s="37">
        <f>SUM(G3:G4)</f>
        <v>4</v>
      </c>
      <c r="C5" s="34"/>
      <c r="E5" s="263" t="s">
        <v>164</v>
      </c>
      <c r="F5" s="38" t="s">
        <v>165</v>
      </c>
      <c r="G5" s="233"/>
      <c r="H5" s="234"/>
      <c r="I5" s="216"/>
      <c r="J5" s="213"/>
      <c r="K5" s="211"/>
      <c r="L5" s="212"/>
      <c r="M5" s="211"/>
    </row>
    <row r="6" spans="1:25" ht="15.75" customHeight="1">
      <c r="A6" s="32" t="s">
        <v>166</v>
      </c>
      <c r="B6" s="33"/>
      <c r="C6" s="34"/>
      <c r="E6" s="264"/>
      <c r="F6" s="38" t="s">
        <v>167</v>
      </c>
      <c r="G6" s="233">
        <v>12.6</v>
      </c>
      <c r="H6" s="227"/>
      <c r="I6" s="226"/>
      <c r="J6" s="213"/>
      <c r="K6" s="219"/>
    </row>
    <row r="7" spans="1:25" ht="15.75" customHeight="1" thickBot="1">
      <c r="A7" s="39" t="s">
        <v>168</v>
      </c>
      <c r="B7" s="37">
        <f>SUM(B3:B6)</f>
        <v>4</v>
      </c>
      <c r="C7" s="34"/>
      <c r="E7" s="264"/>
      <c r="F7" s="38" t="s">
        <v>169</v>
      </c>
      <c r="G7" s="233"/>
      <c r="H7" s="227"/>
      <c r="J7" s="213"/>
      <c r="K7" s="220"/>
    </row>
    <row r="8" spans="1:25" ht="15.75" customHeight="1" thickBot="1">
      <c r="A8" s="40" t="s">
        <v>170</v>
      </c>
      <c r="B8" s="37">
        <f>SUM(G5:G12)</f>
        <v>26.200000000000003</v>
      </c>
      <c r="C8" s="41"/>
      <c r="E8" s="264"/>
      <c r="F8" s="38" t="s">
        <v>171</v>
      </c>
      <c r="G8" s="233"/>
      <c r="H8" s="227"/>
      <c r="J8" s="213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</row>
    <row r="9" spans="1:25" ht="15.75" customHeight="1" thickTop="1" thickBot="1">
      <c r="A9" s="32" t="s">
        <v>172</v>
      </c>
      <c r="B9" s="37">
        <f>SUM(G13:G21)</f>
        <v>48.85</v>
      </c>
      <c r="C9" s="34"/>
      <c r="E9" s="264"/>
      <c r="F9" s="2" t="s">
        <v>173</v>
      </c>
      <c r="G9" s="233">
        <v>8</v>
      </c>
      <c r="H9" s="227"/>
      <c r="J9" s="213"/>
      <c r="K9" s="221"/>
      <c r="L9" s="222"/>
      <c r="M9" s="222"/>
      <c r="N9" s="222"/>
      <c r="O9" s="222"/>
      <c r="P9" s="222"/>
      <c r="Q9" s="222"/>
      <c r="R9" s="222"/>
      <c r="S9" s="222"/>
      <c r="T9" s="223"/>
      <c r="U9" s="222"/>
      <c r="V9" s="222"/>
      <c r="W9" s="222"/>
      <c r="X9" s="223"/>
      <c r="Y9" s="222"/>
    </row>
    <row r="10" spans="1:25" ht="15.75" customHeight="1" thickBot="1">
      <c r="A10" s="36" t="s">
        <v>17</v>
      </c>
      <c r="B10" s="37">
        <f>B7+B8+B9</f>
        <v>79.050000000000011</v>
      </c>
      <c r="C10" s="34"/>
      <c r="E10" s="264"/>
      <c r="F10" s="2" t="s">
        <v>174</v>
      </c>
      <c r="G10" s="235">
        <v>1.6</v>
      </c>
      <c r="H10" s="227" t="s">
        <v>295</v>
      </c>
      <c r="J10" s="213"/>
      <c r="K10" s="221"/>
      <c r="L10" s="222"/>
      <c r="M10" s="222"/>
      <c r="N10" s="222"/>
      <c r="O10" s="222"/>
      <c r="P10" s="222"/>
      <c r="Q10" s="222"/>
      <c r="R10" s="222"/>
      <c r="S10" s="222"/>
      <c r="T10" s="223"/>
      <c r="U10" s="222"/>
      <c r="V10" s="222"/>
      <c r="W10" s="222"/>
      <c r="X10" s="223"/>
      <c r="Y10" s="222"/>
    </row>
    <row r="11" spans="1:25" ht="15.75" customHeight="1" thickBot="1">
      <c r="E11" s="264"/>
      <c r="F11" s="2" t="s">
        <v>175</v>
      </c>
      <c r="G11" s="235">
        <v>4</v>
      </c>
      <c r="H11" s="227"/>
      <c r="J11" s="213"/>
      <c r="K11" s="221"/>
      <c r="L11" s="222"/>
      <c r="M11" s="222"/>
      <c r="N11" s="222"/>
      <c r="O11" s="222"/>
      <c r="P11" s="222"/>
      <c r="Q11" s="222"/>
      <c r="R11" s="222"/>
      <c r="S11" s="222"/>
      <c r="T11" s="223"/>
      <c r="U11" s="222"/>
      <c r="V11" s="222"/>
      <c r="W11" s="222"/>
      <c r="X11" s="223"/>
      <c r="Y11" s="222"/>
    </row>
    <row r="12" spans="1:25" ht="15.75" customHeight="1" thickBot="1">
      <c r="E12" s="265"/>
      <c r="F12" s="2" t="s">
        <v>176</v>
      </c>
      <c r="G12" s="233" t="s">
        <v>124</v>
      </c>
      <c r="H12" s="227"/>
      <c r="J12" s="213"/>
      <c r="K12" s="221"/>
      <c r="L12" s="222"/>
      <c r="M12" s="222"/>
      <c r="N12" s="222"/>
      <c r="O12" s="222"/>
      <c r="P12" s="222"/>
      <c r="Q12" s="222"/>
      <c r="R12" s="222"/>
      <c r="S12" s="222"/>
      <c r="T12" s="223"/>
      <c r="U12" s="222"/>
      <c r="V12" s="222"/>
      <c r="W12" s="222"/>
      <c r="X12" s="223"/>
      <c r="Y12" s="225"/>
    </row>
    <row r="13" spans="1:25" ht="15.75" customHeight="1">
      <c r="E13" s="261" t="s">
        <v>49</v>
      </c>
      <c r="F13" s="2" t="s">
        <v>177</v>
      </c>
      <c r="G13" s="233">
        <v>17.850000000000001</v>
      </c>
      <c r="H13" s="236"/>
      <c r="J13" s="268"/>
      <c r="K13" s="209"/>
      <c r="L13" s="212"/>
      <c r="M13" s="213"/>
    </row>
    <row r="14" spans="1:25" ht="15.75" customHeight="1">
      <c r="E14" s="262"/>
      <c r="F14" s="2" t="s">
        <v>178</v>
      </c>
      <c r="G14" s="233">
        <v>3</v>
      </c>
      <c r="H14" s="227"/>
      <c r="J14" s="268"/>
      <c r="K14" s="209"/>
      <c r="L14" s="212"/>
      <c r="M14" s="209"/>
    </row>
    <row r="15" spans="1:25" ht="15.75" customHeight="1">
      <c r="E15" s="262"/>
      <c r="F15" s="2" t="s">
        <v>179</v>
      </c>
      <c r="G15" s="233"/>
      <c r="H15" s="227"/>
      <c r="J15" s="268"/>
      <c r="K15" s="209"/>
      <c r="L15" s="212"/>
      <c r="M15" s="209"/>
    </row>
    <row r="16" spans="1:25" ht="15.75" customHeight="1">
      <c r="E16" s="262"/>
      <c r="F16" s="2" t="s">
        <v>180</v>
      </c>
      <c r="G16" s="233">
        <v>5</v>
      </c>
      <c r="H16" s="227"/>
      <c r="J16" s="268"/>
      <c r="K16" s="209"/>
      <c r="L16" s="212"/>
      <c r="M16" s="209"/>
    </row>
    <row r="17" spans="1:13" ht="15.75" customHeight="1">
      <c r="E17" s="262"/>
      <c r="F17" s="2" t="s">
        <v>181</v>
      </c>
      <c r="G17" s="233">
        <v>1</v>
      </c>
      <c r="H17" s="227"/>
      <c r="J17" s="268"/>
      <c r="K17" s="209"/>
      <c r="L17" s="212"/>
      <c r="M17" s="209"/>
    </row>
    <row r="18" spans="1:13" ht="15.75" customHeight="1">
      <c r="E18" s="262"/>
      <c r="F18" s="2" t="s">
        <v>182</v>
      </c>
      <c r="G18" s="233">
        <v>12</v>
      </c>
      <c r="H18" s="237" t="s">
        <v>296</v>
      </c>
      <c r="J18" s="268"/>
      <c r="K18" s="209"/>
      <c r="L18" s="212"/>
      <c r="M18" s="209"/>
    </row>
    <row r="19" spans="1:13" ht="15.75" customHeight="1">
      <c r="E19" s="262"/>
      <c r="F19" s="2" t="s">
        <v>183</v>
      </c>
      <c r="G19" s="233">
        <v>7</v>
      </c>
      <c r="H19" s="238" t="s">
        <v>297</v>
      </c>
      <c r="J19" s="268"/>
      <c r="K19" s="209"/>
      <c r="L19" s="214"/>
      <c r="M19" s="209"/>
    </row>
    <row r="20" spans="1:13" ht="15.75" customHeight="1">
      <c r="E20" s="262"/>
      <c r="F20" s="2" t="s">
        <v>184</v>
      </c>
      <c r="G20" s="233">
        <v>3</v>
      </c>
      <c r="H20" s="227"/>
      <c r="J20" s="268"/>
      <c r="K20" s="209"/>
      <c r="L20" s="210"/>
      <c r="M20" s="209"/>
    </row>
    <row r="21" spans="1:13" ht="15.75" customHeight="1">
      <c r="E21" s="266"/>
      <c r="F21" s="2" t="s">
        <v>131</v>
      </c>
      <c r="G21" s="176"/>
      <c r="H21" s="194"/>
      <c r="J21" s="268"/>
      <c r="K21" s="209"/>
      <c r="L21" s="210"/>
      <c r="M21" s="209"/>
    </row>
    <row r="22" spans="1:13" ht="15.75" customHeight="1">
      <c r="E22" s="1" t="s">
        <v>17</v>
      </c>
      <c r="F22" s="2"/>
      <c r="G22" s="31">
        <f>SUM(G3:G21)</f>
        <v>79.050000000000011</v>
      </c>
      <c r="H22" s="2"/>
      <c r="J22" s="268"/>
      <c r="K22" s="209"/>
      <c r="L22" s="215"/>
      <c r="M22" s="209"/>
    </row>
    <row r="23" spans="1:13" ht="30.75" customHeight="1">
      <c r="E23" s="257" t="s">
        <v>185</v>
      </c>
      <c r="F23" s="257"/>
      <c r="G23" s="257"/>
      <c r="H23" s="257"/>
    </row>
    <row r="25" spans="1:13" ht="17.25">
      <c r="A25" s="19" t="s">
        <v>1</v>
      </c>
      <c r="B25" s="19" t="s">
        <v>154</v>
      </c>
      <c r="C25" s="19" t="s">
        <v>186</v>
      </c>
      <c r="D25" s="177" t="s">
        <v>16</v>
      </c>
      <c r="E25" s="177" t="s">
        <v>187</v>
      </c>
      <c r="F25" s="177" t="s">
        <v>188</v>
      </c>
      <c r="G25" s="177" t="s">
        <v>189</v>
      </c>
      <c r="H25" s="177" t="s">
        <v>237</v>
      </c>
      <c r="I25" s="22" t="s">
        <v>17</v>
      </c>
      <c r="J25" s="45" t="s">
        <v>190</v>
      </c>
    </row>
    <row r="26" spans="1:13" ht="16.5">
      <c r="A26" s="42" t="s">
        <v>149</v>
      </c>
      <c r="B26" s="43">
        <f>(B5+B8)*10000</f>
        <v>302000</v>
      </c>
      <c r="C26" s="44">
        <v>0.05</v>
      </c>
      <c r="D26" s="13">
        <f>B26*(1-C26)/5</f>
        <v>57380</v>
      </c>
      <c r="E26" s="13">
        <f t="shared" ref="E26:H27" si="0">D26</f>
        <v>57380</v>
      </c>
      <c r="F26" s="13">
        <f t="shared" si="0"/>
        <v>57380</v>
      </c>
      <c r="G26" s="13">
        <f t="shared" si="0"/>
        <v>57380</v>
      </c>
      <c r="H26" s="13">
        <f>G26</f>
        <v>57380</v>
      </c>
      <c r="I26" s="13">
        <f>SUM(D26:H26)</f>
        <v>286900</v>
      </c>
      <c r="J26" s="13">
        <f>B26*0.05</f>
        <v>15100</v>
      </c>
    </row>
    <row r="27" spans="1:13" ht="16.5">
      <c r="A27" s="42" t="s">
        <v>191</v>
      </c>
      <c r="B27" s="43">
        <f>B9*10000</f>
        <v>488500</v>
      </c>
      <c r="C27" s="13"/>
      <c r="D27" s="13">
        <f>B27/5</f>
        <v>97700</v>
      </c>
      <c r="E27" s="13">
        <f t="shared" si="0"/>
        <v>97700</v>
      </c>
      <c r="F27" s="13">
        <f t="shared" si="0"/>
        <v>97700</v>
      </c>
      <c r="G27" s="13">
        <f t="shared" si="0"/>
        <v>97700</v>
      </c>
      <c r="H27" s="13">
        <f t="shared" si="0"/>
        <v>97700</v>
      </c>
      <c r="I27" s="13">
        <f>SUM(D27:H27)</f>
        <v>488500</v>
      </c>
      <c r="J27" s="13"/>
    </row>
    <row r="28" spans="1:13" ht="16.5">
      <c r="A28" s="258" t="s">
        <v>111</v>
      </c>
      <c r="B28" s="259"/>
      <c r="C28" s="260"/>
      <c r="D28" s="13">
        <f>SUM(D26:D27)</f>
        <v>155080</v>
      </c>
      <c r="E28" s="13">
        <f t="shared" ref="E28:H28" si="1">SUM(E26:E27)</f>
        <v>155080</v>
      </c>
      <c r="F28" s="13">
        <f t="shared" si="1"/>
        <v>155080</v>
      </c>
      <c r="G28" s="13">
        <f t="shared" si="1"/>
        <v>155080</v>
      </c>
      <c r="H28" s="13">
        <f t="shared" si="1"/>
        <v>155080</v>
      </c>
      <c r="I28" s="46"/>
      <c r="J28" s="46"/>
    </row>
    <row r="40" spans="9:9">
      <c r="I40" s="218"/>
    </row>
    <row r="41" spans="9:9" ht="37.5" customHeight="1"/>
  </sheetData>
  <mergeCells count="10">
    <mergeCell ref="J1:M1"/>
    <mergeCell ref="J3:J4"/>
    <mergeCell ref="J13:J22"/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2022-09-20T02:31:14Z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