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产品核价\成本核算\恒伟五金\2022年年降核算\"/>
    </mc:Choice>
  </mc:AlternateContent>
  <xr:revisionPtr revIDLastSave="0" documentId="13_ncr:1_{CDF129B1-31AD-4747-A53C-8867D2F528F8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21年" sheetId="2" state="hidden" r:id="rId1"/>
    <sheet name="补差价核算" sheetId="3" r:id="rId2"/>
    <sheet name="成本核算" sheetId="4" r:id="rId3"/>
  </sheets>
  <externalReferences>
    <externalReference r:id="rId4"/>
    <externalReference r:id="rId5"/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3" l="1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3" i="3"/>
  <c r="T48" i="3"/>
  <c r="I48" i="3"/>
  <c r="J48" i="3" s="1"/>
  <c r="E48" i="3"/>
  <c r="T47" i="3"/>
  <c r="I47" i="3"/>
  <c r="J47" i="3" s="1"/>
  <c r="E47" i="3"/>
  <c r="K47" i="3" s="1"/>
  <c r="T46" i="3"/>
  <c r="I46" i="3"/>
  <c r="J46" i="3" s="1"/>
  <c r="E46" i="3"/>
  <c r="T45" i="3"/>
  <c r="I45" i="3"/>
  <c r="J45" i="3" s="1"/>
  <c r="E45" i="3"/>
  <c r="T44" i="3"/>
  <c r="I44" i="3"/>
  <c r="J44" i="3" s="1"/>
  <c r="E44" i="3"/>
  <c r="T43" i="3"/>
  <c r="I43" i="3"/>
  <c r="J43" i="3" s="1"/>
  <c r="E43" i="3"/>
  <c r="K43" i="3" s="1"/>
  <c r="T42" i="3"/>
  <c r="I42" i="3"/>
  <c r="J42" i="3" s="1"/>
  <c r="E42" i="3"/>
  <c r="T41" i="3"/>
  <c r="I41" i="3"/>
  <c r="J41" i="3" s="1"/>
  <c r="E41" i="3"/>
  <c r="T40" i="3"/>
  <c r="I40" i="3"/>
  <c r="J40" i="3" s="1"/>
  <c r="E40" i="3"/>
  <c r="T39" i="3"/>
  <c r="I39" i="3"/>
  <c r="J39" i="3" s="1"/>
  <c r="E39" i="3"/>
  <c r="K39" i="3" s="1"/>
  <c r="T38" i="3"/>
  <c r="I38" i="3"/>
  <c r="J38" i="3" s="1"/>
  <c r="E38" i="3"/>
  <c r="T37" i="3"/>
  <c r="I37" i="3"/>
  <c r="J37" i="3" s="1"/>
  <c r="E37" i="3"/>
  <c r="T36" i="3"/>
  <c r="I36" i="3"/>
  <c r="J36" i="3" s="1"/>
  <c r="E36" i="3"/>
  <c r="T35" i="3"/>
  <c r="I35" i="3"/>
  <c r="J35" i="3" s="1"/>
  <c r="E35" i="3"/>
  <c r="K35" i="3" s="1"/>
  <c r="T34" i="3"/>
  <c r="I34" i="3"/>
  <c r="J34" i="3" s="1"/>
  <c r="E34" i="3"/>
  <c r="T33" i="3"/>
  <c r="I33" i="3"/>
  <c r="J33" i="3" s="1"/>
  <c r="E33" i="3"/>
  <c r="T32" i="3"/>
  <c r="I32" i="3"/>
  <c r="J32" i="3" s="1"/>
  <c r="E32" i="3"/>
  <c r="T31" i="3"/>
  <c r="I31" i="3"/>
  <c r="J31" i="3" s="1"/>
  <c r="E31" i="3"/>
  <c r="K31" i="3" s="1"/>
  <c r="T30" i="3"/>
  <c r="I30" i="3"/>
  <c r="J30" i="3" s="1"/>
  <c r="E30" i="3"/>
  <c r="L35" i="3" l="1"/>
  <c r="M35" i="3" s="1"/>
  <c r="R35" i="3" s="1"/>
  <c r="L43" i="3"/>
  <c r="M43" i="3" s="1"/>
  <c r="R43" i="3" s="1"/>
  <c r="L31" i="3"/>
  <c r="M31" i="3" s="1"/>
  <c r="R31" i="3" s="1"/>
  <c r="L39" i="3"/>
  <c r="L47" i="3"/>
  <c r="M47" i="3" s="1"/>
  <c r="R47" i="3" s="1"/>
  <c r="K32" i="3"/>
  <c r="L32" i="3" s="1"/>
  <c r="M32" i="3" s="1"/>
  <c r="R32" i="3" s="1"/>
  <c r="K36" i="3"/>
  <c r="L36" i="3" s="1"/>
  <c r="M36" i="3" s="1"/>
  <c r="R36" i="3" s="1"/>
  <c r="M39" i="3"/>
  <c r="R39" i="3" s="1"/>
  <c r="K40" i="3"/>
  <c r="L40" i="3" s="1"/>
  <c r="M40" i="3" s="1"/>
  <c r="R40" i="3" s="1"/>
  <c r="K44" i="3"/>
  <c r="L44" i="3" s="1"/>
  <c r="M44" i="3" s="1"/>
  <c r="R44" i="3" s="1"/>
  <c r="K48" i="3"/>
  <c r="L48" i="3" s="1"/>
  <c r="M48" i="3" s="1"/>
  <c r="R48" i="3" s="1"/>
  <c r="K33" i="3"/>
  <c r="L33" i="3" s="1"/>
  <c r="M33" i="3" s="1"/>
  <c r="R33" i="3" s="1"/>
  <c r="K37" i="3"/>
  <c r="L37" i="3" s="1"/>
  <c r="M37" i="3" s="1"/>
  <c r="R37" i="3" s="1"/>
  <c r="K41" i="3"/>
  <c r="L41" i="3" s="1"/>
  <c r="M41" i="3" s="1"/>
  <c r="R41" i="3" s="1"/>
  <c r="K45" i="3"/>
  <c r="L45" i="3" s="1"/>
  <c r="M45" i="3" s="1"/>
  <c r="R45" i="3" s="1"/>
  <c r="K30" i="3"/>
  <c r="L30" i="3" s="1"/>
  <c r="M30" i="3" s="1"/>
  <c r="R30" i="3" s="1"/>
  <c r="R49" i="3" s="1"/>
  <c r="K34" i="3"/>
  <c r="L34" i="3" s="1"/>
  <c r="M34" i="3" s="1"/>
  <c r="R34" i="3" s="1"/>
  <c r="K38" i="3"/>
  <c r="L38" i="3" s="1"/>
  <c r="M38" i="3" s="1"/>
  <c r="R38" i="3" s="1"/>
  <c r="K42" i="3"/>
  <c r="L42" i="3" s="1"/>
  <c r="M42" i="3" s="1"/>
  <c r="R42" i="3" s="1"/>
  <c r="K46" i="3"/>
  <c r="L46" i="3" s="1"/>
  <c r="M46" i="3" s="1"/>
  <c r="R46" i="3" s="1"/>
  <c r="N38" i="3" l="1"/>
  <c r="N46" i="3"/>
  <c r="N32" i="3"/>
  <c r="N44" i="3"/>
  <c r="N36" i="3"/>
  <c r="N48" i="3"/>
  <c r="N30" i="3"/>
  <c r="N41" i="3"/>
  <c r="N42" i="3"/>
  <c r="N37" i="3"/>
  <c r="N39" i="3"/>
  <c r="N35" i="3"/>
  <c r="N47" i="3"/>
  <c r="N40" i="3"/>
  <c r="N33" i="3"/>
  <c r="N34" i="3"/>
  <c r="N43" i="3"/>
  <c r="N45" i="3"/>
  <c r="N31" i="3"/>
  <c r="T91" i="4" l="1"/>
  <c r="L91" i="4"/>
  <c r="K91" i="4"/>
  <c r="T89" i="4"/>
  <c r="L89" i="4"/>
  <c r="K89" i="4"/>
  <c r="T87" i="4"/>
  <c r="L87" i="4"/>
  <c r="K87" i="4"/>
  <c r="T80" i="4"/>
  <c r="S80" i="4"/>
  <c r="T74" i="4"/>
  <c r="T56" i="4"/>
  <c r="S56" i="4"/>
  <c r="S42" i="4"/>
  <c r="N86" i="4"/>
  <c r="T86" i="4" s="1"/>
  <c r="K86" i="4"/>
  <c r="S86" i="4" s="1"/>
  <c r="Q85" i="4"/>
  <c r="N85" i="4"/>
  <c r="K85" i="4"/>
  <c r="S85" i="4" s="1"/>
  <c r="K84" i="4"/>
  <c r="S84" i="4" s="1"/>
  <c r="Q84" i="4"/>
  <c r="N84" i="4"/>
  <c r="AA83" i="4"/>
  <c r="S82" i="4"/>
  <c r="AA79" i="4"/>
  <c r="N77" i="4"/>
  <c r="T77" i="4" s="1"/>
  <c r="K77" i="4"/>
  <c r="S77" i="4" s="1"/>
  <c r="AA76" i="4"/>
  <c r="K74" i="4"/>
  <c r="S74" i="4" s="1"/>
  <c r="T72" i="4"/>
  <c r="L72" i="4"/>
  <c r="K72" i="4"/>
  <c r="T70" i="4"/>
  <c r="L70" i="4"/>
  <c r="K70" i="4"/>
  <c r="T68" i="4"/>
  <c r="L68" i="4"/>
  <c r="K68" i="4"/>
  <c r="K66" i="4"/>
  <c r="S66" i="4" s="1"/>
  <c r="N66" i="4"/>
  <c r="T66" i="4" s="1"/>
  <c r="AA65" i="4"/>
  <c r="T64" i="4"/>
  <c r="L64" i="4"/>
  <c r="K64" i="4"/>
  <c r="AA63" i="4"/>
  <c r="L62" i="4"/>
  <c r="K62" i="4"/>
  <c r="T62" i="4"/>
  <c r="AA59" i="4"/>
  <c r="Y60" i="4"/>
  <c r="AA60" i="4" s="1"/>
  <c r="Y58" i="4"/>
  <c r="AA58" i="4" s="1"/>
  <c r="S58" i="4"/>
  <c r="Q58" i="4"/>
  <c r="S57" i="4"/>
  <c r="T57" i="4"/>
  <c r="T42" i="4"/>
  <c r="V85" i="4" l="1"/>
  <c r="S87" i="4"/>
  <c r="U87" i="4" s="1"/>
  <c r="V87" i="4" s="1"/>
  <c r="S91" i="4"/>
  <c r="U57" i="4"/>
  <c r="S68" i="4"/>
  <c r="U68" i="4" s="1"/>
  <c r="V68" i="4" s="1"/>
  <c r="S89" i="4"/>
  <c r="U91" i="4"/>
  <c r="V91" i="4" s="1"/>
  <c r="U89" i="4"/>
  <c r="V89" i="4" s="1"/>
  <c r="V84" i="4"/>
  <c r="U80" i="4"/>
  <c r="V80" i="4" s="1"/>
  <c r="S64" i="4"/>
  <c r="U64" i="4" s="1"/>
  <c r="V64" i="4" s="1"/>
  <c r="S70" i="4"/>
  <c r="U70" i="4" s="1"/>
  <c r="V70" i="4" s="1"/>
  <c r="S62" i="4"/>
  <c r="U62" i="4" s="1"/>
  <c r="V62" i="4" s="1"/>
  <c r="S72" i="4"/>
  <c r="U72" i="4" s="1"/>
  <c r="V72" i="4" s="1"/>
  <c r="U77" i="4"/>
  <c r="V77" i="4" s="1"/>
  <c r="U74" i="4"/>
  <c r="V74" i="4" s="1"/>
  <c r="U66" i="4"/>
  <c r="V66" i="4" s="1"/>
  <c r="V58" i="4"/>
  <c r="U56" i="4"/>
  <c r="V56" i="4" s="1"/>
  <c r="AA55" i="4"/>
  <c r="T31" i="4"/>
  <c r="K31" i="4"/>
  <c r="S31" i="4" s="1"/>
  <c r="AA49" i="4"/>
  <c r="L47" i="4"/>
  <c r="K47" i="4"/>
  <c r="T47" i="4"/>
  <c r="AA19" i="4"/>
  <c r="AA18" i="4"/>
  <c r="AA17" i="4"/>
  <c r="AA46" i="4"/>
  <c r="AA45" i="4"/>
  <c r="T44" i="4"/>
  <c r="L44" i="4"/>
  <c r="K44" i="4"/>
  <c r="AA14" i="4"/>
  <c r="AA41" i="4"/>
  <c r="T39" i="4"/>
  <c r="S39" i="4"/>
  <c r="S38" i="4"/>
  <c r="T54" i="4"/>
  <c r="L54" i="4"/>
  <c r="K54" i="4"/>
  <c r="L51" i="4"/>
  <c r="K51" i="4"/>
  <c r="T51" i="4"/>
  <c r="T50" i="4"/>
  <c r="L50" i="4"/>
  <c r="K50" i="4"/>
  <c r="T36" i="4"/>
  <c r="L36" i="4"/>
  <c r="K36" i="4"/>
  <c r="N33" i="4"/>
  <c r="T33" i="4" s="1"/>
  <c r="L33" i="4"/>
  <c r="K33" i="4"/>
  <c r="AA28" i="4"/>
  <c r="S47" i="4" l="1"/>
  <c r="U47" i="4" s="1"/>
  <c r="V47" i="4" s="1"/>
  <c r="S36" i="4"/>
  <c r="U36" i="4" s="1"/>
  <c r="V36" i="4" s="1"/>
  <c r="U31" i="4"/>
  <c r="V31" i="4" s="1"/>
  <c r="S51" i="4"/>
  <c r="U51" i="4" s="1"/>
  <c r="V51" i="4" s="1"/>
  <c r="S54" i="4"/>
  <c r="U54" i="4" s="1"/>
  <c r="V54" i="4" s="1"/>
  <c r="S44" i="4"/>
  <c r="U44" i="4" s="1"/>
  <c r="V44" i="4" s="1"/>
  <c r="U42" i="4"/>
  <c r="V42" i="4" s="1"/>
  <c r="S33" i="4"/>
  <c r="U33" i="4" s="1"/>
  <c r="V33" i="4" s="1"/>
  <c r="S50" i="4"/>
  <c r="U50" i="4" s="1"/>
  <c r="V50" i="4" s="1"/>
  <c r="U39" i="4"/>
  <c r="V39" i="4" s="1"/>
  <c r="N24" i="4" l="1"/>
  <c r="T24" i="4" s="1"/>
  <c r="L24" i="4"/>
  <c r="K24" i="4"/>
  <c r="T23" i="4"/>
  <c r="L23" i="4"/>
  <c r="K23" i="4"/>
  <c r="Q22" i="4"/>
  <c r="N22" i="4"/>
  <c r="T22" i="4" s="1"/>
  <c r="K22" i="4"/>
  <c r="S22" i="4" s="1"/>
  <c r="S23" i="4" l="1"/>
  <c r="S24" i="4"/>
  <c r="U24" i="4" s="1"/>
  <c r="V24" i="4" s="1"/>
  <c r="U23" i="4"/>
  <c r="V23" i="4" s="1"/>
  <c r="U22" i="4"/>
  <c r="V22" i="4" s="1"/>
  <c r="T21" i="4" l="1"/>
  <c r="K21" i="4"/>
  <c r="S21" i="4" s="1"/>
  <c r="T17" i="4"/>
  <c r="K17" i="4"/>
  <c r="L17" i="4"/>
  <c r="T12" i="4"/>
  <c r="S12" i="4"/>
  <c r="N11" i="4"/>
  <c r="T11" i="4" s="1"/>
  <c r="K11" i="4"/>
  <c r="S11" i="4" s="1"/>
  <c r="T9" i="4"/>
  <c r="L9" i="4"/>
  <c r="K9" i="4"/>
  <c r="L6" i="4"/>
  <c r="K6" i="4"/>
  <c r="N6" i="4"/>
  <c r="T6" i="4" s="1"/>
  <c r="T4" i="4"/>
  <c r="S4" i="4"/>
  <c r="S15" i="4"/>
  <c r="T15" i="4"/>
  <c r="S9" i="4" l="1"/>
  <c r="U9" i="4" s="1"/>
  <c r="S6" i="4"/>
  <c r="U6" i="4" s="1"/>
  <c r="V6" i="4" s="1"/>
  <c r="S17" i="4"/>
  <c r="U17" i="4" s="1"/>
  <c r="V17" i="4" s="1"/>
  <c r="U11" i="4"/>
  <c r="U12" i="4"/>
  <c r="U15" i="4"/>
  <c r="Y94" i="4"/>
  <c r="Y93" i="4"/>
  <c r="T82" i="4"/>
  <c r="U82" i="4" s="1"/>
  <c r="AA92" i="4"/>
  <c r="AA91" i="4"/>
  <c r="AA90" i="4"/>
  <c r="AA89" i="4"/>
  <c r="AA88" i="4"/>
  <c r="AA87" i="4"/>
  <c r="AA86" i="4"/>
  <c r="U86" i="4" l="1"/>
  <c r="V86" i="4" s="1"/>
  <c r="V82" i="4"/>
  <c r="V95" i="4" s="1"/>
  <c r="AA82" i="4"/>
  <c r="AA81" i="4"/>
  <c r="AA80" i="4"/>
  <c r="AA78" i="4"/>
  <c r="AA77" i="4"/>
  <c r="AA75" i="4"/>
  <c r="AA74" i="4"/>
  <c r="AA73" i="4"/>
  <c r="AA72" i="4"/>
  <c r="AA71" i="4"/>
  <c r="AA70" i="4"/>
  <c r="AA69" i="4"/>
  <c r="AA68" i="4"/>
  <c r="AA67" i="4"/>
  <c r="AA66" i="4"/>
  <c r="AA84" i="4"/>
  <c r="AA85" i="4"/>
  <c r="AA64" i="4"/>
  <c r="AA62" i="4"/>
  <c r="AA32" i="4"/>
  <c r="AA33" i="4"/>
  <c r="AA34" i="4"/>
  <c r="AA35" i="4"/>
  <c r="AA36" i="4"/>
  <c r="AA37" i="4"/>
  <c r="AA38" i="4"/>
  <c r="AA39" i="4"/>
  <c r="AA40" i="4"/>
  <c r="AA42" i="4"/>
  <c r="AA43" i="4"/>
  <c r="AA44" i="4"/>
  <c r="AA47" i="4"/>
  <c r="AA48" i="4"/>
  <c r="AA50" i="4"/>
  <c r="AA51" i="4"/>
  <c r="AA52" i="4"/>
  <c r="AA53" i="4"/>
  <c r="AA54" i="4"/>
  <c r="AA56" i="4"/>
  <c r="AA94" i="4" l="1"/>
  <c r="AA93" i="4"/>
  <c r="V57" i="4"/>
  <c r="Q38" i="4"/>
  <c r="V38" i="4" s="1"/>
  <c r="V37" i="4"/>
  <c r="AA31" i="4"/>
  <c r="Y29" i="4"/>
  <c r="AA29" i="4" s="1"/>
  <c r="Y27" i="4"/>
  <c r="AA27" i="4" s="1"/>
  <c r="AA26" i="4"/>
  <c r="AA25" i="4"/>
  <c r="AA24" i="4"/>
  <c r="AA23" i="4"/>
  <c r="AA21" i="4"/>
  <c r="V20" i="4"/>
  <c r="AA16" i="4"/>
  <c r="AA15" i="4"/>
  <c r="AA13" i="4"/>
  <c r="AA12" i="4"/>
  <c r="Q11" i="4"/>
  <c r="V10" i="4"/>
  <c r="AA95" i="4" l="1"/>
  <c r="AB95" i="4" s="1"/>
  <c r="AA61" i="4"/>
  <c r="V61" i="4"/>
  <c r="AA5" i="4"/>
  <c r="AA6" i="4"/>
  <c r="AA7" i="4"/>
  <c r="AA8" i="4"/>
  <c r="AA9" i="4"/>
  <c r="AA10" i="4"/>
  <c r="AA11" i="4"/>
  <c r="AA20" i="4"/>
  <c r="AA22" i="4"/>
  <c r="AA4" i="4"/>
  <c r="V9" i="4"/>
  <c r="V11" i="4"/>
  <c r="V12" i="4"/>
  <c r="V15" i="4"/>
  <c r="AD95" i="4" l="1"/>
  <c r="AB61" i="4"/>
  <c r="AD61" i="4" s="1"/>
  <c r="AA30" i="4"/>
  <c r="U21" i="4" l="1"/>
  <c r="V21" i="4" s="1"/>
  <c r="U4" i="4"/>
  <c r="V4" i="4" s="1"/>
  <c r="V30" i="4" l="1"/>
  <c r="AB30" i="4" s="1"/>
  <c r="AD30" i="4" s="1"/>
  <c r="U21" i="3" l="1"/>
  <c r="I21" i="3"/>
  <c r="J21" i="3" s="1"/>
  <c r="E21" i="3"/>
  <c r="K21" i="3" s="1"/>
  <c r="U20" i="3"/>
  <c r="I20" i="3"/>
  <c r="J20" i="3" s="1"/>
  <c r="E20" i="3"/>
  <c r="K20" i="3" s="1"/>
  <c r="T19" i="3"/>
  <c r="U19" i="3" s="1"/>
  <c r="I19" i="3"/>
  <c r="J19" i="3" s="1"/>
  <c r="E19" i="3"/>
  <c r="K19" i="3" s="1"/>
  <c r="T18" i="3"/>
  <c r="U18" i="3" s="1"/>
  <c r="I18" i="3"/>
  <c r="J18" i="3" s="1"/>
  <c r="E18" i="3"/>
  <c r="K18" i="3" s="1"/>
  <c r="T17" i="3"/>
  <c r="U17" i="3" s="1"/>
  <c r="I17" i="3"/>
  <c r="J17" i="3" s="1"/>
  <c r="E17" i="3"/>
  <c r="K17" i="3" s="1"/>
  <c r="T16" i="3"/>
  <c r="U16" i="3" s="1"/>
  <c r="I16" i="3"/>
  <c r="J16" i="3" s="1"/>
  <c r="E16" i="3"/>
  <c r="K16" i="3" s="1"/>
  <c r="T15" i="3"/>
  <c r="U15" i="3" s="1"/>
  <c r="I15" i="3"/>
  <c r="J15" i="3" s="1"/>
  <c r="E15" i="3"/>
  <c r="K15" i="3" s="1"/>
  <c r="U14" i="3"/>
  <c r="I14" i="3"/>
  <c r="J14" i="3" s="1"/>
  <c r="E14" i="3"/>
  <c r="K14" i="3" s="1"/>
  <c r="U13" i="3"/>
  <c r="I13" i="3"/>
  <c r="J13" i="3" s="1"/>
  <c r="E13" i="3"/>
  <c r="K13" i="3" s="1"/>
  <c r="U12" i="3"/>
  <c r="I12" i="3"/>
  <c r="J12" i="3" s="1"/>
  <c r="E12" i="3"/>
  <c r="K12" i="3" s="1"/>
  <c r="U11" i="3"/>
  <c r="I11" i="3"/>
  <c r="J11" i="3" s="1"/>
  <c r="E11" i="3"/>
  <c r="K11" i="3" s="1"/>
  <c r="T10" i="3"/>
  <c r="U10" i="3" s="1"/>
  <c r="I10" i="3"/>
  <c r="J10" i="3" s="1"/>
  <c r="L10" i="3" s="1"/>
  <c r="E10" i="3"/>
  <c r="K10" i="3" s="1"/>
  <c r="T9" i="3"/>
  <c r="U9" i="3" s="1"/>
  <c r="I9" i="3"/>
  <c r="J9" i="3" s="1"/>
  <c r="E9" i="3"/>
  <c r="K9" i="3" s="1"/>
  <c r="T8" i="3"/>
  <c r="U8" i="3" s="1"/>
  <c r="I8" i="3"/>
  <c r="J8" i="3" s="1"/>
  <c r="E8" i="3"/>
  <c r="K8" i="3" s="1"/>
  <c r="T7" i="3"/>
  <c r="U7" i="3" s="1"/>
  <c r="I7" i="3"/>
  <c r="J7" i="3" s="1"/>
  <c r="E7" i="3"/>
  <c r="K7" i="3" s="1"/>
  <c r="T6" i="3"/>
  <c r="U6" i="3" s="1"/>
  <c r="I6" i="3"/>
  <c r="J6" i="3" s="1"/>
  <c r="E6" i="3"/>
  <c r="K6" i="3" s="1"/>
  <c r="T5" i="3"/>
  <c r="U5" i="3" s="1"/>
  <c r="I5" i="3"/>
  <c r="J5" i="3" s="1"/>
  <c r="E5" i="3"/>
  <c r="K5" i="3" s="1"/>
  <c r="T4" i="3"/>
  <c r="U4" i="3" s="1"/>
  <c r="I4" i="3"/>
  <c r="J4" i="3" s="1"/>
  <c r="E4" i="3"/>
  <c r="K4" i="3" s="1"/>
  <c r="T3" i="3"/>
  <c r="U3" i="3" s="1"/>
  <c r="I3" i="3"/>
  <c r="J3" i="3" s="1"/>
  <c r="E3" i="3"/>
  <c r="K3" i="3" s="1"/>
  <c r="E9" i="2"/>
  <c r="R14" i="2"/>
  <c r="R15" i="2"/>
  <c r="R16" i="2"/>
  <c r="R17" i="2"/>
  <c r="R23" i="2"/>
  <c r="R24" i="2"/>
  <c r="R29" i="2"/>
  <c r="R30" i="2"/>
  <c r="R31" i="2"/>
  <c r="R32" i="2"/>
  <c r="L19" i="3" l="1"/>
  <c r="M19" i="3" s="1"/>
  <c r="R19" i="3" s="1"/>
  <c r="L14" i="3"/>
  <c r="M14" i="3" s="1"/>
  <c r="R14" i="3" s="1"/>
  <c r="L6" i="3"/>
  <c r="L17" i="3"/>
  <c r="L12" i="3"/>
  <c r="M12" i="3" s="1"/>
  <c r="R12" i="3" s="1"/>
  <c r="L4" i="3"/>
  <c r="M4" i="3" s="1"/>
  <c r="R4" i="3" s="1"/>
  <c r="L7" i="3"/>
  <c r="M7" i="3" s="1"/>
  <c r="R7" i="3" s="1"/>
  <c r="L15" i="3"/>
  <c r="M15" i="3" s="1"/>
  <c r="R15" i="3" s="1"/>
  <c r="L20" i="3"/>
  <c r="M20" i="3" s="1"/>
  <c r="R20" i="3" s="1"/>
  <c r="L9" i="3"/>
  <c r="M9" i="3" s="1"/>
  <c r="R9" i="3" s="1"/>
  <c r="L5" i="3"/>
  <c r="M5" i="3" s="1"/>
  <c r="R5" i="3" s="1"/>
  <c r="L13" i="3"/>
  <c r="L18" i="3"/>
  <c r="M18" i="3" s="1"/>
  <c r="R18" i="3" s="1"/>
  <c r="L3" i="3"/>
  <c r="M3" i="3" s="1"/>
  <c r="R3" i="3" s="1"/>
  <c r="L8" i="3"/>
  <c r="M8" i="3" s="1"/>
  <c r="R8" i="3" s="1"/>
  <c r="L16" i="3"/>
  <c r="M16" i="3" s="1"/>
  <c r="R16" i="3" s="1"/>
  <c r="L21" i="3"/>
  <c r="M21" i="3" s="1"/>
  <c r="R21" i="3" s="1"/>
  <c r="L11" i="3"/>
  <c r="M11" i="3" s="1"/>
  <c r="R11" i="3" s="1"/>
  <c r="M10" i="3"/>
  <c r="R10" i="3" s="1"/>
  <c r="M13" i="3"/>
  <c r="R13" i="3" s="1"/>
  <c r="M17" i="3"/>
  <c r="R17" i="3" s="1"/>
  <c r="M6" i="3"/>
  <c r="R6" i="3" s="1"/>
  <c r="Q26" i="2"/>
  <c r="R26" i="2" s="1"/>
  <c r="Q27" i="2"/>
  <c r="R27" i="2" s="1"/>
  <c r="Q28" i="2"/>
  <c r="R28" i="2" s="1"/>
  <c r="Q33" i="2"/>
  <c r="R33" i="2" s="1"/>
  <c r="Q34" i="2"/>
  <c r="R34" i="2" s="1"/>
  <c r="Q35" i="2"/>
  <c r="R35" i="2" s="1"/>
  <c r="Q36" i="2"/>
  <c r="R36" i="2" s="1"/>
  <c r="Q37" i="2"/>
  <c r="R37" i="2" s="1"/>
  <c r="Q38" i="2"/>
  <c r="R38" i="2" s="1"/>
  <c r="Q25" i="2"/>
  <c r="R25" i="2" s="1"/>
  <c r="Q4" i="2"/>
  <c r="R4" i="2" s="1"/>
  <c r="Q5" i="2"/>
  <c r="R5" i="2" s="1"/>
  <c r="Q6" i="2"/>
  <c r="R6" i="2" s="1"/>
  <c r="Q7" i="2"/>
  <c r="R7" i="2" s="1"/>
  <c r="Q8" i="2"/>
  <c r="R8" i="2" s="1"/>
  <c r="Q9" i="2"/>
  <c r="R9" i="2" s="1"/>
  <c r="Q10" i="2"/>
  <c r="R10" i="2" s="1"/>
  <c r="Q11" i="2"/>
  <c r="R11" i="2" s="1"/>
  <c r="Q12" i="2"/>
  <c r="R12" i="2" s="1"/>
  <c r="Q13" i="2"/>
  <c r="R13" i="2" s="1"/>
  <c r="Q18" i="2"/>
  <c r="R18" i="2" s="1"/>
  <c r="Q19" i="2"/>
  <c r="R19" i="2" s="1"/>
  <c r="Q20" i="2"/>
  <c r="R20" i="2" s="1"/>
  <c r="Q21" i="2"/>
  <c r="R21" i="2" s="1"/>
  <c r="Q22" i="2"/>
  <c r="R22" i="2" s="1"/>
  <c r="Q3" i="2"/>
  <c r="R3" i="2" s="1"/>
  <c r="E6" i="2"/>
  <c r="E7" i="2"/>
  <c r="E8" i="2"/>
  <c r="K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I13" i="2"/>
  <c r="J13" i="2" s="1"/>
  <c r="L13" i="2" s="1"/>
  <c r="M13" i="2" s="1"/>
  <c r="N13" i="2" s="1"/>
  <c r="K13" i="2"/>
  <c r="I14" i="2"/>
  <c r="J14" i="2" s="1"/>
  <c r="L14" i="2" s="1"/>
  <c r="M14" i="2" s="1"/>
  <c r="N14" i="2" s="1"/>
  <c r="K14" i="2"/>
  <c r="I15" i="2"/>
  <c r="J15" i="2" s="1"/>
  <c r="L15" i="2" s="1"/>
  <c r="M15" i="2" s="1"/>
  <c r="N15" i="2" s="1"/>
  <c r="K15" i="2"/>
  <c r="I16" i="2"/>
  <c r="J16" i="2" s="1"/>
  <c r="L16" i="2" s="1"/>
  <c r="M16" i="2" s="1"/>
  <c r="N16" i="2" s="1"/>
  <c r="K16" i="2"/>
  <c r="I17" i="2"/>
  <c r="J17" i="2" s="1"/>
  <c r="L17" i="2" s="1"/>
  <c r="M17" i="2" s="1"/>
  <c r="N17" i="2" s="1"/>
  <c r="K17" i="2"/>
  <c r="I18" i="2"/>
  <c r="J18" i="2" s="1"/>
  <c r="L18" i="2" s="1"/>
  <c r="M18" i="2" s="1"/>
  <c r="N18" i="2" s="1"/>
  <c r="K18" i="2"/>
  <c r="I19" i="2"/>
  <c r="J19" i="2" s="1"/>
  <c r="L19" i="2" s="1"/>
  <c r="M19" i="2" s="1"/>
  <c r="N19" i="2" s="1"/>
  <c r="K19" i="2"/>
  <c r="I20" i="2"/>
  <c r="J20" i="2" s="1"/>
  <c r="L20" i="2" s="1"/>
  <c r="M20" i="2" s="1"/>
  <c r="N20" i="2" s="1"/>
  <c r="K20" i="2"/>
  <c r="I21" i="2"/>
  <c r="J21" i="2" s="1"/>
  <c r="L21" i="2" s="1"/>
  <c r="M21" i="2" s="1"/>
  <c r="N21" i="2" s="1"/>
  <c r="K21" i="2"/>
  <c r="I22" i="2"/>
  <c r="J22" i="2" s="1"/>
  <c r="L22" i="2" s="1"/>
  <c r="M22" i="2" s="1"/>
  <c r="N22" i="2" s="1"/>
  <c r="K22" i="2"/>
  <c r="I23" i="2"/>
  <c r="J23" i="2" s="1"/>
  <c r="L23" i="2" s="1"/>
  <c r="M23" i="2" s="1"/>
  <c r="N23" i="2" s="1"/>
  <c r="K23" i="2"/>
  <c r="I24" i="2"/>
  <c r="J24" i="2" s="1"/>
  <c r="L24" i="2" s="1"/>
  <c r="M24" i="2" s="1"/>
  <c r="N24" i="2" s="1"/>
  <c r="K24" i="2"/>
  <c r="I25" i="2"/>
  <c r="J25" i="2" s="1"/>
  <c r="L25" i="2" s="1"/>
  <c r="M25" i="2" s="1"/>
  <c r="N25" i="2" s="1"/>
  <c r="I26" i="2"/>
  <c r="J26" i="2" s="1"/>
  <c r="L26" i="2" s="1"/>
  <c r="M26" i="2" s="1"/>
  <c r="N26" i="2" s="1"/>
  <c r="I27" i="2"/>
  <c r="J27" i="2" s="1"/>
  <c r="L27" i="2" s="1"/>
  <c r="M27" i="2" s="1"/>
  <c r="N27" i="2" s="1"/>
  <c r="I28" i="2"/>
  <c r="J28" i="2" s="1"/>
  <c r="L28" i="2" s="1"/>
  <c r="M28" i="2" s="1"/>
  <c r="N28" i="2" s="1"/>
  <c r="I29" i="2"/>
  <c r="J29" i="2"/>
  <c r="L29" i="2" s="1"/>
  <c r="M29" i="2" s="1"/>
  <c r="N29" i="2" s="1"/>
  <c r="I30" i="2"/>
  <c r="J30" i="2" s="1"/>
  <c r="L30" i="2" s="1"/>
  <c r="M30" i="2" s="1"/>
  <c r="N30" i="2" s="1"/>
  <c r="I31" i="2"/>
  <c r="J31" i="2" s="1"/>
  <c r="L31" i="2" s="1"/>
  <c r="M31" i="2" s="1"/>
  <c r="N31" i="2" s="1"/>
  <c r="I32" i="2"/>
  <c r="J32" i="2" s="1"/>
  <c r="L32" i="2" s="1"/>
  <c r="M32" i="2" s="1"/>
  <c r="N32" i="2" s="1"/>
  <c r="I33" i="2"/>
  <c r="J33" i="2" s="1"/>
  <c r="L33" i="2" s="1"/>
  <c r="M33" i="2" s="1"/>
  <c r="N33" i="2" s="1"/>
  <c r="I34" i="2"/>
  <c r="J34" i="2" s="1"/>
  <c r="L34" i="2" s="1"/>
  <c r="M34" i="2" s="1"/>
  <c r="N34" i="2" s="1"/>
  <c r="I35" i="2"/>
  <c r="J35" i="2" s="1"/>
  <c r="L35" i="2" s="1"/>
  <c r="M35" i="2" s="1"/>
  <c r="N35" i="2" s="1"/>
  <c r="I36" i="2"/>
  <c r="J36" i="2" s="1"/>
  <c r="L36" i="2" s="1"/>
  <c r="M36" i="2" s="1"/>
  <c r="N36" i="2" s="1"/>
  <c r="I37" i="2"/>
  <c r="J37" i="2" s="1"/>
  <c r="L37" i="2" s="1"/>
  <c r="M37" i="2" s="1"/>
  <c r="N37" i="2" s="1"/>
  <c r="I38" i="2"/>
  <c r="J38" i="2" s="1"/>
  <c r="L38" i="2" s="1"/>
  <c r="M38" i="2" s="1"/>
  <c r="N38" i="2" s="1"/>
  <c r="I12" i="2"/>
  <c r="J12" i="2" s="1"/>
  <c r="L12" i="2" s="1"/>
  <c r="M12" i="2" s="1"/>
  <c r="N12" i="2" s="1"/>
  <c r="K12" i="2"/>
  <c r="I11" i="2"/>
  <c r="J11" i="2" s="1"/>
  <c r="L11" i="2" s="1"/>
  <c r="M11" i="2" s="1"/>
  <c r="N11" i="2" s="1"/>
  <c r="K11" i="2"/>
  <c r="I10" i="2"/>
  <c r="J10" i="2" s="1"/>
  <c r="L10" i="2" s="1"/>
  <c r="M10" i="2" s="1"/>
  <c r="N10" i="2" s="1"/>
  <c r="K10" i="2"/>
  <c r="I9" i="2"/>
  <c r="J9" i="2" s="1"/>
  <c r="I8" i="2"/>
  <c r="J8" i="2" s="1"/>
  <c r="L8" i="2" s="1"/>
  <c r="M8" i="2" s="1"/>
  <c r="N8" i="2" s="1"/>
  <c r="K8" i="2"/>
  <c r="I7" i="2"/>
  <c r="J7" i="2" s="1"/>
  <c r="L7" i="2" s="1"/>
  <c r="M7" i="2" s="1"/>
  <c r="N7" i="2" s="1"/>
  <c r="K7" i="2"/>
  <c r="K6" i="2"/>
  <c r="I6" i="2"/>
  <c r="J6" i="2" s="1"/>
  <c r="L6" i="2" s="1"/>
  <c r="M6" i="2" s="1"/>
  <c r="N6" i="2" s="1"/>
  <c r="I5" i="2"/>
  <c r="J5" i="2" s="1"/>
  <c r="K5" i="2"/>
  <c r="I4" i="2"/>
  <c r="J4" i="2" s="1"/>
  <c r="L4" i="2" s="1"/>
  <c r="M4" i="2" s="1"/>
  <c r="N4" i="2" s="1"/>
  <c r="K4" i="2"/>
  <c r="I3" i="2"/>
  <c r="J3" i="2" s="1"/>
  <c r="K3" i="2"/>
  <c r="R22" i="3" l="1"/>
  <c r="N6" i="3"/>
  <c r="N11" i="3"/>
  <c r="N9" i="3"/>
  <c r="N8" i="3"/>
  <c r="N19" i="3"/>
  <c r="N5" i="3"/>
  <c r="N21" i="3"/>
  <c r="N18" i="3"/>
  <c r="N20" i="3"/>
  <c r="N17" i="3"/>
  <c r="N16" i="3"/>
  <c r="N12" i="3"/>
  <c r="N14" i="3"/>
  <c r="N13" i="3"/>
  <c r="N4" i="3"/>
  <c r="N15" i="3"/>
  <c r="N7" i="3"/>
  <c r="N10" i="3"/>
  <c r="N3" i="3"/>
  <c r="L9" i="2"/>
  <c r="M9" i="2" s="1"/>
  <c r="N9" i="2" s="1"/>
  <c r="L5" i="2"/>
  <c r="M5" i="2" s="1"/>
  <c r="N5" i="2" s="1"/>
  <c r="L3" i="2"/>
  <c r="M3" i="2" s="1"/>
  <c r="N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F2" authorId="0" shapeId="0" xr:uid="{D18EE122-80C3-4724-831D-7FA46FF02122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以厂家提供重量计算</t>
        </r>
      </text>
    </comment>
    <comment ref="H2" authorId="0" shapeId="0" xr:uid="{F912BCC2-CEF1-4E9E-99F8-1194F8CC56EA}">
      <text>
        <r>
          <rPr>
            <b/>
            <sz val="9"/>
            <color indexed="81"/>
            <rFont val="宋体"/>
            <family val="3"/>
            <charset val="134"/>
          </rPr>
          <t>内部意见:</t>
        </r>
        <r>
          <rPr>
            <sz val="9"/>
            <color indexed="81"/>
            <rFont val="宋体"/>
            <family val="3"/>
            <charset val="134"/>
          </rPr>
          <t xml:space="preserve">
差价按照1100元/吨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F2" authorId="0" shapeId="0" xr:uid="{CCC185AA-B1C5-4087-BFC3-219A64948D6C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以厂家提供重量计算</t>
        </r>
      </text>
    </comment>
    <comment ref="H2" authorId="0" shapeId="0" xr:uid="{A2CA7FFD-AF72-4EED-81D6-F70A07904264}">
      <text>
        <r>
          <rPr>
            <b/>
            <sz val="9"/>
            <color indexed="81"/>
            <rFont val="宋体"/>
            <family val="3"/>
            <charset val="134"/>
          </rPr>
          <t>内部意见:</t>
        </r>
        <r>
          <rPr>
            <sz val="9"/>
            <color indexed="81"/>
            <rFont val="宋体"/>
            <family val="3"/>
            <charset val="134"/>
          </rPr>
          <t xml:space="preserve">
差价按照1100元/吨</t>
        </r>
      </text>
    </comment>
    <comment ref="F29" authorId="0" shapeId="0" xr:uid="{31767AFD-05B5-40EA-B21D-E98A81F998C3}">
      <text>
        <r>
          <rPr>
            <b/>
            <sz val="9"/>
            <rFont val="宋体"/>
            <family val="3"/>
            <charset val="134"/>
          </rPr>
          <t>吴英格:</t>
        </r>
        <r>
          <rPr>
            <sz val="9"/>
            <rFont val="宋体"/>
            <family val="3"/>
            <charset val="134"/>
          </rPr>
          <t xml:space="preserve">
以厂家提供重量计算</t>
        </r>
      </text>
    </comment>
    <comment ref="H29" authorId="0" shapeId="0" xr:uid="{C9FD8745-57FB-4152-8495-A063AE0FBDEE}">
      <text>
        <r>
          <rPr>
            <b/>
            <sz val="9"/>
            <rFont val="宋体"/>
            <family val="3"/>
            <charset val="134"/>
          </rPr>
          <t>内部意见:</t>
        </r>
        <r>
          <rPr>
            <sz val="9"/>
            <rFont val="宋体"/>
            <family val="3"/>
            <charset val="134"/>
          </rPr>
          <t xml:space="preserve">
差价按照1100元/吨</t>
        </r>
      </text>
    </comment>
  </commentList>
</comments>
</file>

<file path=xl/sharedStrings.xml><?xml version="1.0" encoding="utf-8"?>
<sst xmlns="http://schemas.openxmlformats.org/spreadsheetml/2006/main" count="641" uniqueCount="278">
  <si>
    <t>序号</t>
  </si>
  <si>
    <t>产品代码</t>
  </si>
  <si>
    <t>产品名称</t>
  </si>
  <si>
    <t>材质</t>
  </si>
  <si>
    <t>差价</t>
  </si>
  <si>
    <t>潍坊转黄骅产品核算（未税）</t>
  </si>
  <si>
    <t>2020年
未税价格</t>
  </si>
  <si>
    <t>材料增价</t>
  </si>
  <si>
    <r>
      <rPr>
        <sz val="11"/>
        <color theme="1"/>
        <rFont val="宋体"/>
        <family val="3"/>
        <charset val="134"/>
        <scheme val="minor"/>
      </rPr>
      <t>运费差价
3</t>
    </r>
    <r>
      <rPr>
        <sz val="11"/>
        <color theme="1"/>
        <rFont val="SimSun"/>
        <charset val="134"/>
      </rPr>
      <t>％</t>
    </r>
  </si>
  <si>
    <t>补差价
合计</t>
  </si>
  <si>
    <t>本年产品
价格</t>
  </si>
  <si>
    <t>涨幅</t>
    <phoneticPr fontId="6" type="noConversion"/>
  </si>
  <si>
    <t>备注</t>
    <phoneticPr fontId="6" type="noConversion"/>
  </si>
  <si>
    <r>
      <rPr>
        <sz val="11"/>
        <color theme="1"/>
        <rFont val="宋体"/>
        <family val="3"/>
        <charset val="134"/>
        <scheme val="minor"/>
      </rPr>
      <t>含3</t>
    </r>
    <r>
      <rPr>
        <sz val="11"/>
        <color theme="1"/>
        <rFont val="SimSun"/>
        <charset val="134"/>
      </rPr>
      <t>％</t>
    </r>
    <r>
      <rPr>
        <sz val="11"/>
        <color theme="1"/>
        <rFont val="宋体"/>
        <family val="3"/>
        <charset val="134"/>
        <scheme val="minor"/>
      </rPr>
      <t>利</t>
    </r>
    <phoneticPr fontId="6" type="noConversion"/>
  </si>
  <si>
    <t>SHT0000733</t>
    <phoneticPr fontId="6" type="noConversion"/>
  </si>
  <si>
    <t>奥铃副背</t>
    <phoneticPr fontId="6" type="noConversion"/>
  </si>
  <si>
    <t>SHT0000078</t>
    <phoneticPr fontId="6" type="noConversion"/>
  </si>
  <si>
    <t>欧马可副背</t>
    <phoneticPr fontId="6" type="noConversion"/>
  </si>
  <si>
    <t>潍坊转移无此件，河北无此件</t>
    <phoneticPr fontId="6" type="noConversion"/>
  </si>
  <si>
    <t>SHT0000037</t>
    <phoneticPr fontId="6" type="noConversion"/>
  </si>
  <si>
    <t>欧马可司机背</t>
    <phoneticPr fontId="6" type="noConversion"/>
  </si>
  <si>
    <t>SLT0000408</t>
    <phoneticPr fontId="6" type="noConversion"/>
  </si>
  <si>
    <t>K1单人背（带头枕）</t>
    <phoneticPr fontId="6" type="noConversion"/>
  </si>
  <si>
    <t>SLT0000551</t>
    <phoneticPr fontId="6" type="noConversion"/>
  </si>
  <si>
    <t>K1单人背（无头枕）</t>
    <phoneticPr fontId="6" type="noConversion"/>
  </si>
  <si>
    <t>SLT0000394</t>
    <phoneticPr fontId="6" type="noConversion"/>
  </si>
  <si>
    <t>K1双人左背</t>
  </si>
  <si>
    <t>SLT0000264</t>
    <phoneticPr fontId="6" type="noConversion"/>
  </si>
  <si>
    <t>双人右背（安全盒）</t>
    <phoneticPr fontId="6" type="noConversion"/>
  </si>
  <si>
    <t>潍坊转移无此件，河北此号是钢丝</t>
    <phoneticPr fontId="6" type="noConversion"/>
  </si>
  <si>
    <t>SLT0000578</t>
    <phoneticPr fontId="6" type="noConversion"/>
  </si>
  <si>
    <t>双人右置左背</t>
    <phoneticPr fontId="6" type="noConversion"/>
  </si>
  <si>
    <t>SLT0000517</t>
    <phoneticPr fontId="6" type="noConversion"/>
  </si>
  <si>
    <t>新侧翻（三点式）</t>
    <phoneticPr fontId="6" type="noConversion"/>
  </si>
  <si>
    <t>新侧翻单头枕（三点式）</t>
    <phoneticPr fontId="6" type="noConversion"/>
  </si>
  <si>
    <t>SLT0000651</t>
    <phoneticPr fontId="6" type="noConversion"/>
  </si>
  <si>
    <t>第四排侧翻背（无头枕）</t>
    <phoneticPr fontId="6" type="noConversion"/>
  </si>
  <si>
    <t>SLT0000449</t>
    <phoneticPr fontId="6" type="noConversion"/>
  </si>
  <si>
    <t>四人连体左背（三点式）</t>
    <phoneticPr fontId="6" type="noConversion"/>
  </si>
  <si>
    <t>SLT0000462</t>
    <phoneticPr fontId="6" type="noConversion"/>
  </si>
  <si>
    <t>四人连体右背（三点式）</t>
    <phoneticPr fontId="6" type="noConversion"/>
  </si>
  <si>
    <t>SLT0000568</t>
    <phoneticPr fontId="6" type="noConversion"/>
  </si>
  <si>
    <t>四人连体左背（无头枕）</t>
    <phoneticPr fontId="6" type="noConversion"/>
  </si>
  <si>
    <t>SLT0000569</t>
    <phoneticPr fontId="6" type="noConversion"/>
  </si>
  <si>
    <t>四人连体右背（无头枕）</t>
    <phoneticPr fontId="6" type="noConversion"/>
  </si>
  <si>
    <t>二排双人连体背（无头枕带扶手）</t>
  </si>
  <si>
    <t>二排双人连体背（带头枕带扶手三点式）</t>
  </si>
  <si>
    <t>第一排四人三人连体背</t>
  </si>
  <si>
    <t>第三排三人连体背</t>
  </si>
  <si>
    <t>第三排侧翻背（单头枕）</t>
  </si>
  <si>
    <t>SLT0001041</t>
    <phoneticPr fontId="6" type="noConversion"/>
  </si>
  <si>
    <t>SLT0001042</t>
    <phoneticPr fontId="6" type="noConversion"/>
  </si>
  <si>
    <t>马来西亚双人右背</t>
    <phoneticPr fontId="6" type="noConversion"/>
  </si>
  <si>
    <t>马来西亚双人左背</t>
    <phoneticPr fontId="6" type="noConversion"/>
  </si>
  <si>
    <t>场地</t>
    <phoneticPr fontId="6" type="noConversion"/>
  </si>
  <si>
    <t>河北</t>
    <phoneticPr fontId="6" type="noConversion"/>
  </si>
  <si>
    <t>潍坊</t>
    <phoneticPr fontId="6" type="noConversion"/>
  </si>
  <si>
    <t>H4座框</t>
  </si>
  <si>
    <t>H3改型司机背</t>
  </si>
  <si>
    <t>H3改型副司机背</t>
  </si>
  <si>
    <t>SHT0000577</t>
    <phoneticPr fontId="6" type="noConversion"/>
  </si>
  <si>
    <t>新SQZ副背</t>
  </si>
  <si>
    <t>重卡豪华司机背</t>
  </si>
  <si>
    <t>SHT0000675</t>
    <phoneticPr fontId="6" type="noConversion"/>
  </si>
  <si>
    <t>重卡右舵司机背</t>
  </si>
  <si>
    <t>SHT0000650</t>
    <phoneticPr fontId="6" type="noConversion"/>
  </si>
  <si>
    <t>SHT0000668</t>
    <phoneticPr fontId="6" type="noConversion"/>
  </si>
  <si>
    <t>重卡标准司机背</t>
  </si>
  <si>
    <t>H4外铰架右</t>
  </si>
  <si>
    <t>H4外铰架左</t>
  </si>
  <si>
    <t>H4内铰架右</t>
  </si>
  <si>
    <t>H4内铰架左</t>
  </si>
  <si>
    <t>H4气囊下支架</t>
  </si>
  <si>
    <t>SHT0000556</t>
    <phoneticPr fontId="6" type="noConversion"/>
  </si>
  <si>
    <t>SHT0001036</t>
    <phoneticPr fontId="6" type="noConversion"/>
  </si>
  <si>
    <t>SHT0001037</t>
  </si>
  <si>
    <t>SHT0001038</t>
  </si>
  <si>
    <t>SHT0001039</t>
  </si>
  <si>
    <t>SHT0001040</t>
    <phoneticPr fontId="6" type="noConversion"/>
  </si>
  <si>
    <t>SLT0000604</t>
    <phoneticPr fontId="6" type="noConversion"/>
  </si>
  <si>
    <t>SLT0000558</t>
    <phoneticPr fontId="6" type="noConversion"/>
  </si>
  <si>
    <t>SLT0000638</t>
    <phoneticPr fontId="6" type="noConversion"/>
  </si>
  <si>
    <t>SLT0000552</t>
    <phoneticPr fontId="6" type="noConversion"/>
  </si>
  <si>
    <t>SLT0000630</t>
    <phoneticPr fontId="6" type="noConversion"/>
  </si>
  <si>
    <t>SLT0000595</t>
    <phoneticPr fontId="6" type="noConversion"/>
  </si>
  <si>
    <t>SHT0000544</t>
    <phoneticPr fontId="6" type="noConversion"/>
  </si>
  <si>
    <t>SHT0000591</t>
    <phoneticPr fontId="6" type="noConversion"/>
  </si>
  <si>
    <t>SHT0000414</t>
    <phoneticPr fontId="6" type="noConversion"/>
  </si>
  <si>
    <t>SHT0000149</t>
    <phoneticPr fontId="6" type="noConversion"/>
  </si>
  <si>
    <t>含税报价</t>
    <phoneticPr fontId="6" type="noConversion"/>
  </si>
  <si>
    <r>
      <t xml:space="preserve">产品净重量
</t>
    </r>
    <r>
      <rPr>
        <sz val="11"/>
        <color theme="1"/>
        <rFont val="SimSun"/>
        <charset val="134"/>
      </rPr>
      <t>㎏</t>
    </r>
    <phoneticPr fontId="6" type="noConversion"/>
  </si>
  <si>
    <t>潍坊平均涨幅8%</t>
    <phoneticPr fontId="6" type="noConversion"/>
  </si>
  <si>
    <t>河北平均涨幅12%</t>
    <phoneticPr fontId="6" type="noConversion"/>
  </si>
  <si>
    <t>未税报价</t>
    <phoneticPr fontId="6" type="noConversion"/>
  </si>
  <si>
    <r>
      <t>运费差价
3</t>
    </r>
    <r>
      <rPr>
        <sz val="11"/>
        <color theme="1"/>
        <rFont val="宋体"/>
        <family val="3"/>
        <charset val="134"/>
      </rPr>
      <t>％</t>
    </r>
    <phoneticPr fontId="6" type="noConversion"/>
  </si>
  <si>
    <t>转潍坊本年产品
价格</t>
    <phoneticPr fontId="6" type="noConversion"/>
  </si>
  <si>
    <t>物料代码</t>
  </si>
  <si>
    <t>名称</t>
  </si>
  <si>
    <t>零件名称</t>
  </si>
  <si>
    <t>耗用量</t>
  </si>
  <si>
    <t>不含税单价</t>
  </si>
  <si>
    <t>重量</t>
  </si>
  <si>
    <t>材料费</t>
  </si>
  <si>
    <t>制造成本</t>
  </si>
  <si>
    <t>不含税</t>
  </si>
  <si>
    <t>材料</t>
  </si>
  <si>
    <t>废铁</t>
  </si>
  <si>
    <t>毛重</t>
  </si>
  <si>
    <t>净重</t>
  </si>
  <si>
    <t>工序</t>
  </si>
  <si>
    <t>吨位</t>
  </si>
  <si>
    <t>工序费</t>
  </si>
  <si>
    <t>核算价</t>
  </si>
  <si>
    <t>Q195</t>
  </si>
  <si>
    <t>合计：</t>
  </si>
  <si>
    <t>恒伟五金供货产品报价核算表</t>
    <phoneticPr fontId="6" type="noConversion"/>
  </si>
  <si>
    <t>单件图号</t>
    <phoneticPr fontId="6" type="noConversion"/>
  </si>
  <si>
    <t>FT K1-7245 101</t>
    <phoneticPr fontId="6" type="noConversion"/>
  </si>
  <si>
    <t>乘客双人左下部U型管</t>
    <phoneticPr fontId="6" type="noConversion"/>
  </si>
  <si>
    <t>FT K1-7145 002R</t>
    <phoneticPr fontId="6" type="noConversion"/>
  </si>
  <si>
    <t>靠背骨架右边板</t>
    <phoneticPr fontId="6" type="noConversion"/>
  </si>
  <si>
    <t>SAPH440</t>
    <phoneticPr fontId="6" type="noConversion"/>
  </si>
  <si>
    <t>类别</t>
    <phoneticPr fontId="6" type="noConversion"/>
  </si>
  <si>
    <t>焊管</t>
    <phoneticPr fontId="6" type="noConversion"/>
  </si>
  <si>
    <t>冲压件</t>
    <phoneticPr fontId="6" type="noConversion"/>
  </si>
  <si>
    <t>FT K1-7145 003R</t>
  </si>
  <si>
    <t>靠背骨架右侧加强版</t>
    <phoneticPr fontId="6" type="noConversion"/>
  </si>
  <si>
    <t>GB/T 13681-1992</t>
    <phoneticPr fontId="6" type="noConversion"/>
  </si>
  <si>
    <t>标准件</t>
    <phoneticPr fontId="6" type="noConversion"/>
  </si>
  <si>
    <t>FT K1-7245 102</t>
    <phoneticPr fontId="6" type="noConversion"/>
  </si>
  <si>
    <t>乘客双人左靠背支撑钢丝</t>
    <phoneticPr fontId="6" type="noConversion"/>
  </si>
  <si>
    <t>钢丝</t>
    <phoneticPr fontId="6" type="noConversion"/>
  </si>
  <si>
    <t>Q235</t>
    <phoneticPr fontId="6" type="noConversion"/>
  </si>
  <si>
    <t>FT K1-7245 103</t>
  </si>
  <si>
    <t>乘客双人左靠背主体管</t>
    <phoneticPr fontId="6" type="noConversion"/>
  </si>
  <si>
    <t>Q195</t>
    <phoneticPr fontId="6" type="noConversion"/>
  </si>
  <si>
    <t>FT K1-6805 101</t>
    <phoneticPr fontId="6" type="noConversion"/>
  </si>
  <si>
    <t>头枕插管</t>
    <phoneticPr fontId="6" type="noConversion"/>
  </si>
  <si>
    <t>FT K1-7145 006</t>
    <phoneticPr fontId="6" type="noConversion"/>
  </si>
  <si>
    <t>靠背塑料盖板连接支架</t>
    <phoneticPr fontId="6" type="noConversion"/>
  </si>
  <si>
    <t>焊接六角螺母M10</t>
    <phoneticPr fontId="6" type="noConversion"/>
  </si>
  <si>
    <t>焊接六角螺母M6</t>
    <phoneticPr fontId="6" type="noConversion"/>
  </si>
  <si>
    <t>FT K1-7245 104</t>
    <phoneticPr fontId="6" type="noConversion"/>
  </si>
  <si>
    <t>乘客单人靠背支撑管</t>
    <phoneticPr fontId="6" type="noConversion"/>
  </si>
  <si>
    <t>FT K1-7245 105</t>
  </si>
  <si>
    <t>乘客双人左卡位钢丝</t>
    <phoneticPr fontId="6" type="noConversion"/>
  </si>
  <si>
    <t>FT K1-7145 003L</t>
    <phoneticPr fontId="6" type="noConversion"/>
  </si>
  <si>
    <t>靠背骨架左侧加强版</t>
    <phoneticPr fontId="6" type="noConversion"/>
  </si>
  <si>
    <t>FT K1-7145 002L</t>
    <phoneticPr fontId="6" type="noConversion"/>
  </si>
  <si>
    <t>靠背骨架左边板</t>
    <phoneticPr fontId="6" type="noConversion"/>
  </si>
  <si>
    <t>下料</t>
  </si>
  <si>
    <t>弯管</t>
    <phoneticPr fontId="6" type="noConversion"/>
  </si>
  <si>
    <t>落料</t>
    <phoneticPr fontId="6" type="noConversion"/>
  </si>
  <si>
    <t>315T油</t>
    <phoneticPr fontId="6" type="noConversion"/>
  </si>
  <si>
    <t>工序数</t>
    <phoneticPr fontId="6" type="noConversion"/>
  </si>
  <si>
    <t>成型</t>
    <phoneticPr fontId="6" type="noConversion"/>
  </si>
  <si>
    <t>切口</t>
    <phoneticPr fontId="6" type="noConversion"/>
  </si>
  <si>
    <t>切口冲孔</t>
    <phoneticPr fontId="6" type="noConversion"/>
  </si>
  <si>
    <t>200T</t>
    <phoneticPr fontId="6" type="noConversion"/>
  </si>
  <si>
    <t>落料冲孔</t>
    <phoneticPr fontId="6" type="noConversion"/>
  </si>
  <si>
    <t>60T</t>
    <phoneticPr fontId="6" type="noConversion"/>
  </si>
  <si>
    <t>序号</t>
    <phoneticPr fontId="6" type="noConversion"/>
  </si>
  <si>
    <t>40T</t>
    <phoneticPr fontId="6" type="noConversion"/>
  </si>
  <si>
    <t>系数</t>
    <phoneticPr fontId="6" type="noConversion"/>
  </si>
  <si>
    <t>运费</t>
    <phoneticPr fontId="6" type="noConversion"/>
  </si>
  <si>
    <t>未税核价</t>
    <phoneticPr fontId="6" type="noConversion"/>
  </si>
  <si>
    <t>焊接</t>
    <phoneticPr fontId="6" type="noConversion"/>
  </si>
  <si>
    <t>喷涂</t>
    <phoneticPr fontId="6" type="noConversion"/>
  </si>
  <si>
    <t>乘客双人左靠背骨架总成
FT K1-7245 100</t>
    <phoneticPr fontId="6" type="noConversion"/>
  </si>
  <si>
    <t>SLT0000395</t>
    <phoneticPr fontId="6" type="noConversion"/>
  </si>
  <si>
    <t>FT K1-7245 201</t>
    <phoneticPr fontId="6" type="noConversion"/>
  </si>
  <si>
    <t>乘客双人右下部U型管</t>
    <phoneticPr fontId="6" type="noConversion"/>
  </si>
  <si>
    <t>FT K1-7245 202</t>
    <phoneticPr fontId="6" type="noConversion"/>
  </si>
  <si>
    <t>乘客双人右靠背支撑钢丝</t>
    <phoneticPr fontId="6" type="noConversion"/>
  </si>
  <si>
    <t>FT K1-7245 203</t>
    <phoneticPr fontId="6" type="noConversion"/>
  </si>
  <si>
    <t>乘客双人右靠背主体管</t>
    <phoneticPr fontId="6" type="noConversion"/>
  </si>
  <si>
    <t>FT K1-7415 008R</t>
    <phoneticPr fontId="6" type="noConversion"/>
  </si>
  <si>
    <t>三点式安全带支撑板右</t>
    <phoneticPr fontId="6" type="noConversion"/>
  </si>
  <si>
    <t>SAPH440</t>
  </si>
  <si>
    <t>FT K1-7245 204R</t>
    <phoneticPr fontId="6" type="noConversion"/>
  </si>
  <si>
    <t>乘客双人右靠背侧边板</t>
    <phoneticPr fontId="6" type="noConversion"/>
  </si>
  <si>
    <t>FT K1-7245 205R</t>
    <phoneticPr fontId="6" type="noConversion"/>
  </si>
  <si>
    <t>乘客双人右靠背侧加强板</t>
    <phoneticPr fontId="6" type="noConversion"/>
  </si>
  <si>
    <t>落料冲孔</t>
  </si>
  <si>
    <t>FT K1-7245 206</t>
    <phoneticPr fontId="6" type="noConversion"/>
  </si>
  <si>
    <t>乘客双人右靠背支撑管</t>
    <phoneticPr fontId="6" type="noConversion"/>
  </si>
  <si>
    <t>FT K1-7245 207</t>
  </si>
  <si>
    <t>FT K1-7245 208</t>
  </si>
  <si>
    <t>靠背骨架螺栓安装轴套</t>
    <phoneticPr fontId="6" type="noConversion"/>
  </si>
  <si>
    <t>机加工</t>
    <phoneticPr fontId="6" type="noConversion"/>
  </si>
  <si>
    <t>外购</t>
    <phoneticPr fontId="6" type="noConversion"/>
  </si>
  <si>
    <t>自制/外购</t>
    <phoneticPr fontId="6" type="noConversion"/>
  </si>
  <si>
    <t>乘客双人右卡位钢丝</t>
    <phoneticPr fontId="6" type="noConversion"/>
  </si>
  <si>
    <t>6.4米车，往返2000元/车，一车装8个工装，每个工装装210件，则每件产品运费1.19</t>
    <phoneticPr fontId="6" type="noConversion"/>
  </si>
  <si>
    <t>FT K1-7415 001L</t>
    <phoneticPr fontId="6" type="noConversion"/>
  </si>
  <si>
    <t>中间连接板左</t>
    <phoneticPr fontId="6" type="noConversion"/>
  </si>
  <si>
    <t>FT K1-7415 001R</t>
    <phoneticPr fontId="6" type="noConversion"/>
  </si>
  <si>
    <t>中间连接板右</t>
    <phoneticPr fontId="6" type="noConversion"/>
  </si>
  <si>
    <t>FT K1-7145 002</t>
    <phoneticPr fontId="6" type="noConversion"/>
  </si>
  <si>
    <t>泡沫支撑管</t>
    <phoneticPr fontId="6" type="noConversion"/>
  </si>
  <si>
    <t>FT K1-7145 003R</t>
    <phoneticPr fontId="6" type="noConversion"/>
  </si>
  <si>
    <t>右侧连接板</t>
    <phoneticPr fontId="6" type="noConversion"/>
  </si>
  <si>
    <t>FT K1-7145 004R</t>
  </si>
  <si>
    <t>右侧下支撑板</t>
    <phoneticPr fontId="6" type="noConversion"/>
  </si>
  <si>
    <t>FT K1-7145 005R</t>
  </si>
  <si>
    <t>右侧上支撑板</t>
    <phoneticPr fontId="6" type="noConversion"/>
  </si>
  <si>
    <t>侧臂管</t>
    <phoneticPr fontId="6" type="noConversion"/>
  </si>
  <si>
    <t>FT K1-7145 007</t>
  </si>
  <si>
    <t>靠背主体管</t>
    <phoneticPr fontId="6" type="noConversion"/>
  </si>
  <si>
    <t>80T</t>
    <phoneticPr fontId="6" type="noConversion"/>
  </si>
  <si>
    <t>100T</t>
    <phoneticPr fontId="6" type="noConversion"/>
  </si>
  <si>
    <t>下料</t>
    <phoneticPr fontId="6" type="noConversion"/>
  </si>
  <si>
    <t>折弯</t>
    <phoneticPr fontId="6" type="noConversion"/>
  </si>
  <si>
    <t>FT K1-7145 009</t>
    <phoneticPr fontId="6" type="noConversion"/>
  </si>
  <si>
    <t>中间纵向支撑管</t>
    <phoneticPr fontId="6" type="noConversion"/>
  </si>
  <si>
    <t>方管</t>
    <phoneticPr fontId="6" type="noConversion"/>
  </si>
  <si>
    <t>FT K1-7415 012</t>
    <phoneticPr fontId="6" type="noConversion"/>
  </si>
  <si>
    <t>靠背横向支撑管</t>
    <phoneticPr fontId="6" type="noConversion"/>
  </si>
  <si>
    <t>靠背支撑钢丝</t>
    <phoneticPr fontId="6" type="noConversion"/>
  </si>
  <si>
    <t>FT K1-7415 014</t>
    <phoneticPr fontId="6" type="noConversion"/>
  </si>
  <si>
    <t>靠背横向支撑钢丝</t>
    <phoneticPr fontId="6" type="noConversion"/>
  </si>
  <si>
    <t>FT K1-7415 013</t>
    <phoneticPr fontId="6" type="noConversion"/>
  </si>
  <si>
    <t>FT K1-7415 005L</t>
    <phoneticPr fontId="6" type="noConversion"/>
  </si>
  <si>
    <t>左侧上支撑板</t>
    <phoneticPr fontId="6" type="noConversion"/>
  </si>
  <si>
    <t>FT K1-7415 004L</t>
    <phoneticPr fontId="6" type="noConversion"/>
  </si>
  <si>
    <t>左侧下支撑板</t>
    <phoneticPr fontId="6" type="noConversion"/>
  </si>
  <si>
    <t>FT K1-7415 003L</t>
    <phoneticPr fontId="6" type="noConversion"/>
  </si>
  <si>
    <t>左侧连接板</t>
    <phoneticPr fontId="6" type="noConversion"/>
  </si>
  <si>
    <t>长mm</t>
    <phoneticPr fontId="6" type="noConversion"/>
  </si>
  <si>
    <t>宽mm</t>
    <phoneticPr fontId="6" type="noConversion"/>
  </si>
  <si>
    <t>厚mm</t>
    <phoneticPr fontId="6" type="noConversion"/>
  </si>
  <si>
    <t>净尺寸</t>
    <phoneticPr fontId="6" type="noConversion"/>
  </si>
  <si>
    <t>自制</t>
    <phoneticPr fontId="6" type="noConversion"/>
  </si>
  <si>
    <t>下料尺寸</t>
    <phoneticPr fontId="6" type="noConversion"/>
  </si>
  <si>
    <t>包工包料算入材料费</t>
    <phoneticPr fontId="6" type="noConversion"/>
  </si>
  <si>
    <t>整形</t>
    <phoneticPr fontId="6" type="noConversion"/>
  </si>
  <si>
    <t>冲孔</t>
    <phoneticPr fontId="6" type="noConversion"/>
  </si>
  <si>
    <t>砸窝</t>
    <phoneticPr fontId="6" type="noConversion"/>
  </si>
  <si>
    <t>成型1</t>
    <phoneticPr fontId="6" type="noConversion"/>
  </si>
  <si>
    <t>成型2</t>
    <phoneticPr fontId="6" type="noConversion"/>
  </si>
  <si>
    <t>315T</t>
    <phoneticPr fontId="6" type="noConversion"/>
  </si>
  <si>
    <t>断料+铰孔</t>
    <phoneticPr fontId="6" type="noConversion"/>
  </si>
  <si>
    <t>FT K1-7145 006代号错</t>
    <phoneticPr fontId="6" type="noConversion"/>
  </si>
  <si>
    <t>拍扁</t>
    <phoneticPr fontId="6" type="noConversion"/>
  </si>
  <si>
    <t>切豁口</t>
    <phoneticPr fontId="6" type="noConversion"/>
  </si>
  <si>
    <t>6.4米车，往返2000元/车，一车装8个工装，每个工装装35件，则每件产品运费7.14</t>
    <phoneticPr fontId="6" type="noConversion"/>
  </si>
  <si>
    <t>乘客双人右靠背骨架总成
FTK1-7245 200
（图纸或QAD号有问题，从协议中对应的名称来看是来安全盒的，图纸中没有）</t>
    <phoneticPr fontId="6" type="noConversion"/>
  </si>
  <si>
    <t>SLT0000449/SLT0000462</t>
    <phoneticPr fontId="6" type="noConversion"/>
  </si>
  <si>
    <t>四人连体左靠背骨架总成
FT K1-7415 000/K1四人连体右（三点式）
对称</t>
    <phoneticPr fontId="6" type="noConversion"/>
  </si>
  <si>
    <t>场地</t>
  </si>
  <si>
    <r>
      <rPr>
        <sz val="11"/>
        <color theme="1"/>
        <rFont val="宋体"/>
        <family val="3"/>
        <charset val="134"/>
        <scheme val="minor"/>
      </rPr>
      <t xml:space="preserve">产品净重量
</t>
    </r>
    <r>
      <rPr>
        <sz val="11"/>
        <color theme="1"/>
        <rFont val="SimSun"/>
        <charset val="134"/>
      </rPr>
      <t>㎏</t>
    </r>
  </si>
  <si>
    <r>
      <rPr>
        <sz val="11"/>
        <color theme="1"/>
        <rFont val="宋体"/>
        <family val="3"/>
        <charset val="134"/>
        <scheme val="minor"/>
      </rPr>
      <t>含3</t>
    </r>
    <r>
      <rPr>
        <sz val="11"/>
        <color theme="1"/>
        <rFont val="SimSun"/>
        <charset val="134"/>
      </rPr>
      <t>％</t>
    </r>
    <r>
      <rPr>
        <sz val="11"/>
        <color theme="1"/>
        <rFont val="宋体"/>
        <family val="3"/>
        <charset val="134"/>
        <scheme val="minor"/>
      </rPr>
      <t>利</t>
    </r>
  </si>
  <si>
    <r>
      <rPr>
        <sz val="11"/>
        <color theme="1"/>
        <rFont val="宋体"/>
        <family val="3"/>
        <charset val="134"/>
        <scheme val="minor"/>
      </rPr>
      <t>运费差价
3</t>
    </r>
    <r>
      <rPr>
        <sz val="11"/>
        <color theme="1"/>
        <rFont val="宋体"/>
        <family val="3"/>
        <charset val="134"/>
      </rPr>
      <t>％</t>
    </r>
  </si>
  <si>
    <t>转潍坊本年产品
价格</t>
  </si>
  <si>
    <t>涨幅</t>
  </si>
  <si>
    <t>备注</t>
  </si>
  <si>
    <t>2022年用量(1-10月)</t>
    <phoneticPr fontId="6" type="noConversion"/>
  </si>
  <si>
    <t>涨幅金额</t>
    <phoneticPr fontId="6" type="noConversion"/>
  </si>
  <si>
    <t>平均每月用量</t>
    <phoneticPr fontId="6" type="noConversion"/>
  </si>
  <si>
    <t>潍坊</t>
  </si>
  <si>
    <t>K1单人背（带头枕）</t>
  </si>
  <si>
    <t>K1单人背（无头枕）</t>
  </si>
  <si>
    <t>双人右背（安全盒）</t>
  </si>
  <si>
    <t>双人右置左背</t>
  </si>
  <si>
    <t>新侧翻（三点式）</t>
  </si>
  <si>
    <t>新侧翻单头枕（三点式）</t>
  </si>
  <si>
    <t>第四排侧翻背（无头枕）</t>
  </si>
  <si>
    <t>四人连体左背（三点式）</t>
  </si>
  <si>
    <t>四人连体右背（三点式）</t>
  </si>
  <si>
    <t>四人连体左背（无头枕）</t>
  </si>
  <si>
    <t>四人连体右背（无头枕）</t>
  </si>
  <si>
    <t>马来西亚双人左背</t>
  </si>
  <si>
    <t>马来西亚双人右背</t>
  </si>
  <si>
    <t>22年河北价格</t>
  </si>
  <si>
    <t>22年河北价格</t>
    <phoneticPr fontId="6" type="noConversion"/>
  </si>
  <si>
    <t>(光华荣昌核算)黄骅转潍坊产品核算（未税）</t>
    <phoneticPr fontId="6" type="noConversion"/>
  </si>
  <si>
    <t>（恒伟公司核算后）黄骅转潍坊产品核算（未税）</t>
    <phoneticPr fontId="6" type="noConversion"/>
  </si>
  <si>
    <t>SLT0000264潍坊转移无此件，河北此号是钢丝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</si>
</sst>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00_ "/>
    <numFmt numFmtId="177" formatCode="0.00_ "/>
    <numFmt numFmtId="178" formatCode="0.000"/>
    <numFmt numFmtId="179" formatCode="0.000_ "/>
    <numFmt numFmtId="180" formatCode="0.00_);[Red]\(0.00\)"/>
    <numFmt numFmtId="181" formatCode="0.0"/>
    <numFmt numFmtId="182" formatCode="0.0000"/>
    <numFmt numFmtId="183" formatCode="#,##0.000_ "/>
  </numFmts>
  <fonts count="16">
    <font>
      <sz val="11"/>
      <color theme="1"/>
      <name val="宋体"/>
      <charset val="134"/>
      <scheme val="minor"/>
    </font>
    <font>
      <sz val="2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SimSun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4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0" fontId="2" fillId="0" borderId="1" xfId="1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0" fontId="2" fillId="0" borderId="1" xfId="1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10" fillId="5" borderId="0" xfId="0" applyFont="1" applyFill="1">
      <alignment vertical="center"/>
    </xf>
    <xf numFmtId="0" fontId="10" fillId="5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2">
      <alignment vertical="center"/>
    </xf>
    <xf numFmtId="177" fontId="3" fillId="0" borderId="6" xfId="2" applyNumberFormat="1" applyBorder="1" applyAlignment="1">
      <alignment horizontal="center" vertical="center"/>
    </xf>
    <xf numFmtId="177" fontId="3" fillId="0" borderId="1" xfId="2" applyNumberFormat="1" applyBorder="1" applyAlignment="1">
      <alignment horizontal="center" vertical="center"/>
    </xf>
    <xf numFmtId="179" fontId="3" fillId="0" borderId="1" xfId="2" applyNumberFormat="1" applyBorder="1" applyAlignment="1">
      <alignment horizontal="center" vertical="center"/>
    </xf>
    <xf numFmtId="0" fontId="3" fillId="0" borderId="1" xfId="2" applyBorder="1" applyAlignment="1">
      <alignment horizontal="center" vertical="center" shrinkToFit="1"/>
    </xf>
    <xf numFmtId="0" fontId="3" fillId="0" borderId="1" xfId="2" applyBorder="1" applyAlignment="1">
      <alignment horizontal="center" vertical="center"/>
    </xf>
    <xf numFmtId="177" fontId="3" fillId="0" borderId="1" xfId="2" applyNumberFormat="1" applyBorder="1" applyAlignment="1">
      <alignment horizontal="center" vertical="center" shrinkToFit="1"/>
    </xf>
    <xf numFmtId="0" fontId="3" fillId="0" borderId="1" xfId="2" applyBorder="1">
      <alignment vertical="center"/>
    </xf>
    <xf numFmtId="177" fontId="3" fillId="0" borderId="1" xfId="2" applyNumberFormat="1" applyBorder="1">
      <alignment vertical="center"/>
    </xf>
    <xf numFmtId="0" fontId="3" fillId="0" borderId="0" xfId="2" applyAlignment="1">
      <alignment horizontal="center" vertical="center"/>
    </xf>
    <xf numFmtId="0" fontId="3" fillId="3" borderId="0" xfId="2" applyFill="1">
      <alignment vertical="center"/>
    </xf>
    <xf numFmtId="0" fontId="3" fillId="0" borderId="1" xfId="2" applyBorder="1" applyAlignment="1">
      <alignment horizontal="center" vertical="center" wrapText="1"/>
    </xf>
    <xf numFmtId="0" fontId="3" fillId="0" borderId="1" xfId="2" applyFill="1" applyBorder="1" applyAlignment="1">
      <alignment horizontal="center" vertical="center"/>
    </xf>
    <xf numFmtId="0" fontId="3" fillId="0" borderId="1" xfId="2" applyFill="1" applyBorder="1" applyAlignment="1">
      <alignment vertical="center"/>
    </xf>
    <xf numFmtId="177" fontId="3" fillId="0" borderId="1" xfId="2" applyNumberFormat="1" applyFill="1" applyBorder="1" applyAlignment="1">
      <alignment vertical="center"/>
    </xf>
    <xf numFmtId="179" fontId="3" fillId="0" borderId="1" xfId="2" applyNumberFormat="1" applyFill="1" applyBorder="1" applyAlignment="1">
      <alignment vertical="center"/>
    </xf>
    <xf numFmtId="177" fontId="12" fillId="0" borderId="0" xfId="2" applyNumberFormat="1" applyFont="1" applyAlignment="1">
      <alignment horizontal="center" vertical="center"/>
    </xf>
    <xf numFmtId="0" fontId="3" fillId="0" borderId="1" xfId="2" applyBorder="1" applyAlignment="1">
      <alignment horizontal="center" vertical="center" wrapText="1"/>
    </xf>
    <xf numFmtId="0" fontId="3" fillId="0" borderId="1" xfId="2" applyBorder="1" applyAlignment="1">
      <alignment horizontal="center" vertical="center"/>
    </xf>
    <xf numFmtId="0" fontId="3" fillId="6" borderId="9" xfId="2" applyFill="1" applyBorder="1" applyAlignment="1">
      <alignment horizontal="center" vertical="center" wrapText="1"/>
    </xf>
    <xf numFmtId="0" fontId="3" fillId="6" borderId="9" xfId="2" applyFill="1" applyBorder="1">
      <alignment vertical="center"/>
    </xf>
    <xf numFmtId="0" fontId="3" fillId="6" borderId="9" xfId="2" applyFill="1" applyBorder="1" applyAlignment="1">
      <alignment horizontal="center" vertical="center"/>
    </xf>
    <xf numFmtId="177" fontId="3" fillId="6" borderId="9" xfId="2" applyNumberFormat="1" applyFill="1" applyBorder="1">
      <alignment vertical="center"/>
    </xf>
    <xf numFmtId="179" fontId="3" fillId="6" borderId="9" xfId="2" applyNumberFormat="1" applyFill="1" applyBorder="1" applyAlignment="1">
      <alignment horizontal="center" vertical="center"/>
    </xf>
    <xf numFmtId="179" fontId="3" fillId="6" borderId="9" xfId="2" applyNumberFormat="1" applyFill="1" applyBorder="1">
      <alignment vertical="center"/>
    </xf>
    <xf numFmtId="177" fontId="3" fillId="6" borderId="1" xfId="2" applyNumberFormat="1" applyFill="1" applyBorder="1" applyAlignment="1">
      <alignment horizontal="center" vertical="center"/>
    </xf>
    <xf numFmtId="0" fontId="3" fillId="6" borderId="0" xfId="2" applyFill="1">
      <alignment vertical="center"/>
    </xf>
    <xf numFmtId="177" fontId="3" fillId="3" borderId="1" xfId="2" applyNumberFormat="1" applyFill="1" applyBorder="1">
      <alignment vertical="center"/>
    </xf>
    <xf numFmtId="0" fontId="3" fillId="0" borderId="10" xfId="2" applyBorder="1" applyAlignment="1">
      <alignment vertical="center"/>
    </xf>
    <xf numFmtId="0" fontId="3" fillId="3" borderId="1" xfId="2" applyFill="1" applyBorder="1" applyAlignment="1">
      <alignment horizontal="center" vertical="center" wrapText="1"/>
    </xf>
    <xf numFmtId="0" fontId="3" fillId="3" borderId="1" xfId="2" applyFill="1" applyBorder="1">
      <alignment vertical="center"/>
    </xf>
    <xf numFmtId="0" fontId="3" fillId="3" borderId="1" xfId="2" applyFill="1" applyBorder="1" applyAlignment="1">
      <alignment horizontal="center" vertical="center"/>
    </xf>
    <xf numFmtId="0" fontId="3" fillId="3" borderId="1" xfId="2" applyFill="1" applyBorder="1" applyAlignment="1">
      <alignment horizontal="left" vertical="center"/>
    </xf>
    <xf numFmtId="176" fontId="9" fillId="3" borderId="1" xfId="3" applyNumberFormat="1" applyFont="1" applyFill="1" applyBorder="1" applyAlignment="1">
      <alignment horizontal="center" vertical="center"/>
    </xf>
    <xf numFmtId="179" fontId="3" fillId="3" borderId="1" xfId="2" applyNumberFormat="1" applyFill="1" applyBorder="1" applyAlignment="1">
      <alignment horizontal="center" vertical="center"/>
    </xf>
    <xf numFmtId="177" fontId="3" fillId="3" borderId="1" xfId="2" applyNumberFormat="1" applyFill="1" applyBorder="1" applyAlignment="1">
      <alignment horizontal="center" vertical="center"/>
    </xf>
    <xf numFmtId="179" fontId="3" fillId="3" borderId="1" xfId="2" applyNumberFormat="1" applyFill="1" applyBorder="1">
      <alignment vertical="center"/>
    </xf>
    <xf numFmtId="0" fontId="13" fillId="3" borderId="1" xfId="2" applyFont="1" applyFill="1" applyBorder="1" applyAlignment="1">
      <alignment vertical="center"/>
    </xf>
    <xf numFmtId="0" fontId="13" fillId="3" borderId="1" xfId="2" applyFont="1" applyFill="1" applyBorder="1" applyAlignment="1">
      <alignment horizontal="center" vertical="center"/>
    </xf>
    <xf numFmtId="0" fontId="3" fillId="3" borderId="1" xfId="2" applyFill="1" applyBorder="1" applyAlignment="1">
      <alignment vertical="center"/>
    </xf>
    <xf numFmtId="177" fontId="3" fillId="3" borderId="1" xfId="2" applyNumberFormat="1" applyFill="1" applyBorder="1" applyAlignment="1">
      <alignment vertical="center"/>
    </xf>
    <xf numFmtId="179" fontId="3" fillId="3" borderId="1" xfId="2" applyNumberFormat="1" applyFill="1" applyBorder="1" applyAlignment="1">
      <alignment vertical="center"/>
    </xf>
    <xf numFmtId="180" fontId="3" fillId="3" borderId="1" xfId="2" applyNumberFormat="1" applyFill="1" applyBorder="1" applyAlignment="1">
      <alignment vertical="center"/>
    </xf>
    <xf numFmtId="180" fontId="13" fillId="3" borderId="1" xfId="2" applyNumberFormat="1" applyFont="1" applyFill="1" applyBorder="1" applyAlignment="1">
      <alignment vertical="center"/>
    </xf>
    <xf numFmtId="0" fontId="3" fillId="3" borderId="2" xfId="2" applyFill="1" applyBorder="1" applyAlignment="1">
      <alignment horizontal="center" vertical="center" wrapText="1"/>
    </xf>
    <xf numFmtId="181" fontId="3" fillId="3" borderId="1" xfId="2" applyNumberFormat="1" applyFill="1" applyBorder="1" applyAlignment="1">
      <alignment horizontal="left" vertical="center"/>
    </xf>
    <xf numFmtId="182" fontId="3" fillId="3" borderId="1" xfId="2" applyNumberForma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177" fontId="3" fillId="0" borderId="1" xfId="2" applyNumberFormat="1" applyBorder="1" applyAlignment="1">
      <alignment horizontal="center" vertical="center"/>
    </xf>
    <xf numFmtId="180" fontId="3" fillId="0" borderId="2" xfId="1" applyNumberFormat="1" applyFont="1" applyBorder="1" applyAlignment="1">
      <alignment horizontal="center" vertical="center" wrapText="1"/>
    </xf>
    <xf numFmtId="180" fontId="3" fillId="0" borderId="4" xfId="1" applyNumberFormat="1" applyFont="1" applyBorder="1" applyAlignment="1">
      <alignment horizontal="center" vertical="center" wrapText="1"/>
    </xf>
    <xf numFmtId="177" fontId="3" fillId="0" borderId="10" xfId="2" applyNumberFormat="1" applyBorder="1" applyAlignment="1">
      <alignment horizontal="center" vertical="center"/>
    </xf>
    <xf numFmtId="177" fontId="3" fillId="0" borderId="3" xfId="2" applyNumberFormat="1" applyBorder="1" applyAlignment="1">
      <alignment horizontal="center" vertical="center"/>
    </xf>
    <xf numFmtId="9" fontId="3" fillId="0" borderId="2" xfId="1" applyFont="1" applyBorder="1" applyAlignment="1">
      <alignment horizontal="center" vertical="center"/>
    </xf>
    <xf numFmtId="9" fontId="3" fillId="0" borderId="4" xfId="1" applyFont="1" applyBorder="1" applyAlignment="1">
      <alignment horizontal="center" vertical="center"/>
    </xf>
    <xf numFmtId="0" fontId="3" fillId="0" borderId="10" xfId="2" applyBorder="1" applyAlignment="1">
      <alignment horizontal="center" vertical="center" wrapText="1"/>
    </xf>
    <xf numFmtId="0" fontId="3" fillId="0" borderId="3" xfId="2" applyBorder="1" applyAlignment="1">
      <alignment horizontal="center" vertical="center" wrapText="1"/>
    </xf>
    <xf numFmtId="0" fontId="3" fillId="0" borderId="10" xfId="2" applyBorder="1" applyAlignment="1">
      <alignment horizontal="center" vertical="center" shrinkToFit="1"/>
    </xf>
    <xf numFmtId="0" fontId="3" fillId="0" borderId="3" xfId="2" applyBorder="1" applyAlignment="1">
      <alignment horizontal="center" vertical="center" shrinkToFit="1"/>
    </xf>
    <xf numFmtId="0" fontId="3" fillId="0" borderId="6" xfId="2" applyBorder="1" applyAlignment="1">
      <alignment horizontal="center" vertical="center"/>
    </xf>
    <xf numFmtId="177" fontId="3" fillId="0" borderId="6" xfId="2" applyNumberFormat="1" applyBorder="1" applyAlignment="1">
      <alignment horizontal="center" vertical="center"/>
    </xf>
    <xf numFmtId="0" fontId="3" fillId="0" borderId="11" xfId="2" applyBorder="1" applyAlignment="1">
      <alignment horizontal="center" vertical="center"/>
    </xf>
    <xf numFmtId="0" fontId="3" fillId="0" borderId="12" xfId="2" applyBorder="1" applyAlignment="1">
      <alignment horizontal="center" vertical="center"/>
    </xf>
    <xf numFmtId="0" fontId="3" fillId="0" borderId="13" xfId="2" applyBorder="1" applyAlignment="1">
      <alignment horizontal="center" vertical="center"/>
    </xf>
    <xf numFmtId="0" fontId="3" fillId="0" borderId="7" xfId="2" applyBorder="1" applyAlignment="1">
      <alignment horizontal="center" vertical="center" wrapText="1"/>
    </xf>
    <xf numFmtId="0" fontId="3" fillId="0" borderId="8" xfId="2" applyBorder="1" applyAlignment="1">
      <alignment horizontal="center" vertical="center" wrapText="1"/>
    </xf>
    <xf numFmtId="0" fontId="3" fillId="7" borderId="1" xfId="2" applyFill="1" applyBorder="1" applyAlignment="1">
      <alignment horizontal="center" vertical="center" wrapText="1"/>
    </xf>
    <xf numFmtId="0" fontId="3" fillId="7" borderId="9" xfId="2" applyFill="1" applyBorder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177" fontId="12" fillId="0" borderId="0" xfId="2" applyNumberFormat="1" applyFont="1">
      <alignment vertical="center"/>
    </xf>
    <xf numFmtId="179" fontId="12" fillId="0" borderId="0" xfId="2" applyNumberFormat="1" applyFont="1" applyAlignment="1">
      <alignment horizontal="center" vertical="center"/>
    </xf>
    <xf numFmtId="179" fontId="12" fillId="0" borderId="0" xfId="2" applyNumberFormat="1" applyFont="1">
      <alignment vertical="center"/>
    </xf>
    <xf numFmtId="177" fontId="12" fillId="0" borderId="0" xfId="2" applyNumberFormat="1" applyFont="1" applyAlignment="1">
      <alignment horizontal="center" vertical="center"/>
    </xf>
    <xf numFmtId="0" fontId="3" fillId="0" borderId="5" xfId="2" applyBorder="1" applyAlignment="1">
      <alignment horizontal="center" vertical="center" wrapText="1"/>
    </xf>
    <xf numFmtId="0" fontId="3" fillId="0" borderId="6" xfId="2" applyBorder="1" applyAlignment="1">
      <alignment horizontal="center" vertical="center" wrapText="1"/>
    </xf>
    <xf numFmtId="0" fontId="3" fillId="0" borderId="1" xfId="2" applyBorder="1" applyAlignment="1">
      <alignment horizontal="center" vertical="center" wrapText="1"/>
    </xf>
    <xf numFmtId="0" fontId="3" fillId="0" borderId="6" xfId="2" applyBorder="1" applyAlignment="1">
      <alignment horizontal="center" vertical="center" shrinkToFit="1"/>
    </xf>
    <xf numFmtId="0" fontId="3" fillId="0" borderId="1" xfId="2" applyBorder="1" applyAlignment="1">
      <alignment horizontal="center" vertical="center" shrinkToFit="1"/>
    </xf>
    <xf numFmtId="0" fontId="3" fillId="0" borderId="1" xfId="2" applyBorder="1" applyAlignment="1">
      <alignment horizontal="center" vertical="center"/>
    </xf>
    <xf numFmtId="177" fontId="3" fillId="0" borderId="6" xfId="2" applyNumberFormat="1" applyBorder="1">
      <alignment vertical="center"/>
    </xf>
    <xf numFmtId="179" fontId="3" fillId="0" borderId="6" xfId="2" applyNumberFormat="1" applyBorder="1" applyAlignment="1">
      <alignment horizontal="center" vertical="center"/>
    </xf>
    <xf numFmtId="179" fontId="3" fillId="0" borderId="6" xfId="2" applyNumberFormat="1" applyBorder="1">
      <alignment vertical="center"/>
    </xf>
    <xf numFmtId="0" fontId="3" fillId="8" borderId="1" xfId="2" applyFill="1" applyBorder="1" applyAlignment="1">
      <alignment horizontal="center" vertical="center" wrapText="1"/>
    </xf>
    <xf numFmtId="0" fontId="3" fillId="8" borderId="9" xfId="2" applyFill="1" applyBorder="1" applyAlignment="1">
      <alignment horizontal="center" vertical="center" wrapText="1"/>
    </xf>
    <xf numFmtId="0" fontId="3" fillId="9" borderId="14" xfId="2" applyFill="1" applyBorder="1" applyAlignment="1">
      <alignment horizontal="center" vertical="center" shrinkToFit="1"/>
    </xf>
    <xf numFmtId="0" fontId="3" fillId="9" borderId="15" xfId="2" applyFill="1" applyBorder="1" applyAlignment="1">
      <alignment horizontal="center" vertical="center" shrinkToFit="1"/>
    </xf>
    <xf numFmtId="0" fontId="3" fillId="9" borderId="16" xfId="2" applyFill="1" applyBorder="1" applyAlignment="1">
      <alignment horizontal="center" vertical="center" shrinkToFit="1"/>
    </xf>
    <xf numFmtId="0" fontId="3" fillId="9" borderId="1" xfId="2" applyFill="1" applyBorder="1" applyAlignment="1">
      <alignment horizontal="center" vertical="center"/>
    </xf>
    <xf numFmtId="0" fontId="3" fillId="9" borderId="10" xfId="2" applyFill="1" applyBorder="1" applyAlignment="1">
      <alignment horizontal="center" vertical="center"/>
    </xf>
    <xf numFmtId="0" fontId="3" fillId="9" borderId="9" xfId="2" applyFill="1" applyBorder="1" applyAlignment="1">
      <alignment horizontal="center" vertical="center"/>
    </xf>
    <xf numFmtId="181" fontId="3" fillId="9" borderId="1" xfId="2" applyNumberFormat="1" applyFill="1" applyBorder="1" applyAlignment="1">
      <alignment horizontal="center" vertical="center"/>
    </xf>
    <xf numFmtId="0" fontId="3" fillId="9" borderId="0" xfId="2" applyFill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10" borderId="1" xfId="0" applyFont="1" applyFill="1" applyBorder="1" applyAlignment="1">
      <alignment horizontal="center" vertical="center"/>
    </xf>
    <xf numFmtId="18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182" fontId="0" fillId="0" borderId="0" xfId="0" applyNumberFormat="1" applyAlignment="1">
      <alignment horizontal="left" vertical="center"/>
    </xf>
    <xf numFmtId="2" fontId="0" fillId="0" borderId="1" xfId="0" applyNumberFormat="1" applyBorder="1">
      <alignment vertical="center"/>
    </xf>
    <xf numFmtId="2" fontId="0" fillId="0" borderId="0" xfId="0" applyNumberFormat="1">
      <alignment vertical="center"/>
    </xf>
    <xf numFmtId="2" fontId="0" fillId="0" borderId="1" xfId="0" applyNumberForma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0" fontId="0" fillId="6" borderId="1" xfId="0" applyFill="1" applyBorder="1" applyAlignment="1">
      <alignment horizontal="center" vertical="center" wrapText="1"/>
    </xf>
    <xf numFmtId="176" fontId="2" fillId="6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2" fontId="0" fillId="0" borderId="1" xfId="0" applyNumberFormat="1" applyFill="1" applyBorder="1">
      <alignment vertical="center"/>
    </xf>
    <xf numFmtId="0" fontId="0" fillId="0" borderId="0" xfId="0" applyFill="1">
      <alignment vertical="center"/>
    </xf>
    <xf numFmtId="183" fontId="2" fillId="0" borderId="1" xfId="0" applyNumberFormat="1" applyFont="1" applyFill="1" applyBorder="1" applyAlignment="1">
      <alignment horizontal="center" vertical="center"/>
    </xf>
  </cellXfs>
  <cellStyles count="4">
    <cellStyle name="百分比" xfId="1" builtinId="5"/>
    <cellStyle name="常规" xfId="0" builtinId="0"/>
    <cellStyle name="常规 2" xfId="2" xr:uid="{3AB57DC4-2C87-4545-B0C5-60005BD70BDF}"/>
    <cellStyle name="常规 3" xfId="3" xr:uid="{2D0DD827-033F-4C96-A18E-0BAE9B02B7E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1556;&#33521;&#26684;\Documents\WeChat%20Files\wxid_4b7qpxb3wdz322\FileStorage\File\2021-12\&#38752;&#32972;&#39592;&#26550;&#25104;&#26412;2021.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1512;&#21516;&#36164;&#26009;/&#20215;&#26684;&#21327;&#35758;-&#26032;/2021&#24180;&#20215;&#26684;&#21327;&#35758;/&#21378;&#23478;&#20998;&#24320;&#21327;&#35758;/&#24658;&#20255;&#20116;&#3732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037;&#20316;&#36164;&#26009;\&#27827;&#21271;&#20809;&#21326;&#33635;&#26124;&#37319;&#36141;&#24037;&#20316;\&#21512;&#21516;&#36164;&#26009;\&#20215;&#26684;&#21327;&#35758;-&#26032;\2021&#24180;&#20215;&#26684;&#21327;&#35758;\&#21378;&#23478;&#20998;&#24320;&#21327;&#35758;\&#24658;&#20255;&#20116;&#3732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1512;&#21516;&#36164;&#26009;/&#20215;&#26684;&#21327;&#35758;/2022&#24180;&#20215;&#26684;&#21327;&#35758;/&#30005;&#23376;&#29256;/&#24658;&#20255;&#20116;&#37329;-2022.1.12&#26356;&#2603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4座框"/>
      <sheetName val="改型正背"/>
      <sheetName val="改型副背"/>
      <sheetName val="新SQZ副背骨架"/>
      <sheetName val="重卡豪华司机背"/>
      <sheetName val="重卡右舵豪华背"/>
      <sheetName val="H3豪华司机背"/>
      <sheetName val="奥铃副背"/>
      <sheetName val="欧马可副背"/>
      <sheetName val="欧马可司机背"/>
      <sheetName val="K1单人背（带头枕）"/>
      <sheetName val="K1单人背（无头枕）"/>
      <sheetName val="K1双人左背"/>
      <sheetName val="K1双人右背（安全盒）"/>
      <sheetName val="K1双人右置左背"/>
      <sheetName val="K1新侧翻（三点式）"/>
      <sheetName val="K1侧翻单头枕（三点式）"/>
      <sheetName val="K1第四排侧翻（无头枕）"/>
      <sheetName val="K1四人连体左右背（三点式）"/>
      <sheetName val="二排双人连体背（无头枕带扶手）"/>
      <sheetName val="四人连体（无头枕）"/>
      <sheetName val="K1二排双人连体背（带头枕扶手）"/>
      <sheetName val="K1一排四人三人背"/>
      <sheetName val="K1一排三人背"/>
      <sheetName val="马来西亚左背"/>
      <sheetName val="K1第三排侧翻背（单头枕）"/>
      <sheetName val="内外交架"/>
      <sheetName val="河北荣昌综合表"/>
      <sheetName val="潍坊荣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5">
          <cell r="C5" t="str">
            <v>SHT0000544</v>
          </cell>
          <cell r="D5" t="str">
            <v>H4座框</v>
          </cell>
          <cell r="E5">
            <v>21.007000000000001</v>
          </cell>
          <cell r="F5">
            <v>19.309999999999999</v>
          </cell>
          <cell r="G5">
            <v>1.6970000000000001</v>
          </cell>
          <cell r="H5">
            <v>8.0782596277431507E-2</v>
          </cell>
          <cell r="K5">
            <v>23.75</v>
          </cell>
          <cell r="L5">
            <v>4.4400000000000004</v>
          </cell>
          <cell r="N5">
            <v>0.229932677369239</v>
          </cell>
          <cell r="O5">
            <v>26.5</v>
          </cell>
        </row>
        <row r="6">
          <cell r="C6" t="str">
            <v>材料</v>
          </cell>
          <cell r="F6">
            <v>9.8000000000000007</v>
          </cell>
          <cell r="K6">
            <v>14.23</v>
          </cell>
          <cell r="L6">
            <v>4.43</v>
          </cell>
          <cell r="M6">
            <v>0.21088208692340599</v>
          </cell>
        </row>
        <row r="7">
          <cell r="C7" t="str">
            <v>SHT0000591</v>
          </cell>
          <cell r="D7" t="str">
            <v>H3改型司机背</v>
          </cell>
          <cell r="E7">
            <v>36.825000000000003</v>
          </cell>
          <cell r="F7">
            <v>34.520000000000003</v>
          </cell>
          <cell r="G7">
            <v>2.3050000000000002</v>
          </cell>
          <cell r="H7">
            <v>6.25933469110658E-2</v>
          </cell>
          <cell r="K7">
            <v>43.02</v>
          </cell>
          <cell r="L7">
            <v>8.5</v>
          </cell>
          <cell r="N7">
            <v>0.23082145281737901</v>
          </cell>
          <cell r="O7">
            <v>47.8</v>
          </cell>
        </row>
        <row r="8">
          <cell r="C8" t="str">
            <v>材料</v>
          </cell>
          <cell r="F8">
            <v>22.66</v>
          </cell>
          <cell r="K8">
            <v>31.15</v>
          </cell>
          <cell r="L8">
            <v>8.49</v>
          </cell>
          <cell r="M8">
            <v>0.230549898167006</v>
          </cell>
        </row>
        <row r="9">
          <cell r="C9" t="str">
            <v>SHT0000577</v>
          </cell>
          <cell r="D9" t="str">
            <v>H3改型副司机背</v>
          </cell>
          <cell r="E9">
            <v>37.576599999999999</v>
          </cell>
          <cell r="F9">
            <v>35.32</v>
          </cell>
          <cell r="G9">
            <v>2.2566000000000002</v>
          </cell>
          <cell r="H9">
            <v>6.0053331062416497E-2</v>
          </cell>
          <cell r="K9">
            <v>44.38</v>
          </cell>
          <cell r="L9">
            <v>9.06</v>
          </cell>
          <cell r="N9">
            <v>0.25651189127972801</v>
          </cell>
          <cell r="O9">
            <v>49.8</v>
          </cell>
        </row>
        <row r="10">
          <cell r="C10" t="str">
            <v>材料</v>
          </cell>
          <cell r="F10">
            <v>23.36</v>
          </cell>
          <cell r="K10">
            <v>32.42</v>
          </cell>
          <cell r="L10">
            <v>9.06</v>
          </cell>
          <cell r="M10">
            <v>0.25651189127972801</v>
          </cell>
        </row>
        <row r="11">
          <cell r="C11" t="str">
            <v>SHT0000414</v>
          </cell>
          <cell r="D11" t="str">
            <v>新SQZ副背</v>
          </cell>
          <cell r="E11">
            <v>25.1877</v>
          </cell>
          <cell r="F11">
            <v>27.75</v>
          </cell>
          <cell r="I11">
            <v>2.5623</v>
          </cell>
          <cell r="J11">
            <v>0.101728224490525</v>
          </cell>
          <cell r="K11">
            <v>35.340000000000003</v>
          </cell>
          <cell r="L11">
            <v>7.59</v>
          </cell>
          <cell r="N11">
            <v>0.27351351351351399</v>
          </cell>
          <cell r="O11">
            <v>40</v>
          </cell>
        </row>
        <row r="12">
          <cell r="C12" t="str">
            <v>材料</v>
          </cell>
          <cell r="F12">
            <v>18.63</v>
          </cell>
          <cell r="K12">
            <v>26.62</v>
          </cell>
          <cell r="L12">
            <v>7.99</v>
          </cell>
          <cell r="M12">
            <v>0.28792792792792798</v>
          </cell>
        </row>
        <row r="13">
          <cell r="C13" t="str">
            <v>SHT0000556/SHT0000675</v>
          </cell>
          <cell r="D13" t="str">
            <v>重卡豪华司机背</v>
          </cell>
          <cell r="E13">
            <v>36.973599999999998</v>
          </cell>
          <cell r="F13">
            <v>33.93</v>
          </cell>
          <cell r="G13">
            <v>3.0436000000000001</v>
          </cell>
          <cell r="H13">
            <v>8.2318194603717199E-2</v>
          </cell>
          <cell r="K13">
            <v>41.24</v>
          </cell>
          <cell r="L13">
            <v>7.31</v>
          </cell>
          <cell r="N13">
            <v>0.19770863535062899</v>
          </cell>
          <cell r="O13">
            <v>46</v>
          </cell>
        </row>
        <row r="14">
          <cell r="C14" t="str">
            <v>材料</v>
          </cell>
          <cell r="F14">
            <v>22.2</v>
          </cell>
          <cell r="K14">
            <v>29.51</v>
          </cell>
          <cell r="L14">
            <v>7.31</v>
          </cell>
          <cell r="M14">
            <v>0.215443560271147</v>
          </cell>
        </row>
        <row r="15">
          <cell r="C15" t="str">
            <v>SHT0000650/SHT0000668</v>
          </cell>
          <cell r="D15" t="str">
            <v>重卡右舵司机背</v>
          </cell>
          <cell r="E15">
            <v>43.256399999999999</v>
          </cell>
          <cell r="F15">
            <v>42.94</v>
          </cell>
          <cell r="G15">
            <v>0.31640000000000201</v>
          </cell>
          <cell r="H15">
            <v>7.3145245559039004E-3</v>
          </cell>
          <cell r="K15">
            <v>51.05</v>
          </cell>
          <cell r="L15">
            <v>8.11</v>
          </cell>
          <cell r="N15">
            <v>0.18886818816953899</v>
          </cell>
          <cell r="O15">
            <v>56.8</v>
          </cell>
        </row>
        <row r="16">
          <cell r="C16" t="str">
            <v>材料</v>
          </cell>
          <cell r="F16">
            <v>30.4</v>
          </cell>
          <cell r="K16">
            <v>38.5</v>
          </cell>
          <cell r="L16">
            <v>8.1</v>
          </cell>
          <cell r="M16">
            <v>0.187255527505756</v>
          </cell>
        </row>
        <row r="17">
          <cell r="C17" t="str">
            <v>SHT0000149</v>
          </cell>
          <cell r="D17" t="str">
            <v>重卡标准司机背</v>
          </cell>
          <cell r="E17">
            <v>41.742199999999997</v>
          </cell>
          <cell r="F17">
            <v>42.74</v>
          </cell>
          <cell r="I17">
            <v>0.99780000000000502</v>
          </cell>
          <cell r="J17">
            <v>2.3903867069776E-2</v>
          </cell>
          <cell r="K17">
            <v>50.85</v>
          </cell>
          <cell r="L17">
            <v>8.11</v>
          </cell>
          <cell r="N17">
            <v>0.21088208692340599</v>
          </cell>
          <cell r="O17">
            <v>56.8</v>
          </cell>
        </row>
        <row r="18">
          <cell r="C18" t="str">
            <v>材料</v>
          </cell>
          <cell r="F18">
            <v>30.4</v>
          </cell>
          <cell r="K18">
            <v>38.5</v>
          </cell>
          <cell r="L18">
            <v>8.1</v>
          </cell>
          <cell r="M18">
            <v>0.19404822936979799</v>
          </cell>
        </row>
        <row r="24">
          <cell r="D24" t="str">
            <v>合计</v>
          </cell>
          <cell r="M24">
            <v>1.58261912144477</v>
          </cell>
          <cell r="N24">
            <v>1.58823844542343</v>
          </cell>
        </row>
        <row r="25">
          <cell r="D25" t="str">
            <v>平均</v>
          </cell>
          <cell r="M25">
            <v>0.226088445920681</v>
          </cell>
          <cell r="N25">
            <v>0.226891206489062</v>
          </cell>
        </row>
        <row r="26">
          <cell r="C26" t="str">
            <v>物料编号</v>
          </cell>
          <cell r="D26" t="str">
            <v>产品名称</v>
          </cell>
          <cell r="E26" t="str">
            <v>原销价</v>
          </cell>
          <cell r="F26" t="str">
            <v>原成本</v>
          </cell>
          <cell r="G26" t="str">
            <v>利润</v>
          </cell>
          <cell r="I26" t="str">
            <v>亏损</v>
          </cell>
          <cell r="K26" t="str">
            <v>新成本</v>
          </cell>
          <cell r="L26" t="str">
            <v>涨幅金额</v>
          </cell>
          <cell r="M26" t="str">
            <v>材料涨幅率</v>
          </cell>
          <cell r="N26" t="str">
            <v>成本涨幅率</v>
          </cell>
          <cell r="O26" t="str">
            <v>申请价格</v>
          </cell>
        </row>
        <row r="27">
          <cell r="G27" t="str">
            <v>利润</v>
          </cell>
          <cell r="H27" t="str">
            <v>利润率</v>
          </cell>
          <cell r="I27" t="str">
            <v>亏损</v>
          </cell>
          <cell r="J27" t="str">
            <v>亏损率</v>
          </cell>
        </row>
        <row r="28">
          <cell r="C28" t="str">
            <v>SHT0001036</v>
          </cell>
          <cell r="D28" t="str">
            <v>H4外铰架右</v>
          </cell>
          <cell r="E28">
            <v>5.726</v>
          </cell>
          <cell r="F28">
            <v>5.0599999999999996</v>
          </cell>
          <cell r="G28">
            <v>0.66600000000000004</v>
          </cell>
          <cell r="H28">
            <v>0.11631156129933599</v>
          </cell>
          <cell r="K28">
            <v>7.28</v>
          </cell>
          <cell r="L28">
            <v>2.2200000000000002</v>
          </cell>
          <cell r="N28">
            <v>0.438735177865613</v>
          </cell>
          <cell r="O28">
            <v>7.98</v>
          </cell>
        </row>
        <row r="29">
          <cell r="C29" t="str">
            <v>材料</v>
          </cell>
          <cell r="E29">
            <v>3.96</v>
          </cell>
          <cell r="K29">
            <v>6.18</v>
          </cell>
          <cell r="L29">
            <v>2.2200000000000002</v>
          </cell>
          <cell r="M29">
            <v>0.38770520433112099</v>
          </cell>
        </row>
        <row r="30">
          <cell r="C30" t="str">
            <v>SHT0001037</v>
          </cell>
          <cell r="D30" t="str">
            <v>H4外铰架左</v>
          </cell>
          <cell r="E30">
            <v>5.726</v>
          </cell>
          <cell r="F30">
            <v>5.0599999999999996</v>
          </cell>
          <cell r="G30">
            <v>0.66600000000000004</v>
          </cell>
          <cell r="H30">
            <v>0.11631156129933599</v>
          </cell>
          <cell r="K30">
            <v>7.28</v>
          </cell>
          <cell r="L30">
            <v>2.2200000000000002</v>
          </cell>
          <cell r="N30">
            <v>0.438735177865613</v>
          </cell>
          <cell r="O30">
            <v>7.98</v>
          </cell>
        </row>
        <row r="31">
          <cell r="C31" t="str">
            <v>材料</v>
          </cell>
          <cell r="E31">
            <v>3.96</v>
          </cell>
          <cell r="K31">
            <v>6.18</v>
          </cell>
          <cell r="L31">
            <v>2.2200000000000002</v>
          </cell>
          <cell r="M31">
            <v>0.438735177865613</v>
          </cell>
        </row>
        <row r="32">
          <cell r="C32" t="str">
            <v>SHT0001038</v>
          </cell>
          <cell r="D32" t="str">
            <v>H4内铰架右</v>
          </cell>
          <cell r="E32">
            <v>4.3819999999999997</v>
          </cell>
          <cell r="F32">
            <v>3.99</v>
          </cell>
          <cell r="G32">
            <v>0.39199999999999902</v>
          </cell>
          <cell r="H32">
            <v>8.9456869009584494E-2</v>
          </cell>
          <cell r="K32">
            <v>5.72</v>
          </cell>
          <cell r="L32">
            <v>1.73</v>
          </cell>
          <cell r="N32">
            <v>0.43358395989974902</v>
          </cell>
          <cell r="O32">
            <v>6.1</v>
          </cell>
        </row>
        <row r="33">
          <cell r="C33" t="str">
            <v>材料</v>
          </cell>
          <cell r="E33">
            <v>3.18</v>
          </cell>
          <cell r="K33">
            <v>4.82</v>
          </cell>
          <cell r="L33">
            <v>1.64</v>
          </cell>
          <cell r="M33">
            <v>0.37425832952989502</v>
          </cell>
        </row>
        <row r="34">
          <cell r="C34" t="str">
            <v>SHT0001039</v>
          </cell>
          <cell r="D34" t="str">
            <v>H4内铰架左</v>
          </cell>
          <cell r="E34">
            <v>4.4580000000000002</v>
          </cell>
          <cell r="F34">
            <v>4.03</v>
          </cell>
          <cell r="G34">
            <v>0.42799999999999999</v>
          </cell>
          <cell r="H34">
            <v>9.6007178106774296E-2</v>
          </cell>
          <cell r="K34">
            <v>5.76</v>
          </cell>
          <cell r="L34">
            <v>1.73</v>
          </cell>
          <cell r="N34">
            <v>0.38806639748766297</v>
          </cell>
          <cell r="O34">
            <v>6.2</v>
          </cell>
        </row>
        <row r="35">
          <cell r="C35" t="str">
            <v>材料</v>
          </cell>
          <cell r="E35">
            <v>3.18</v>
          </cell>
          <cell r="K35">
            <v>4.82</v>
          </cell>
          <cell r="L35">
            <v>1.64</v>
          </cell>
          <cell r="M35">
            <v>0.40694789081885901</v>
          </cell>
        </row>
        <row r="36">
          <cell r="C36" t="str">
            <v>SHT0001040</v>
          </cell>
          <cell r="D36" t="str">
            <v>H4气囊下支架</v>
          </cell>
          <cell r="E36">
            <v>4.4580000000000002</v>
          </cell>
          <cell r="F36">
            <v>4.03</v>
          </cell>
          <cell r="G36">
            <v>0.42799999999999999</v>
          </cell>
          <cell r="H36">
            <v>9.6007178106774296E-2</v>
          </cell>
          <cell r="K36">
            <v>5.8</v>
          </cell>
          <cell r="L36">
            <v>1.77</v>
          </cell>
          <cell r="N36">
            <v>0.39703903095558502</v>
          </cell>
          <cell r="O36">
            <v>6.05</v>
          </cell>
        </row>
        <row r="37">
          <cell r="C37" t="str">
            <v>材料</v>
          </cell>
          <cell r="E37">
            <v>3.16</v>
          </cell>
          <cell r="K37">
            <v>4.84</v>
          </cell>
          <cell r="L37">
            <v>1.68</v>
          </cell>
          <cell r="M37">
            <v>0.37685060565275902</v>
          </cell>
        </row>
      </sheetData>
      <sheetData sheetId="28">
        <row r="5">
          <cell r="C5" t="str">
            <v>SHT0000733</v>
          </cell>
          <cell r="D5">
            <v>28.492000000000001</v>
          </cell>
          <cell r="E5">
            <v>25.33</v>
          </cell>
          <cell r="F5">
            <v>3.1619999999999999</v>
          </cell>
          <cell r="G5">
            <v>0.110978520286396</v>
          </cell>
          <cell r="J5">
            <v>30.1</v>
          </cell>
          <cell r="K5">
            <v>4.7699999999999996</v>
          </cell>
          <cell r="M5">
            <v>0.188314251875247</v>
          </cell>
          <cell r="N5">
            <v>33.5</v>
          </cell>
        </row>
        <row r="6">
          <cell r="C6" t="str">
            <v>材料</v>
          </cell>
          <cell r="E6">
            <v>16</v>
          </cell>
          <cell r="J6">
            <v>20.78</v>
          </cell>
          <cell r="K6">
            <v>4.78</v>
          </cell>
          <cell r="L6">
            <v>0.29875000000000002</v>
          </cell>
        </row>
        <row r="7">
          <cell r="C7" t="str">
            <v>SHT0000078</v>
          </cell>
          <cell r="D7">
            <v>26.076899999999998</v>
          </cell>
          <cell r="E7">
            <v>24.62</v>
          </cell>
          <cell r="F7">
            <v>1.4569000000000001</v>
          </cell>
          <cell r="G7">
            <v>5.58693709758444E-2</v>
          </cell>
          <cell r="J7">
            <v>29.26</v>
          </cell>
          <cell r="K7">
            <v>4.6399999999999997</v>
          </cell>
          <cell r="M7">
            <v>0.18846466287571101</v>
          </cell>
          <cell r="N7">
            <v>32.700000000000003</v>
          </cell>
        </row>
        <row r="8">
          <cell r="C8" t="str">
            <v>材料</v>
          </cell>
          <cell r="E8">
            <v>15.68</v>
          </cell>
          <cell r="J8">
            <v>20.32</v>
          </cell>
          <cell r="K8">
            <v>4.6399999999999997</v>
          </cell>
          <cell r="L8">
            <v>0.29591836734693899</v>
          </cell>
        </row>
        <row r="9">
          <cell r="C9" t="str">
            <v>SHT0000037</v>
          </cell>
          <cell r="D9">
            <v>28.009</v>
          </cell>
          <cell r="E9">
            <v>26.92</v>
          </cell>
          <cell r="F9">
            <v>1.089</v>
          </cell>
          <cell r="G9">
            <v>3.8880359884322799E-2</v>
          </cell>
          <cell r="J9">
            <v>31.49</v>
          </cell>
          <cell r="K9">
            <v>4.57</v>
          </cell>
          <cell r="M9">
            <v>0.16976225854383301</v>
          </cell>
          <cell r="N9">
            <v>31.49</v>
          </cell>
        </row>
        <row r="10">
          <cell r="C10" t="str">
            <v>材料</v>
          </cell>
          <cell r="E10">
            <v>17.670000000000002</v>
          </cell>
          <cell r="J10">
            <v>22.25</v>
          </cell>
          <cell r="K10">
            <v>4.58</v>
          </cell>
          <cell r="L10">
            <v>0.25919637804187901</v>
          </cell>
        </row>
        <row r="11">
          <cell r="C11" t="str">
            <v>SLT0000408</v>
          </cell>
          <cell r="D11">
            <v>30.210999999999999</v>
          </cell>
          <cell r="E11">
            <v>28.95</v>
          </cell>
          <cell r="F11">
            <v>1.2609999999999999</v>
          </cell>
          <cell r="G11">
            <v>4.1739763662242198E-2</v>
          </cell>
          <cell r="J11">
            <v>34.58</v>
          </cell>
          <cell r="K11">
            <v>5.63</v>
          </cell>
          <cell r="M11">
            <v>0.19447322970639</v>
          </cell>
          <cell r="N11">
            <v>38.5</v>
          </cell>
        </row>
        <row r="12">
          <cell r="C12" t="str">
            <v>材料</v>
          </cell>
          <cell r="E12">
            <v>17.36</v>
          </cell>
          <cell r="J12">
            <v>23</v>
          </cell>
          <cell r="K12">
            <v>5.64</v>
          </cell>
          <cell r="L12">
            <v>0.32488479262672798</v>
          </cell>
        </row>
        <row r="13">
          <cell r="C13" t="str">
            <v>SLT0000551</v>
          </cell>
          <cell r="D13">
            <v>29.591999999999999</v>
          </cell>
          <cell r="E13">
            <v>27.59</v>
          </cell>
          <cell r="F13">
            <v>2.0019999999999998</v>
          </cell>
          <cell r="G13">
            <v>6.7653419843200793E-2</v>
          </cell>
          <cell r="J13">
            <v>33.119999999999997</v>
          </cell>
          <cell r="K13">
            <v>5.53</v>
          </cell>
          <cell r="M13">
            <v>0.200434940195723</v>
          </cell>
          <cell r="N13">
            <v>37</v>
          </cell>
        </row>
        <row r="14">
          <cell r="C14" t="str">
            <v>材料</v>
          </cell>
          <cell r="E14">
            <v>16.559999999999999</v>
          </cell>
          <cell r="J14">
            <v>22.1</v>
          </cell>
          <cell r="K14">
            <v>5.54</v>
          </cell>
          <cell r="L14">
            <v>0.33454106280193302</v>
          </cell>
        </row>
        <row r="15">
          <cell r="C15" t="str">
            <v>SLT0000394</v>
          </cell>
          <cell r="D15">
            <v>32.161000000000001</v>
          </cell>
          <cell r="E15">
            <v>29.4</v>
          </cell>
          <cell r="F15">
            <v>2.7610000000000001</v>
          </cell>
          <cell r="G15">
            <v>8.5849320605702606E-2</v>
          </cell>
          <cell r="J15">
            <v>35.1</v>
          </cell>
          <cell r="K15">
            <v>5.7</v>
          </cell>
          <cell r="M15">
            <v>0.19387755102040799</v>
          </cell>
          <cell r="N15">
            <v>39</v>
          </cell>
        </row>
        <row r="16">
          <cell r="C16" t="str">
            <v>材料</v>
          </cell>
          <cell r="E16">
            <v>17.5</v>
          </cell>
          <cell r="J16">
            <v>23.2</v>
          </cell>
          <cell r="K16">
            <v>5.7</v>
          </cell>
          <cell r="L16">
            <v>0.32571428571428601</v>
          </cell>
        </row>
        <row r="17">
          <cell r="C17" t="str">
            <v>SLT0000264</v>
          </cell>
          <cell r="D17">
            <v>37.048499999999997</v>
          </cell>
          <cell r="E17">
            <v>35.5</v>
          </cell>
          <cell r="F17">
            <v>1.5485</v>
          </cell>
          <cell r="G17">
            <v>4.1796563963453201E-2</v>
          </cell>
          <cell r="J17">
            <v>42.94</v>
          </cell>
          <cell r="K17">
            <v>7.44</v>
          </cell>
          <cell r="M17">
            <v>0.20957746478873199</v>
          </cell>
          <cell r="N17">
            <v>48</v>
          </cell>
        </row>
        <row r="18">
          <cell r="C18" t="str">
            <v>材料</v>
          </cell>
          <cell r="E18">
            <v>22.58</v>
          </cell>
          <cell r="J18">
            <v>29.97</v>
          </cell>
          <cell r="K18">
            <v>7.39</v>
          </cell>
          <cell r="L18">
            <v>0.327280779450841</v>
          </cell>
        </row>
        <row r="19">
          <cell r="C19" t="str">
            <v>SLT0000578</v>
          </cell>
          <cell r="D19">
            <v>34.720999999999997</v>
          </cell>
          <cell r="E19">
            <v>35.5</v>
          </cell>
          <cell r="H19">
            <v>0.77900000000000302</v>
          </cell>
          <cell r="I19">
            <v>2.2435989746839202E-2</v>
          </cell>
          <cell r="J19">
            <v>42.94</v>
          </cell>
          <cell r="K19">
            <v>7.44</v>
          </cell>
          <cell r="M19">
            <v>0.20957746478873199</v>
          </cell>
          <cell r="N19">
            <v>48</v>
          </cell>
        </row>
        <row r="20">
          <cell r="E20">
            <v>22.58</v>
          </cell>
          <cell r="J20">
            <v>29.97</v>
          </cell>
          <cell r="K20">
            <v>7.39</v>
          </cell>
          <cell r="L20">
            <v>0.327280779450841</v>
          </cell>
        </row>
        <row r="21">
          <cell r="C21" t="str">
            <v>SLT0000517</v>
          </cell>
          <cell r="D21">
            <v>43.77</v>
          </cell>
          <cell r="E21">
            <v>48.36</v>
          </cell>
          <cell r="H21">
            <v>4.59</v>
          </cell>
          <cell r="I21">
            <v>0.10486634681288499</v>
          </cell>
          <cell r="J21">
            <v>59.5</v>
          </cell>
          <cell r="K21">
            <v>11.14</v>
          </cell>
          <cell r="M21">
            <v>0.23035566583953701</v>
          </cell>
          <cell r="N21">
            <v>66.3</v>
          </cell>
        </row>
        <row r="22">
          <cell r="C22" t="str">
            <v>材料</v>
          </cell>
          <cell r="E22">
            <v>34.15</v>
          </cell>
          <cell r="J22">
            <v>45.32</v>
          </cell>
          <cell r="K22">
            <v>11.17</v>
          </cell>
          <cell r="L22">
            <v>0.32708638360175701</v>
          </cell>
        </row>
        <row r="23">
          <cell r="C23" t="str">
            <v>SLT0000604</v>
          </cell>
          <cell r="D23">
            <v>41.8872</v>
          </cell>
          <cell r="E23">
            <v>46.23</v>
          </cell>
          <cell r="H23">
            <v>4.3428000000000004</v>
          </cell>
          <cell r="I23">
            <v>0.103678450696155</v>
          </cell>
          <cell r="J23">
            <v>56.85</v>
          </cell>
          <cell r="K23">
            <v>10.62</v>
          </cell>
          <cell r="M23">
            <v>0.22972096041531501</v>
          </cell>
          <cell r="N23">
            <v>63.5</v>
          </cell>
        </row>
        <row r="24">
          <cell r="C24" t="str">
            <v>材料</v>
          </cell>
          <cell r="E24">
            <v>32.299999999999997</v>
          </cell>
          <cell r="J24">
            <v>42.93</v>
          </cell>
          <cell r="K24">
            <v>10.63</v>
          </cell>
          <cell r="L24">
            <v>0.329102167182663</v>
          </cell>
        </row>
        <row r="25">
          <cell r="C25" t="str">
            <v>SLT0000651</v>
          </cell>
          <cell r="D25">
            <v>31.600999999999999</v>
          </cell>
          <cell r="E25">
            <v>32.68</v>
          </cell>
          <cell r="H25">
            <v>1.079</v>
          </cell>
          <cell r="I25">
            <v>3.41444890984463E-2</v>
          </cell>
          <cell r="J25">
            <v>40.04</v>
          </cell>
          <cell r="K25">
            <v>7.36</v>
          </cell>
          <cell r="M25">
            <v>0.22521419828641401</v>
          </cell>
          <cell r="N25">
            <v>45.8</v>
          </cell>
        </row>
        <row r="26">
          <cell r="C26" t="str">
            <v>材料</v>
          </cell>
          <cell r="E26">
            <v>22.89</v>
          </cell>
          <cell r="J26">
            <v>30.25</v>
          </cell>
          <cell r="K26">
            <v>7.36</v>
          </cell>
          <cell r="L26">
            <v>0.32153778942769801</v>
          </cell>
        </row>
        <row r="27">
          <cell r="C27" t="str">
            <v>SLT0000449/462</v>
          </cell>
          <cell r="D27">
            <v>56.42</v>
          </cell>
          <cell r="E27">
            <v>61.12</v>
          </cell>
          <cell r="H27">
            <v>4.7</v>
          </cell>
          <cell r="I27">
            <v>8.3303792981212293E-2</v>
          </cell>
          <cell r="J27">
            <v>75.400000000000006</v>
          </cell>
          <cell r="K27">
            <v>14.28</v>
          </cell>
          <cell r="M27">
            <v>0.23363874345549801</v>
          </cell>
          <cell r="N27">
            <v>84</v>
          </cell>
        </row>
        <row r="28">
          <cell r="C28" t="str">
            <v>材料</v>
          </cell>
          <cell r="E28">
            <v>42.41</v>
          </cell>
          <cell r="J28">
            <v>56.69</v>
          </cell>
          <cell r="K28">
            <v>14.28</v>
          </cell>
          <cell r="L28">
            <v>0.33671303937750502</v>
          </cell>
        </row>
        <row r="29">
          <cell r="C29" t="str">
            <v>SLT0000568/569</v>
          </cell>
          <cell r="D29">
            <v>54.201000000000001</v>
          </cell>
          <cell r="E29">
            <v>57.89</v>
          </cell>
          <cell r="H29">
            <v>3.6890000000000001</v>
          </cell>
          <cell r="I29">
            <v>6.8061474880537307E-2</v>
          </cell>
          <cell r="J29">
            <v>70.84</v>
          </cell>
          <cell r="K29">
            <v>12.95</v>
          </cell>
          <cell r="M29">
            <v>0.223700120918984</v>
          </cell>
          <cell r="N29">
            <v>79</v>
          </cell>
        </row>
        <row r="30">
          <cell r="C30" t="str">
            <v>材料</v>
          </cell>
          <cell r="E30">
            <v>40.81</v>
          </cell>
          <cell r="J30">
            <v>53.75</v>
          </cell>
          <cell r="K30">
            <v>12.94</v>
          </cell>
          <cell r="L30">
            <v>0.31707914726782599</v>
          </cell>
        </row>
        <row r="35">
          <cell r="C35" t="str">
            <v>物料编号</v>
          </cell>
          <cell r="D35" t="str">
            <v>原销价</v>
          </cell>
          <cell r="E35" t="str">
            <v>原成本</v>
          </cell>
          <cell r="F35" t="str">
            <v>利润</v>
          </cell>
          <cell r="H35" t="str">
            <v>亏损</v>
          </cell>
          <cell r="J35" t="str">
            <v>新成本</v>
          </cell>
          <cell r="K35" t="str">
            <v>涨幅金额</v>
          </cell>
          <cell r="L35" t="str">
            <v>材料涨幅率</v>
          </cell>
          <cell r="M35" t="str">
            <v>成本涨幅率</v>
          </cell>
          <cell r="N35" t="str">
            <v>申请价格</v>
          </cell>
        </row>
        <row r="36">
          <cell r="F36" t="str">
            <v>利润</v>
          </cell>
          <cell r="G36" t="str">
            <v>利润率</v>
          </cell>
          <cell r="H36" t="str">
            <v>亏损</v>
          </cell>
          <cell r="I36" t="str">
            <v>亏损率</v>
          </cell>
        </row>
        <row r="37">
          <cell r="C37" t="str">
            <v>SLT0000558</v>
          </cell>
          <cell r="D37">
            <v>60.46</v>
          </cell>
          <cell r="E37">
            <v>63.49</v>
          </cell>
          <cell r="H37">
            <v>3.03</v>
          </cell>
          <cell r="I37">
            <v>5.0115779027456203E-2</v>
          </cell>
          <cell r="J37">
            <v>76.88</v>
          </cell>
          <cell r="K37">
            <v>13.39</v>
          </cell>
          <cell r="M37">
            <v>0.21089935422901199</v>
          </cell>
          <cell r="N37">
            <v>86</v>
          </cell>
        </row>
        <row r="38">
          <cell r="C38" t="str">
            <v>材料</v>
          </cell>
          <cell r="E38">
            <v>44.65</v>
          </cell>
          <cell r="J38">
            <v>58.04</v>
          </cell>
          <cell r="K38">
            <v>13.39</v>
          </cell>
          <cell r="L38">
            <v>0.29988801791713299</v>
          </cell>
        </row>
        <row r="39">
          <cell r="C39" t="str">
            <v>SLT0000638</v>
          </cell>
          <cell r="D39">
            <v>56.816000000000003</v>
          </cell>
          <cell r="E39">
            <v>66.47</v>
          </cell>
          <cell r="H39">
            <v>9.6539999999999999</v>
          </cell>
          <cell r="I39">
            <v>0.16991692480991299</v>
          </cell>
          <cell r="J39">
            <v>80.11</v>
          </cell>
          <cell r="K39">
            <v>13.64</v>
          </cell>
          <cell r="M39">
            <v>0.205205355799609</v>
          </cell>
          <cell r="N39">
            <v>90</v>
          </cell>
        </row>
        <row r="40">
          <cell r="C40" t="str">
            <v>材料</v>
          </cell>
          <cell r="E40">
            <v>46.76</v>
          </cell>
          <cell r="J40">
            <v>60.4</v>
          </cell>
          <cell r="K40">
            <v>13.64</v>
          </cell>
          <cell r="L40">
            <v>0.291702309666382</v>
          </cell>
        </row>
        <row r="41">
          <cell r="C41" t="str">
            <v>SLT0000552</v>
          </cell>
          <cell r="D41">
            <v>72.0398</v>
          </cell>
          <cell r="E41">
            <v>79.540000000000006</v>
          </cell>
          <cell r="H41">
            <v>7.5002000000000102</v>
          </cell>
          <cell r="I41">
            <v>0.10411189370320301</v>
          </cell>
          <cell r="J41">
            <v>97.25</v>
          </cell>
          <cell r="K41">
            <v>17.71</v>
          </cell>
          <cell r="M41">
            <v>0.222655267789791</v>
          </cell>
          <cell r="N41">
            <v>108</v>
          </cell>
        </row>
        <row r="42">
          <cell r="C42" t="str">
            <v>材料</v>
          </cell>
          <cell r="E42">
            <v>53.99</v>
          </cell>
          <cell r="J42">
            <v>71.7</v>
          </cell>
          <cell r="K42">
            <v>17.71</v>
          </cell>
          <cell r="L42">
            <v>0.32802370809409098</v>
          </cell>
        </row>
        <row r="43">
          <cell r="C43" t="str">
            <v>SLT0000630</v>
          </cell>
          <cell r="D43">
            <v>60.009599999999999</v>
          </cell>
          <cell r="E43">
            <v>79.739999999999995</v>
          </cell>
          <cell r="H43">
            <v>19.730399999999999</v>
          </cell>
          <cell r="I43">
            <v>0.328787394016957</v>
          </cell>
          <cell r="J43">
            <v>98.57</v>
          </cell>
          <cell r="K43">
            <v>18.829999999999998</v>
          </cell>
          <cell r="M43">
            <v>0.23614246300476499</v>
          </cell>
          <cell r="N43">
            <v>110</v>
          </cell>
        </row>
        <row r="44">
          <cell r="C44" t="str">
            <v>材料</v>
          </cell>
          <cell r="E44">
            <v>54.39</v>
          </cell>
          <cell r="J44">
            <v>73.209999999999994</v>
          </cell>
          <cell r="K44">
            <v>18.82</v>
          </cell>
          <cell r="L44">
            <v>0.34601948887663198</v>
          </cell>
        </row>
        <row r="45">
          <cell r="C45" t="str">
            <v>SLT0000595</v>
          </cell>
          <cell r="D45">
            <v>27.806000000000001</v>
          </cell>
          <cell r="E45">
            <v>33.39</v>
          </cell>
          <cell r="H45">
            <v>5.5839999999999996</v>
          </cell>
          <cell r="I45">
            <v>0.200819966913616</v>
          </cell>
          <cell r="J45">
            <v>42.13</v>
          </cell>
          <cell r="K45">
            <v>8.74</v>
          </cell>
          <cell r="M45">
            <v>0.261755016471998</v>
          </cell>
          <cell r="N45">
            <v>47</v>
          </cell>
        </row>
        <row r="46">
          <cell r="C46" t="str">
            <v>材料</v>
          </cell>
          <cell r="E46">
            <v>29</v>
          </cell>
          <cell r="J46">
            <v>37.700000000000003</v>
          </cell>
          <cell r="K46">
            <v>8.6999999999999993</v>
          </cell>
          <cell r="L46">
            <v>0.3</v>
          </cell>
        </row>
        <row r="47">
          <cell r="C47" t="str">
            <v>SLT0001041/1042</v>
          </cell>
          <cell r="D47">
            <v>35.76</v>
          </cell>
          <cell r="E47">
            <v>34.22</v>
          </cell>
          <cell r="F47">
            <v>1.54</v>
          </cell>
          <cell r="G47">
            <v>4.3064876957494398E-2</v>
          </cell>
          <cell r="J47">
            <v>41.12</v>
          </cell>
          <cell r="K47">
            <v>6.9</v>
          </cell>
          <cell r="M47">
            <v>0.20163646990064299</v>
          </cell>
          <cell r="N47">
            <v>46</v>
          </cell>
        </row>
        <row r="48">
          <cell r="C48" t="str">
            <v>材料</v>
          </cell>
          <cell r="E48">
            <v>21.45</v>
          </cell>
          <cell r="J48">
            <v>28.36</v>
          </cell>
          <cell r="K48">
            <v>6.91</v>
          </cell>
          <cell r="L48">
            <v>0.32214452214452199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恒伟GY"/>
      <sheetName val="恒伟GY (2)"/>
      <sheetName val="Sheet1"/>
      <sheetName val="Sheet2"/>
      <sheetName val="Sheet3"/>
    </sheetNames>
    <sheetDataSet>
      <sheetData sheetId="0"/>
      <sheetData sheetId="1">
        <row r="9">
          <cell r="B9" t="str">
            <v>SLT0000037</v>
          </cell>
          <cell r="C9" t="str">
            <v>M3驾驶员靠背骨架（同欧马可司机背）</v>
          </cell>
          <cell r="D9" t="str">
            <v>04.02.134</v>
          </cell>
          <cell r="E9" t="str">
            <v>件</v>
          </cell>
          <cell r="F9">
            <v>24.786300000000001</v>
          </cell>
        </row>
        <row r="10">
          <cell r="B10" t="str">
            <v>SLT0000078</v>
          </cell>
          <cell r="C10" t="str">
            <v>M31800副司机大背出口（同欧马可副背）</v>
          </cell>
          <cell r="D10" t="str">
            <v>04.02.136</v>
          </cell>
          <cell r="E10" t="str">
            <v>件</v>
          </cell>
          <cell r="F10">
            <v>23.076899999999998</v>
          </cell>
        </row>
        <row r="11">
          <cell r="B11" t="str">
            <v>SLT0000394</v>
          </cell>
          <cell r="C11" t="str">
            <v>K1双人左背</v>
          </cell>
          <cell r="D11" t="str">
            <v>04.02.263</v>
          </cell>
          <cell r="E11" t="str">
            <v>件</v>
          </cell>
          <cell r="F11">
            <v>28.461500000000001</v>
          </cell>
        </row>
        <row r="12">
          <cell r="B12" t="str">
            <v>SLT0000395</v>
          </cell>
          <cell r="C12" t="str">
            <v>K1双人右背（三点式）</v>
          </cell>
          <cell r="D12" t="str">
            <v>04.02.264</v>
          </cell>
          <cell r="E12" t="str">
            <v>件</v>
          </cell>
          <cell r="F12">
            <v>32.786299999999997</v>
          </cell>
        </row>
        <row r="13">
          <cell r="B13" t="str">
            <v>SLT0000408</v>
          </cell>
          <cell r="C13" t="str">
            <v>K1单人背（带头枕）</v>
          </cell>
          <cell r="D13" t="str">
            <v>04.02.247</v>
          </cell>
          <cell r="E13" t="str">
            <v>件</v>
          </cell>
          <cell r="F13">
            <v>26.734999999999999</v>
          </cell>
        </row>
        <row r="14">
          <cell r="B14" t="str">
            <v>SLT0000449</v>
          </cell>
          <cell r="C14" t="str">
            <v>K1四人连体左（三点式）</v>
          </cell>
          <cell r="D14" t="str">
            <v>04.02.275</v>
          </cell>
          <cell r="E14" t="str">
            <v>件</v>
          </cell>
          <cell r="F14">
            <v>49.931600000000003</v>
          </cell>
        </row>
        <row r="15">
          <cell r="B15" t="str">
            <v>SLT0000462</v>
          </cell>
          <cell r="C15" t="str">
            <v>K1四人连体右（三点式）</v>
          </cell>
          <cell r="D15" t="str">
            <v>04.02.276</v>
          </cell>
          <cell r="E15" t="str">
            <v>件</v>
          </cell>
          <cell r="F15">
            <v>49.931600000000003</v>
          </cell>
        </row>
        <row r="16">
          <cell r="B16" t="str">
            <v>SLT0000517</v>
          </cell>
          <cell r="C16" t="str">
            <v>K1侧翻背三点式（新状态）</v>
          </cell>
          <cell r="D16" t="str">
            <v>04.02.261</v>
          </cell>
          <cell r="E16" t="str">
            <v>件</v>
          </cell>
          <cell r="F16">
            <v>38.734999999999999</v>
          </cell>
        </row>
        <row r="17">
          <cell r="B17" t="str">
            <v>SLT0000551</v>
          </cell>
          <cell r="C17" t="str">
            <v>K1单人背（无头枕）</v>
          </cell>
          <cell r="D17" t="str">
            <v>04.02.296</v>
          </cell>
          <cell r="E17" t="str">
            <v>件</v>
          </cell>
          <cell r="F17">
            <v>26.187999999999999</v>
          </cell>
        </row>
        <row r="18">
          <cell r="B18" t="str">
            <v>SLT0000552</v>
          </cell>
          <cell r="C18" t="str">
            <v>K1一排四人三人靠背（右舵）</v>
          </cell>
          <cell r="D18" t="str">
            <v>04.02.317</v>
          </cell>
          <cell r="E18" t="str">
            <v>件</v>
          </cell>
          <cell r="F18">
            <v>63.752099999999999</v>
          </cell>
        </row>
        <row r="19">
          <cell r="B19" t="str">
            <v>SLT0000558</v>
          </cell>
          <cell r="C19" t="str">
            <v xml:space="preserve">K1二排双人连体背（无头枕带扶手）
</v>
          </cell>
          <cell r="D19" t="str">
            <v>04.02.295</v>
          </cell>
          <cell r="E19" t="str">
            <v>件</v>
          </cell>
          <cell r="F19">
            <v>53.470100000000002</v>
          </cell>
        </row>
        <row r="20">
          <cell r="B20" t="str">
            <v>SLT0000568</v>
          </cell>
          <cell r="C20" t="str">
            <v>K1四人连体左（无头枕）</v>
          </cell>
          <cell r="D20" t="str">
            <v>04.02.293</v>
          </cell>
          <cell r="E20" t="str">
            <v>件</v>
          </cell>
          <cell r="F20">
            <v>47.965800000000002</v>
          </cell>
        </row>
        <row r="21">
          <cell r="B21" t="str">
            <v>SLT0000569</v>
          </cell>
          <cell r="C21" t="str">
            <v>K1四人连体右（无头枕）</v>
          </cell>
          <cell r="D21" t="str">
            <v>04.02.294</v>
          </cell>
          <cell r="E21" t="str">
            <v>件</v>
          </cell>
          <cell r="F21">
            <v>47.965800000000002</v>
          </cell>
        </row>
        <row r="22">
          <cell r="B22" t="str">
            <v>SLT0000578</v>
          </cell>
          <cell r="C22" t="str">
            <v>K1双人右置左背（带安全盒）</v>
          </cell>
          <cell r="D22" t="str">
            <v>04.02.289</v>
          </cell>
          <cell r="E22" t="str">
            <v>件</v>
          </cell>
          <cell r="F22">
            <v>30.726500000000001</v>
          </cell>
        </row>
        <row r="23">
          <cell r="B23" t="str">
            <v>SLT0000595</v>
          </cell>
          <cell r="C23" t="str">
            <v>K1第三排侧翻左背（单头枕）</v>
          </cell>
          <cell r="D23" t="str">
            <v>04.02.303</v>
          </cell>
          <cell r="E23" t="str">
            <v>件</v>
          </cell>
          <cell r="F23">
            <v>24.6068</v>
          </cell>
        </row>
        <row r="24">
          <cell r="B24" t="str">
            <v>SLT0000604</v>
          </cell>
          <cell r="C24" t="str">
            <v>K1侧翻右背（单头枕三点式）</v>
          </cell>
          <cell r="D24" t="str">
            <v>04.02.262</v>
          </cell>
          <cell r="E24" t="str">
            <v>件</v>
          </cell>
          <cell r="F24">
            <v>37.068399999999997</v>
          </cell>
        </row>
        <row r="25">
          <cell r="B25" t="str">
            <v>SLT0000630</v>
          </cell>
          <cell r="C25" t="str">
            <v>K1窄车左舵三排三人背(三点式）</v>
          </cell>
          <cell r="D25" t="str">
            <v>04.02.252</v>
          </cell>
          <cell r="E25" t="str">
            <v>件</v>
          </cell>
          <cell r="F25">
            <v>55.7607</v>
          </cell>
        </row>
        <row r="26">
          <cell r="B26" t="str">
            <v>SLT0000638</v>
          </cell>
          <cell r="C26" t="str">
            <v>K1窄车左舵二排双人连体背(带头枕扶手三点式）</v>
          </cell>
          <cell r="D26" t="str">
            <v>04.02.315</v>
          </cell>
          <cell r="E26" t="str">
            <v>件</v>
          </cell>
          <cell r="F26">
            <v>50.2821</v>
          </cell>
        </row>
        <row r="27">
          <cell r="B27" t="str">
            <v>SLT0000651</v>
          </cell>
          <cell r="C27" t="str">
            <v>K1侧翻左背（不带头枕）</v>
          </cell>
          <cell r="D27" t="str">
            <v>04.02.255</v>
          </cell>
          <cell r="E27" t="str">
            <v>件</v>
          </cell>
          <cell r="F27">
            <v>27.965800000000002</v>
          </cell>
        </row>
        <row r="28">
          <cell r="B28" t="str">
            <v>SLT0000733</v>
          </cell>
          <cell r="C28" t="str">
            <v>M副司机靠背骨架（同1995奥铃副司机背）</v>
          </cell>
          <cell r="D28" t="str">
            <v>04.02.135</v>
          </cell>
          <cell r="E28" t="str">
            <v>件</v>
          </cell>
          <cell r="F28">
            <v>25.213699999999999</v>
          </cell>
        </row>
        <row r="29">
          <cell r="B29" t="str">
            <v>SLT0001035</v>
          </cell>
          <cell r="C29" t="str">
            <v>K1宽车一排三人连体背（无头枕）</v>
          </cell>
          <cell r="D29" t="str">
            <v>04.02.258</v>
          </cell>
          <cell r="E29" t="str">
            <v>件</v>
          </cell>
          <cell r="F29">
            <v>56.991500000000002</v>
          </cell>
        </row>
        <row r="30">
          <cell r="B30" t="str">
            <v>SLT0001041</v>
          </cell>
          <cell r="C30" t="str">
            <v>K1出口马来西亚左背骨架</v>
          </cell>
          <cell r="D30" t="str">
            <v>04.02.351</v>
          </cell>
          <cell r="E30" t="str">
            <v>件</v>
          </cell>
          <cell r="F30">
            <v>31.6496</v>
          </cell>
        </row>
        <row r="31">
          <cell r="B31" t="str">
            <v>SLT0001042</v>
          </cell>
          <cell r="C31" t="str">
            <v>K1出口马来西亚右背骨架</v>
          </cell>
          <cell r="D31" t="str">
            <v>04.02.352</v>
          </cell>
          <cell r="E31" t="str">
            <v>件</v>
          </cell>
          <cell r="F31">
            <v>31.6496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恒伟GY"/>
      <sheetName val="恒伟GY (2)"/>
      <sheetName val="Sheet1"/>
      <sheetName val="Sheet2"/>
      <sheetName val="Sheet3"/>
    </sheetNames>
    <sheetDataSet>
      <sheetData sheetId="0" refreshError="1"/>
      <sheetData sheetId="1" refreshError="1">
        <row r="9">
          <cell r="B9" t="str">
            <v>SLT0000037</v>
          </cell>
          <cell r="C9" t="str">
            <v>M3驾驶员靠背骨架（同欧马可司机背）</v>
          </cell>
          <cell r="D9" t="str">
            <v>04.02.134</v>
          </cell>
          <cell r="E9" t="str">
            <v>件</v>
          </cell>
          <cell r="F9">
            <v>24.786300000000001</v>
          </cell>
        </row>
        <row r="10">
          <cell r="B10" t="str">
            <v>SLT0000078</v>
          </cell>
          <cell r="C10" t="str">
            <v>M31800副司机大背出口（同欧马可副背）</v>
          </cell>
          <cell r="D10" t="str">
            <v>04.02.136</v>
          </cell>
          <cell r="E10" t="str">
            <v>件</v>
          </cell>
          <cell r="F10">
            <v>23.076899999999998</v>
          </cell>
        </row>
        <row r="11">
          <cell r="B11" t="str">
            <v>SLT0000394</v>
          </cell>
          <cell r="C11" t="str">
            <v>K1双人左背</v>
          </cell>
          <cell r="D11" t="str">
            <v>04.02.263</v>
          </cell>
          <cell r="E11" t="str">
            <v>件</v>
          </cell>
          <cell r="F11">
            <v>28.461500000000001</v>
          </cell>
        </row>
        <row r="12">
          <cell r="B12" t="str">
            <v>SLT0000395</v>
          </cell>
          <cell r="C12" t="str">
            <v>K1双人右背（三点式）</v>
          </cell>
          <cell r="D12" t="str">
            <v>04.02.264</v>
          </cell>
          <cell r="E12" t="str">
            <v>件</v>
          </cell>
          <cell r="F12">
            <v>32.786299999999997</v>
          </cell>
        </row>
        <row r="13">
          <cell r="B13" t="str">
            <v>SLT0000408</v>
          </cell>
          <cell r="C13" t="str">
            <v>K1单人背（带头枕）</v>
          </cell>
          <cell r="D13" t="str">
            <v>04.02.247</v>
          </cell>
          <cell r="E13" t="str">
            <v>件</v>
          </cell>
          <cell r="F13">
            <v>26.734999999999999</v>
          </cell>
        </row>
        <row r="14">
          <cell r="B14" t="str">
            <v>SLT0000449</v>
          </cell>
          <cell r="C14" t="str">
            <v>K1四人连体左（三点式）</v>
          </cell>
          <cell r="D14" t="str">
            <v>04.02.275</v>
          </cell>
          <cell r="E14" t="str">
            <v>件</v>
          </cell>
          <cell r="F14">
            <v>49.931600000000003</v>
          </cell>
        </row>
        <row r="15">
          <cell r="B15" t="str">
            <v>SLT0000462</v>
          </cell>
          <cell r="C15" t="str">
            <v>K1四人连体右（三点式）</v>
          </cell>
          <cell r="D15" t="str">
            <v>04.02.276</v>
          </cell>
          <cell r="E15" t="str">
            <v>件</v>
          </cell>
          <cell r="F15">
            <v>49.931600000000003</v>
          </cell>
        </row>
        <row r="16">
          <cell r="B16" t="str">
            <v>SLT0000517</v>
          </cell>
          <cell r="C16" t="str">
            <v>K1侧翻背三点式（新状态）</v>
          </cell>
          <cell r="D16" t="str">
            <v>04.02.261</v>
          </cell>
          <cell r="E16" t="str">
            <v>件</v>
          </cell>
          <cell r="F16">
            <v>38.734999999999999</v>
          </cell>
        </row>
        <row r="17">
          <cell r="B17" t="str">
            <v>SLT0000551</v>
          </cell>
          <cell r="C17" t="str">
            <v>K1单人背（无头枕）</v>
          </cell>
          <cell r="D17" t="str">
            <v>04.02.296</v>
          </cell>
          <cell r="E17" t="str">
            <v>件</v>
          </cell>
          <cell r="F17">
            <v>26.187999999999999</v>
          </cell>
        </row>
        <row r="18">
          <cell r="B18" t="str">
            <v>SLT0000552</v>
          </cell>
          <cell r="C18" t="str">
            <v>K1一排四人三人靠背（右舵）</v>
          </cell>
          <cell r="D18" t="str">
            <v>04.02.317</v>
          </cell>
          <cell r="E18" t="str">
            <v>件</v>
          </cell>
          <cell r="F18">
            <v>63.752099999999999</v>
          </cell>
        </row>
        <row r="19">
          <cell r="B19" t="str">
            <v>SLT0000558</v>
          </cell>
          <cell r="C19" t="str">
            <v>K1二排双人连体背（无头枕带扶手）</v>
          </cell>
          <cell r="D19" t="str">
            <v>04.02.295</v>
          </cell>
          <cell r="E19" t="str">
            <v>件</v>
          </cell>
          <cell r="F19">
            <v>53.470100000000002</v>
          </cell>
        </row>
        <row r="20">
          <cell r="B20" t="str">
            <v>SLT0000568</v>
          </cell>
          <cell r="C20" t="str">
            <v>K1四人连体左（无头枕）</v>
          </cell>
          <cell r="D20" t="str">
            <v>04.02.293</v>
          </cell>
          <cell r="E20" t="str">
            <v>件</v>
          </cell>
          <cell r="F20">
            <v>47.965800000000002</v>
          </cell>
        </row>
        <row r="21">
          <cell r="B21" t="str">
            <v>SLT0000569</v>
          </cell>
          <cell r="C21" t="str">
            <v>K1四人连体右（无头枕）</v>
          </cell>
          <cell r="D21" t="str">
            <v>04.02.294</v>
          </cell>
          <cell r="E21" t="str">
            <v>件</v>
          </cell>
          <cell r="F21">
            <v>47.965800000000002</v>
          </cell>
        </row>
        <row r="22">
          <cell r="B22" t="str">
            <v>SLT0000578</v>
          </cell>
          <cell r="C22" t="str">
            <v>K1双人右置左背（带安全盒）</v>
          </cell>
          <cell r="D22" t="str">
            <v>04.02.289</v>
          </cell>
          <cell r="E22" t="str">
            <v>件</v>
          </cell>
          <cell r="F22">
            <v>30.726500000000001</v>
          </cell>
        </row>
        <row r="23">
          <cell r="B23" t="str">
            <v>SLT0000595</v>
          </cell>
          <cell r="C23" t="str">
            <v>K1第三排侧翻左背（单头枕）</v>
          </cell>
          <cell r="D23" t="str">
            <v>04.02.303</v>
          </cell>
          <cell r="E23" t="str">
            <v>件</v>
          </cell>
          <cell r="F23">
            <v>24.6068</v>
          </cell>
        </row>
        <row r="24">
          <cell r="B24" t="str">
            <v>SLT0000604</v>
          </cell>
          <cell r="C24" t="str">
            <v>K1侧翻右背（单头枕三点式）</v>
          </cell>
          <cell r="D24" t="str">
            <v>04.02.262</v>
          </cell>
          <cell r="E24" t="str">
            <v>件</v>
          </cell>
          <cell r="F24">
            <v>37.068399999999997</v>
          </cell>
        </row>
        <row r="25">
          <cell r="B25" t="str">
            <v>SLT0000630</v>
          </cell>
          <cell r="C25" t="str">
            <v>K1窄车左舵三排三人背(三点式）</v>
          </cell>
          <cell r="D25" t="str">
            <v>04.02.252</v>
          </cell>
          <cell r="E25" t="str">
            <v>件</v>
          </cell>
          <cell r="F25">
            <v>55.7607</v>
          </cell>
        </row>
        <row r="26">
          <cell r="B26" t="str">
            <v>SLT0000638</v>
          </cell>
          <cell r="C26" t="str">
            <v>K1窄车左舵二排双人连体背(带头枕扶手三点式）</v>
          </cell>
          <cell r="D26" t="str">
            <v>04.02.315</v>
          </cell>
          <cell r="E26" t="str">
            <v>件</v>
          </cell>
          <cell r="F26">
            <v>50.2821</v>
          </cell>
        </row>
        <row r="27">
          <cell r="B27" t="str">
            <v>SLT0000651</v>
          </cell>
          <cell r="C27" t="str">
            <v>K1侧翻左背（不带头枕）</v>
          </cell>
          <cell r="D27" t="str">
            <v>04.02.255</v>
          </cell>
          <cell r="E27" t="str">
            <v>件</v>
          </cell>
          <cell r="F27">
            <v>27.965800000000002</v>
          </cell>
        </row>
        <row r="28">
          <cell r="B28" t="str">
            <v>SLT0000733</v>
          </cell>
          <cell r="C28" t="str">
            <v>M副司机靠背骨架（同1995奥铃副司机背）</v>
          </cell>
          <cell r="D28" t="str">
            <v>04.02.135</v>
          </cell>
          <cell r="E28" t="str">
            <v>件</v>
          </cell>
          <cell r="F28">
            <v>25.213699999999999</v>
          </cell>
        </row>
        <row r="29">
          <cell r="B29" t="str">
            <v>SLT0001035</v>
          </cell>
          <cell r="C29" t="str">
            <v>K1宽车一排三人连体背（无头枕）</v>
          </cell>
          <cell r="D29" t="str">
            <v>04.02.258</v>
          </cell>
          <cell r="E29" t="str">
            <v>件</v>
          </cell>
          <cell r="F29">
            <v>56.991500000000002</v>
          </cell>
        </row>
        <row r="30">
          <cell r="B30" t="str">
            <v>SLT0001041</v>
          </cell>
          <cell r="C30" t="str">
            <v>K1出口马来西亚左背骨架</v>
          </cell>
          <cell r="D30" t="str">
            <v>04.02.351</v>
          </cell>
          <cell r="E30" t="str">
            <v>件</v>
          </cell>
          <cell r="F30">
            <v>31.6496</v>
          </cell>
        </row>
        <row r="31">
          <cell r="B31" t="str">
            <v>SLT0001042</v>
          </cell>
          <cell r="C31" t="str">
            <v>K1出口马来西亚右背骨架</v>
          </cell>
          <cell r="D31" t="str">
            <v>04.02.352</v>
          </cell>
          <cell r="E31" t="str">
            <v>件</v>
          </cell>
          <cell r="F31">
            <v>31.6496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恒伟1"/>
      <sheetName val="恒伟1 (2)"/>
      <sheetName val="Sheet1"/>
      <sheetName val="Sheet2"/>
      <sheetName val="Sheet3"/>
    </sheetNames>
    <sheetDataSet>
      <sheetData sheetId="0"/>
      <sheetData sheetId="1">
        <row r="9">
          <cell r="B9" t="str">
            <v>SLT0000394</v>
          </cell>
          <cell r="C9" t="str">
            <v>K1双人左背</v>
          </cell>
          <cell r="E9" t="str">
            <v>件</v>
          </cell>
          <cell r="F9">
            <v>28.461500000000001</v>
          </cell>
          <cell r="G9">
            <v>30.083260000000003</v>
          </cell>
        </row>
        <row r="10">
          <cell r="B10" t="str">
            <v>SLT0000408</v>
          </cell>
          <cell r="C10" t="str">
            <v>K1单人背（带头枕）</v>
          </cell>
          <cell r="E10" t="str">
            <v>件</v>
          </cell>
          <cell r="F10">
            <v>26.734999999999999</v>
          </cell>
          <cell r="G10">
            <v>28.374565</v>
          </cell>
        </row>
        <row r="11">
          <cell r="B11" t="str">
            <v>SLT0000449</v>
          </cell>
          <cell r="C11" t="str">
            <v>K1四人连体左（三点式）</v>
          </cell>
          <cell r="E11" t="str">
            <v>件</v>
          </cell>
          <cell r="F11">
            <v>49.931600000000003</v>
          </cell>
          <cell r="G11">
            <v>54.495202000000006</v>
          </cell>
        </row>
        <row r="12">
          <cell r="B12" t="str">
            <v>SLT0000462</v>
          </cell>
          <cell r="C12" t="str">
            <v>K1四人连体右（三点式）</v>
          </cell>
          <cell r="E12" t="str">
            <v>件</v>
          </cell>
          <cell r="F12">
            <v>49.931600000000003</v>
          </cell>
          <cell r="G12">
            <v>54.495202000000006</v>
          </cell>
        </row>
        <row r="13">
          <cell r="B13" t="str">
            <v>SLT0000517</v>
          </cell>
          <cell r="C13" t="str">
            <v>K1侧翻背三点式（新状态）</v>
          </cell>
          <cell r="E13" t="str">
            <v>件</v>
          </cell>
          <cell r="F13">
            <v>38.734999999999999</v>
          </cell>
          <cell r="G13">
            <v>42.093620000000001</v>
          </cell>
        </row>
        <row r="14">
          <cell r="B14" t="str">
            <v>SLT0000551</v>
          </cell>
          <cell r="C14" t="str">
            <v>K1单人背（无头枕）</v>
          </cell>
          <cell r="E14" t="str">
            <v>件</v>
          </cell>
          <cell r="F14">
            <v>26.187999999999999</v>
          </cell>
          <cell r="G14">
            <v>27.843975</v>
          </cell>
        </row>
        <row r="15">
          <cell r="B15" t="str">
            <v>SLT0000552</v>
          </cell>
          <cell r="C15" t="str">
            <v>K1一排四人三人靠背（右舵）</v>
          </cell>
          <cell r="E15" t="str">
            <v>件</v>
          </cell>
          <cell r="F15">
            <v>63.752099999999999</v>
          </cell>
          <cell r="G15">
            <v>71.413387</v>
          </cell>
        </row>
        <row r="16">
          <cell r="B16" t="str">
            <v>SLT0000558</v>
          </cell>
          <cell r="C16" t="str">
            <v>K1二排双人连体背（无头枕带扶手）</v>
          </cell>
          <cell r="E16" t="str">
            <v>件</v>
          </cell>
          <cell r="F16">
            <v>53.470100000000002</v>
          </cell>
          <cell r="G16">
            <v>57.927547000000004</v>
          </cell>
        </row>
        <row r="17">
          <cell r="B17" t="str">
            <v>SLT0000568</v>
          </cell>
          <cell r="C17" t="str">
            <v>K1四人连体左（无头枕）</v>
          </cell>
          <cell r="E17" t="str">
            <v>件</v>
          </cell>
          <cell r="F17">
            <v>47.965800000000002</v>
          </cell>
          <cell r="G17">
            <v>52.588376000000004</v>
          </cell>
        </row>
        <row r="18">
          <cell r="B18" t="str">
            <v>SLT0000569</v>
          </cell>
          <cell r="C18" t="str">
            <v>K1四人连体右（无头枕）</v>
          </cell>
          <cell r="E18" t="str">
            <v>件</v>
          </cell>
          <cell r="F18">
            <v>47.965800000000002</v>
          </cell>
          <cell r="G18">
            <v>52.588376000000004</v>
          </cell>
        </row>
        <row r="19">
          <cell r="B19" t="str">
            <v>SLT0000578</v>
          </cell>
          <cell r="C19" t="str">
            <v>K1双人右置左背（带安全盒）</v>
          </cell>
          <cell r="E19" t="str">
            <v>件</v>
          </cell>
          <cell r="F19">
            <v>30.726500000000001</v>
          </cell>
          <cell r="G19">
            <v>32.807155000000002</v>
          </cell>
        </row>
        <row r="20">
          <cell r="B20" t="str">
            <v>SLT0000595</v>
          </cell>
          <cell r="C20" t="str">
            <v>K1第三排侧翻左背（单头枕）</v>
          </cell>
          <cell r="E20" t="str">
            <v>件</v>
          </cell>
          <cell r="F20">
            <v>24.6068</v>
          </cell>
          <cell r="G20">
            <v>27.732126000000001</v>
          </cell>
        </row>
        <row r="21">
          <cell r="B21" t="str">
            <v>SLT0000604</v>
          </cell>
          <cell r="C21" t="str">
            <v>K1侧翻右背（单头枕三点式）</v>
          </cell>
          <cell r="E21" t="str">
            <v>件</v>
          </cell>
          <cell r="F21">
            <v>37.068399999999997</v>
          </cell>
          <cell r="G21">
            <v>40.216428000000001</v>
          </cell>
        </row>
        <row r="22">
          <cell r="B22" t="str">
            <v>SLT0000630</v>
          </cell>
          <cell r="C22" t="str">
            <v>K1窄车左舵三排三人背(三点式）</v>
          </cell>
          <cell r="E22" t="str">
            <v>件</v>
          </cell>
          <cell r="F22">
            <v>55.7607</v>
          </cell>
          <cell r="G22">
            <v>64.160248999999993</v>
          </cell>
        </row>
        <row r="23">
          <cell r="B23" t="str">
            <v>SLT0000638</v>
          </cell>
          <cell r="C23" t="str">
            <v>K1窄车左舵二排双人连体背(带头枕扶手三点式）</v>
          </cell>
          <cell r="E23" t="str">
            <v>件</v>
          </cell>
          <cell r="F23">
            <v>50.2821</v>
          </cell>
          <cell r="G23">
            <v>55.571637000000003</v>
          </cell>
        </row>
        <row r="24">
          <cell r="B24" t="str">
            <v>SLT0000651</v>
          </cell>
          <cell r="C24" t="str">
            <v>K1侧翻左背（不带头枕）</v>
          </cell>
          <cell r="E24" t="str">
            <v>件</v>
          </cell>
          <cell r="F24">
            <v>27.965800000000002</v>
          </cell>
          <cell r="G24">
            <v>30.933706000000001</v>
          </cell>
        </row>
        <row r="25">
          <cell r="B25" t="str">
            <v>SLT0000395</v>
          </cell>
          <cell r="C25" t="str">
            <v>双人右背（安全盒）</v>
          </cell>
          <cell r="E25" t="str">
            <v>件</v>
          </cell>
          <cell r="F25">
            <v>32.786283185840709</v>
          </cell>
          <cell r="G25">
            <v>34.805144690265486</v>
          </cell>
        </row>
        <row r="26">
          <cell r="B26" t="str">
            <v>SLT0001041</v>
          </cell>
          <cell r="C26" t="str">
            <v>K1出口马来西亚左背骨架</v>
          </cell>
          <cell r="E26" t="str">
            <v>件</v>
          </cell>
          <cell r="F26">
            <v>31.6496</v>
          </cell>
          <cell r="G26">
            <v>33.430641999999999</v>
          </cell>
        </row>
        <row r="27">
          <cell r="B27" t="str">
            <v>SLT0001042</v>
          </cell>
          <cell r="C27" t="str">
            <v>K1出口马来西亚右背骨架</v>
          </cell>
          <cell r="E27" t="str">
            <v>件</v>
          </cell>
          <cell r="F27">
            <v>31.6496</v>
          </cell>
          <cell r="G27">
            <v>33.430641999999999</v>
          </cell>
        </row>
        <row r="28">
          <cell r="B28" t="str">
            <v>SLT0001035</v>
          </cell>
          <cell r="C28" t="str">
            <v>宽车一排三人联体背无头枕骨架(无头枕）骨架</v>
          </cell>
          <cell r="E28" t="str">
            <v>件</v>
          </cell>
          <cell r="F28">
            <v>56.991500000000002</v>
          </cell>
          <cell r="G28">
            <v>56.991500000000002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8"/>
  <sheetViews>
    <sheetView zoomScale="80" zoomScaleNormal="80" workbookViewId="0">
      <pane xSplit="6" ySplit="2" topLeftCell="G3" activePane="bottomRight" state="frozen"/>
      <selection pane="topRight" activeCell="F1" sqref="F1"/>
      <selection pane="bottomLeft" activeCell="A3" sqref="A3"/>
      <selection pane="bottomRight" activeCell="C14" sqref="C14"/>
    </sheetView>
  </sheetViews>
  <sheetFormatPr defaultColWidth="9" defaultRowHeight="14.4"/>
  <cols>
    <col min="1" max="1" width="6.33203125" customWidth="1"/>
    <col min="2" max="2" width="9.5546875" customWidth="1"/>
    <col min="3" max="3" width="19.88671875" customWidth="1"/>
    <col min="4" max="4" width="32" style="18" customWidth="1"/>
    <col min="5" max="5" width="10.88671875" customWidth="1"/>
    <col min="6" max="6" width="11.77734375" customWidth="1"/>
    <col min="7" max="7" width="7.6640625" customWidth="1"/>
    <col min="9" max="9" width="10" customWidth="1"/>
    <col min="10" max="10" width="9.88671875" customWidth="1"/>
    <col min="11" max="11" width="9.33203125"/>
    <col min="12" max="12" width="10.21875" customWidth="1"/>
    <col min="13" max="13" width="13.44140625" customWidth="1"/>
    <col min="14" max="14" width="17.21875" customWidth="1"/>
    <col min="15" max="15" width="28.109375" style="18" customWidth="1"/>
  </cols>
  <sheetData>
    <row r="1" spans="1:18" ht="34.950000000000003" customHeight="1">
      <c r="A1" s="83" t="s">
        <v>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33" t="s">
        <v>91</v>
      </c>
      <c r="O1" s="34" t="s">
        <v>92</v>
      </c>
    </row>
    <row r="2" spans="1:18" ht="36" customHeight="1">
      <c r="A2" s="1" t="s">
        <v>0</v>
      </c>
      <c r="B2" s="5" t="s">
        <v>54</v>
      </c>
      <c r="C2" s="1" t="s">
        <v>1</v>
      </c>
      <c r="D2" s="1" t="s">
        <v>2</v>
      </c>
      <c r="E2" s="2" t="s">
        <v>6</v>
      </c>
      <c r="F2" s="20" t="s">
        <v>90</v>
      </c>
      <c r="G2" s="1" t="s">
        <v>3</v>
      </c>
      <c r="H2" s="7" t="s">
        <v>4</v>
      </c>
      <c r="I2" s="7" t="s">
        <v>7</v>
      </c>
      <c r="J2" s="9" t="s">
        <v>13</v>
      </c>
      <c r="K2" s="3" t="s">
        <v>8</v>
      </c>
      <c r="L2" s="2" t="s">
        <v>9</v>
      </c>
      <c r="M2" s="2" t="s">
        <v>10</v>
      </c>
      <c r="N2" s="6" t="s">
        <v>11</v>
      </c>
      <c r="O2" s="5" t="s">
        <v>12</v>
      </c>
      <c r="Q2" s="6" t="s">
        <v>89</v>
      </c>
      <c r="R2" s="26" t="s">
        <v>93</v>
      </c>
    </row>
    <row r="3" spans="1:18" s="14" customFormat="1" ht="22.8" customHeight="1">
      <c r="A3" s="4">
        <v>1</v>
      </c>
      <c r="B3" s="4" t="s">
        <v>56</v>
      </c>
      <c r="C3" s="4" t="s">
        <v>14</v>
      </c>
      <c r="D3" s="22" t="s">
        <v>15</v>
      </c>
      <c r="E3" s="8">
        <v>25.214200000000002</v>
      </c>
      <c r="F3" s="19">
        <v>2.1680000000000001</v>
      </c>
      <c r="G3" s="4"/>
      <c r="H3" s="4">
        <v>1.1000000000000001</v>
      </c>
      <c r="I3" s="4">
        <f t="shared" ref="I3" si="0">F3*H3</f>
        <v>2.3848000000000003</v>
      </c>
      <c r="J3" s="4">
        <f t="shared" ref="J3" si="1">I3*1.03</f>
        <v>2.4563440000000005</v>
      </c>
      <c r="K3" s="4">
        <f t="shared" ref="K3:K24" si="2">E3*0.03</f>
        <v>0.75642600000000004</v>
      </c>
      <c r="L3" s="10">
        <f t="shared" ref="L3" si="3">J3-K3</f>
        <v>1.6999180000000005</v>
      </c>
      <c r="M3" s="11">
        <f t="shared" ref="M3:M38" si="4">E3+L3</f>
        <v>26.914118000000002</v>
      </c>
      <c r="N3" s="12">
        <f t="shared" ref="N3:N38" si="5">(M3-E3)/E3</f>
        <v>6.7419073379286279E-2</v>
      </c>
      <c r="O3" s="21" t="s">
        <v>18</v>
      </c>
      <c r="Q3" s="4">
        <f>VLOOKUP(C3,[1]潍坊荣昌!$C$5:$N$48,12,0)</f>
        <v>33.5</v>
      </c>
      <c r="R3" s="27">
        <f>Q3/1.13</f>
        <v>29.646017699115045</v>
      </c>
    </row>
    <row r="4" spans="1:18" s="14" customFormat="1" ht="22.8" customHeight="1">
      <c r="A4" s="4">
        <v>2</v>
      </c>
      <c r="B4" s="4" t="s">
        <v>56</v>
      </c>
      <c r="C4" s="4" t="s">
        <v>16</v>
      </c>
      <c r="D4" s="22" t="s">
        <v>17</v>
      </c>
      <c r="E4" s="8">
        <v>23.076899999999998</v>
      </c>
      <c r="F4" s="19">
        <v>2.0979999999999999</v>
      </c>
      <c r="G4" s="4"/>
      <c r="H4" s="4">
        <v>1.1000000000000001</v>
      </c>
      <c r="I4" s="4">
        <f t="shared" ref="I4" si="6">F4*H4</f>
        <v>2.3077999999999999</v>
      </c>
      <c r="J4" s="4">
        <f t="shared" ref="J4" si="7">I4*1.03</f>
        <v>2.3770340000000001</v>
      </c>
      <c r="K4" s="4">
        <f t="shared" si="2"/>
        <v>0.69230699999999989</v>
      </c>
      <c r="L4" s="10">
        <f t="shared" ref="L4" si="8">J4-K4</f>
        <v>1.6847270000000001</v>
      </c>
      <c r="M4" s="11">
        <f t="shared" si="4"/>
        <v>24.761626999999997</v>
      </c>
      <c r="N4" s="12">
        <f t="shared" si="5"/>
        <v>7.3004909671576287E-2</v>
      </c>
      <c r="O4" s="17" t="s">
        <v>18</v>
      </c>
      <c r="Q4" s="4">
        <f>VLOOKUP(C4,[1]潍坊荣昌!$C$5:$N$48,12,0)</f>
        <v>32.700000000000003</v>
      </c>
      <c r="R4" s="27">
        <f t="shared" ref="R4:R38" si="9">Q4/1.13</f>
        <v>28.938053097345136</v>
      </c>
    </row>
    <row r="5" spans="1:18" s="14" customFormat="1" ht="22.8" customHeight="1">
      <c r="A5" s="4">
        <v>3</v>
      </c>
      <c r="B5" s="4" t="s">
        <v>56</v>
      </c>
      <c r="C5" s="4" t="s">
        <v>19</v>
      </c>
      <c r="D5" s="22" t="s">
        <v>20</v>
      </c>
      <c r="E5" s="8">
        <v>24.786799999999999</v>
      </c>
      <c r="F5" s="19">
        <v>1.9910000000000001</v>
      </c>
      <c r="G5" s="4"/>
      <c r="H5" s="4">
        <v>1.1000000000000001</v>
      </c>
      <c r="I5" s="4">
        <f t="shared" ref="I5" si="10">F5*H5</f>
        <v>2.1901000000000002</v>
      </c>
      <c r="J5" s="4">
        <f t="shared" ref="J5" si="11">I5*1.03</f>
        <v>2.2558030000000002</v>
      </c>
      <c r="K5" s="4">
        <f t="shared" si="2"/>
        <v>0.74360399999999993</v>
      </c>
      <c r="L5" s="10">
        <f t="shared" ref="L5" si="12">J5-K5</f>
        <v>1.5121990000000003</v>
      </c>
      <c r="M5" s="11">
        <f t="shared" si="4"/>
        <v>26.298998999999998</v>
      </c>
      <c r="N5" s="12">
        <f t="shared" si="5"/>
        <v>6.1008238255845816E-2</v>
      </c>
      <c r="O5" s="17" t="s">
        <v>18</v>
      </c>
      <c r="Q5" s="4">
        <f>VLOOKUP(C5,[1]潍坊荣昌!$C$5:$N$48,12,0)</f>
        <v>31.49</v>
      </c>
      <c r="R5" s="27">
        <f t="shared" si="9"/>
        <v>27.867256637168143</v>
      </c>
    </row>
    <row r="6" spans="1:18" s="14" customFormat="1" ht="22.8" customHeight="1">
      <c r="A6" s="4">
        <v>4</v>
      </c>
      <c r="B6" s="4" t="s">
        <v>56</v>
      </c>
      <c r="C6" s="4" t="s">
        <v>21</v>
      </c>
      <c r="D6" s="16" t="s">
        <v>22</v>
      </c>
      <c r="E6" s="4">
        <f>VLOOKUP(C6,'[2]恒伟GY (2)'!$B$9:$F$31,5,0)</f>
        <v>26.734999999999999</v>
      </c>
      <c r="F6" s="19">
        <v>2.1549999999999998</v>
      </c>
      <c r="G6" s="4"/>
      <c r="H6" s="4">
        <v>1.1000000000000001</v>
      </c>
      <c r="I6" s="4">
        <f t="shared" ref="I6" si="13">F6*H6</f>
        <v>2.3704999999999998</v>
      </c>
      <c r="J6" s="4">
        <f t="shared" ref="J6" si="14">I6*1.03</f>
        <v>2.4416150000000001</v>
      </c>
      <c r="K6" s="4">
        <f t="shared" si="2"/>
        <v>0.80204999999999993</v>
      </c>
      <c r="L6" s="10">
        <f t="shared" ref="L6" si="15">J6-K6</f>
        <v>1.6395650000000002</v>
      </c>
      <c r="M6" s="11">
        <f t="shared" si="4"/>
        <v>28.374565</v>
      </c>
      <c r="N6" s="12">
        <f t="shared" si="5"/>
        <v>6.132653824574532E-2</v>
      </c>
      <c r="O6" s="17"/>
      <c r="Q6" s="4">
        <f>VLOOKUP(C6,[1]潍坊荣昌!$C$5:$N$48,12,0)</f>
        <v>38.5</v>
      </c>
      <c r="R6" s="27">
        <f t="shared" si="9"/>
        <v>34.070796460176993</v>
      </c>
    </row>
    <row r="7" spans="1:18" s="14" customFormat="1" ht="22.8" customHeight="1">
      <c r="A7" s="4">
        <v>5</v>
      </c>
      <c r="B7" s="4" t="s">
        <v>56</v>
      </c>
      <c r="C7" s="4" t="s">
        <v>23</v>
      </c>
      <c r="D7" s="16" t="s">
        <v>24</v>
      </c>
      <c r="E7" s="4">
        <f>VLOOKUP(C7,'[2]恒伟GY (2)'!$B$9:$F$31,5,0)</f>
        <v>26.187999999999999</v>
      </c>
      <c r="F7" s="19">
        <v>2.1549999999999998</v>
      </c>
      <c r="G7" s="4"/>
      <c r="H7" s="4">
        <v>1.1000000000000001</v>
      </c>
      <c r="I7" s="4">
        <f t="shared" ref="I7" si="16">F7*H7</f>
        <v>2.3704999999999998</v>
      </c>
      <c r="J7" s="4">
        <f t="shared" ref="J7" si="17">I7*1.03</f>
        <v>2.4416150000000001</v>
      </c>
      <c r="K7" s="4">
        <f t="shared" si="2"/>
        <v>0.78563999999999989</v>
      </c>
      <c r="L7" s="10">
        <f t="shared" ref="L7" si="18">J7-K7</f>
        <v>1.6559750000000002</v>
      </c>
      <c r="M7" s="11">
        <f t="shared" si="4"/>
        <v>27.843975</v>
      </c>
      <c r="N7" s="12">
        <f t="shared" si="5"/>
        <v>6.3234114861768817E-2</v>
      </c>
      <c r="O7" s="17"/>
      <c r="Q7" s="4">
        <f>VLOOKUP(C7,[1]潍坊荣昌!$C$5:$N$48,12,0)</f>
        <v>37</v>
      </c>
      <c r="R7" s="27">
        <f t="shared" si="9"/>
        <v>32.743362831858413</v>
      </c>
    </row>
    <row r="8" spans="1:18" s="14" customFormat="1" ht="22.8" customHeight="1">
      <c r="A8" s="4">
        <v>6</v>
      </c>
      <c r="B8" s="4" t="s">
        <v>56</v>
      </c>
      <c r="C8" s="4" t="s">
        <v>25</v>
      </c>
      <c r="D8" s="16" t="s">
        <v>26</v>
      </c>
      <c r="E8" s="4">
        <f>VLOOKUP(C8,'[2]恒伟GY (2)'!$B$9:$F$31,5,0)</f>
        <v>28.461500000000001</v>
      </c>
      <c r="F8" s="19">
        <v>2.1850000000000001</v>
      </c>
      <c r="G8" s="4"/>
      <c r="H8" s="4">
        <v>1.1000000000000001</v>
      </c>
      <c r="I8" s="4">
        <f t="shared" ref="I8" si="19">F8*H8</f>
        <v>2.4035000000000002</v>
      </c>
      <c r="J8" s="4">
        <f t="shared" ref="J8" si="20">I8*1.03</f>
        <v>2.4756050000000003</v>
      </c>
      <c r="K8" s="4">
        <f t="shared" si="2"/>
        <v>0.85384499999999997</v>
      </c>
      <c r="L8" s="10">
        <f t="shared" ref="L8" si="21">J8-K8</f>
        <v>1.6217600000000003</v>
      </c>
      <c r="M8" s="11">
        <f t="shared" si="4"/>
        <v>30.083260000000003</v>
      </c>
      <c r="N8" s="12">
        <f t="shared" si="5"/>
        <v>5.6980833757883521E-2</v>
      </c>
      <c r="O8" s="17"/>
      <c r="Q8" s="4">
        <f>VLOOKUP(C8,[1]潍坊荣昌!$C$5:$N$48,12,0)</f>
        <v>39</v>
      </c>
      <c r="R8" s="27">
        <f t="shared" si="9"/>
        <v>34.513274336283189</v>
      </c>
    </row>
    <row r="9" spans="1:18" s="14" customFormat="1" ht="22.8" customHeight="1">
      <c r="A9" s="4">
        <v>7</v>
      </c>
      <c r="B9" s="4" t="s">
        <v>56</v>
      </c>
      <c r="C9" s="4" t="s">
        <v>27</v>
      </c>
      <c r="D9" s="22" t="s">
        <v>28</v>
      </c>
      <c r="E9" s="8">
        <f>37.0485/1.13</f>
        <v>32.786283185840709</v>
      </c>
      <c r="F9" s="19">
        <v>2.65</v>
      </c>
      <c r="G9" s="4"/>
      <c r="H9" s="4">
        <v>1.1000000000000001</v>
      </c>
      <c r="I9" s="4">
        <f t="shared" ref="I9" si="22">F9*H9</f>
        <v>2.915</v>
      </c>
      <c r="J9" s="4">
        <f t="shared" ref="J9" si="23">I9*1.03</f>
        <v>3.0024500000000001</v>
      </c>
      <c r="K9" s="4">
        <f t="shared" si="2"/>
        <v>0.98358849557522121</v>
      </c>
      <c r="L9" s="10">
        <f t="shared" ref="L9" si="24">J9-K9</f>
        <v>2.0188615044247786</v>
      </c>
      <c r="M9" s="11">
        <f t="shared" si="4"/>
        <v>34.805144690265486</v>
      </c>
      <c r="N9" s="12">
        <f t="shared" si="5"/>
        <v>6.1576406602156575E-2</v>
      </c>
      <c r="O9" s="17" t="s">
        <v>29</v>
      </c>
      <c r="Q9" s="4">
        <f>VLOOKUP(C9,[1]潍坊荣昌!$C$5:$N$48,12,0)</f>
        <v>48</v>
      </c>
      <c r="R9" s="27">
        <f t="shared" si="9"/>
        <v>42.477876106194692</v>
      </c>
    </row>
    <row r="10" spans="1:18" s="14" customFormat="1" ht="22.8" customHeight="1">
      <c r="A10" s="4">
        <v>8</v>
      </c>
      <c r="B10" s="4" t="s">
        <v>56</v>
      </c>
      <c r="C10" s="4" t="s">
        <v>30</v>
      </c>
      <c r="D10" s="16" t="s">
        <v>31</v>
      </c>
      <c r="E10" s="4">
        <f>VLOOKUP(C10,'[2]恒伟GY (2)'!$B$9:$F$31,5,0)</f>
        <v>30.726500000000001</v>
      </c>
      <c r="F10" s="19">
        <v>2.65</v>
      </c>
      <c r="G10" s="4"/>
      <c r="H10" s="4">
        <v>1.1000000000000001</v>
      </c>
      <c r="I10" s="4">
        <f t="shared" ref="I10" si="25">F10*H10</f>
        <v>2.915</v>
      </c>
      <c r="J10" s="4">
        <f t="shared" ref="J10" si="26">I10*1.03</f>
        <v>3.0024500000000001</v>
      </c>
      <c r="K10" s="4">
        <f t="shared" si="2"/>
        <v>0.92179500000000003</v>
      </c>
      <c r="L10" s="10">
        <f t="shared" ref="L10" si="27">J10-K10</f>
        <v>2.0806550000000001</v>
      </c>
      <c r="M10" s="11">
        <f t="shared" si="4"/>
        <v>32.807155000000002</v>
      </c>
      <c r="N10" s="12">
        <f t="shared" si="5"/>
        <v>6.771532716059428E-2</v>
      </c>
      <c r="O10" s="17"/>
      <c r="Q10" s="4">
        <f>VLOOKUP(C10,[1]潍坊荣昌!$C$5:$N$48,12,0)</f>
        <v>48</v>
      </c>
      <c r="R10" s="27">
        <f t="shared" si="9"/>
        <v>42.477876106194692</v>
      </c>
    </row>
    <row r="11" spans="1:18" s="14" customFormat="1" ht="22.8" customHeight="1">
      <c r="A11" s="4">
        <v>9</v>
      </c>
      <c r="B11" s="4" t="s">
        <v>56</v>
      </c>
      <c r="C11" s="13" t="s">
        <v>32</v>
      </c>
      <c r="D11" s="28" t="s">
        <v>33</v>
      </c>
      <c r="E11" s="13">
        <f>VLOOKUP(C11,'[2]恒伟GY (2)'!$B$9:$F$31,5,0)</f>
        <v>38.734999999999999</v>
      </c>
      <c r="F11" s="19">
        <v>3.99</v>
      </c>
      <c r="G11" s="13"/>
      <c r="H11" s="13">
        <v>1.1000000000000001</v>
      </c>
      <c r="I11" s="13">
        <f t="shared" ref="I11" si="28">F11*H11</f>
        <v>4.3890000000000002</v>
      </c>
      <c r="J11" s="13">
        <f t="shared" ref="J11" si="29">I11*1.03</f>
        <v>4.52067</v>
      </c>
      <c r="K11" s="13">
        <f t="shared" si="2"/>
        <v>1.16205</v>
      </c>
      <c r="L11" s="29">
        <f t="shared" ref="L11" si="30">J11-K11</f>
        <v>3.3586200000000002</v>
      </c>
      <c r="M11" s="30">
        <f t="shared" si="4"/>
        <v>42.093620000000001</v>
      </c>
      <c r="N11" s="31">
        <f t="shared" si="5"/>
        <v>8.6707628759519859E-2</v>
      </c>
      <c r="O11" s="21"/>
      <c r="Q11" s="4">
        <f>VLOOKUP(C11,[1]潍坊荣昌!$C$5:$N$48,12,0)</f>
        <v>66.3</v>
      </c>
      <c r="R11" s="27">
        <f t="shared" si="9"/>
        <v>58.67256637168142</v>
      </c>
    </row>
    <row r="12" spans="1:18" s="14" customFormat="1" ht="22.8" customHeight="1">
      <c r="A12" s="4">
        <v>10</v>
      </c>
      <c r="B12" s="4" t="s">
        <v>56</v>
      </c>
      <c r="C12" s="13" t="s">
        <v>79</v>
      </c>
      <c r="D12" s="28" t="s">
        <v>34</v>
      </c>
      <c r="E12" s="13">
        <f>VLOOKUP(C12,'[2]恒伟GY (2)'!$B$9:$F$31,5,0)</f>
        <v>37.068399999999997</v>
      </c>
      <c r="F12" s="19">
        <v>3.76</v>
      </c>
      <c r="G12" s="13"/>
      <c r="H12" s="13">
        <v>1.1000000000000001</v>
      </c>
      <c r="I12" s="13">
        <f t="shared" ref="I12" si="31">F12*H12</f>
        <v>4.1360000000000001</v>
      </c>
      <c r="J12" s="13">
        <f t="shared" ref="J12" si="32">I12*1.03</f>
        <v>4.2600800000000003</v>
      </c>
      <c r="K12" s="13">
        <f t="shared" si="2"/>
        <v>1.1120519999999998</v>
      </c>
      <c r="L12" s="29">
        <f t="shared" ref="L12" si="33">J12-K12</f>
        <v>3.1480280000000005</v>
      </c>
      <c r="M12" s="30">
        <f t="shared" si="4"/>
        <v>40.216428000000001</v>
      </c>
      <c r="N12" s="31">
        <f t="shared" si="5"/>
        <v>8.4924841644095889E-2</v>
      </c>
      <c r="O12" s="21"/>
      <c r="Q12" s="4">
        <f>VLOOKUP(C12,[1]潍坊荣昌!$C$5:$N$48,12,0)</f>
        <v>63.5</v>
      </c>
      <c r="R12" s="27">
        <f t="shared" si="9"/>
        <v>56.194690265486734</v>
      </c>
    </row>
    <row r="13" spans="1:18" s="14" customFormat="1" ht="22.8" customHeight="1">
      <c r="A13" s="4">
        <v>11</v>
      </c>
      <c r="B13" s="4" t="s">
        <v>56</v>
      </c>
      <c r="C13" s="13" t="s">
        <v>35</v>
      </c>
      <c r="D13" s="17" t="s">
        <v>36</v>
      </c>
      <c r="E13" s="4">
        <f>VLOOKUP(C13,'[2]恒伟GY (2)'!$B$9:$F$31,5,0)</f>
        <v>27.965800000000002</v>
      </c>
      <c r="F13" s="19">
        <v>3.36</v>
      </c>
      <c r="G13" s="4"/>
      <c r="H13" s="4">
        <v>1.1000000000000001</v>
      </c>
      <c r="I13" s="4">
        <f t="shared" ref="I13:I38" si="34">F13*H13</f>
        <v>3.6960000000000002</v>
      </c>
      <c r="J13" s="4">
        <f t="shared" ref="J13:J38" si="35">I13*1.03</f>
        <v>3.8068800000000005</v>
      </c>
      <c r="K13" s="4">
        <f t="shared" si="2"/>
        <v>0.838974</v>
      </c>
      <c r="L13" s="10">
        <f t="shared" ref="L13:L38" si="36">J13-K13</f>
        <v>2.9679060000000006</v>
      </c>
      <c r="M13" s="11">
        <f t="shared" si="4"/>
        <v>30.933706000000001</v>
      </c>
      <c r="N13" s="12">
        <f t="shared" si="5"/>
        <v>0.10612626851368454</v>
      </c>
      <c r="O13" s="17"/>
      <c r="Q13" s="4">
        <f>VLOOKUP(C13,[1]潍坊荣昌!$C$5:$N$48,12,0)</f>
        <v>45.8</v>
      </c>
      <c r="R13" s="27">
        <f t="shared" si="9"/>
        <v>40.530973451327434</v>
      </c>
    </row>
    <row r="14" spans="1:18" s="14" customFormat="1" ht="22.8" customHeight="1">
      <c r="A14" s="4">
        <v>12</v>
      </c>
      <c r="B14" s="4" t="s">
        <v>56</v>
      </c>
      <c r="C14" s="4" t="s">
        <v>37</v>
      </c>
      <c r="D14" s="17" t="s">
        <v>38</v>
      </c>
      <c r="E14" s="4">
        <f>VLOOKUP(C14,'[2]恒伟GY (2)'!$B$9:$F$31,5,0)</f>
        <v>49.931600000000003</v>
      </c>
      <c r="F14" s="19">
        <v>5.35</v>
      </c>
      <c r="G14" s="4"/>
      <c r="H14" s="4">
        <v>1.1000000000000001</v>
      </c>
      <c r="I14" s="4">
        <f t="shared" si="34"/>
        <v>5.8849999999999998</v>
      </c>
      <c r="J14" s="4">
        <f t="shared" si="35"/>
        <v>6.0615499999999995</v>
      </c>
      <c r="K14" s="4">
        <f t="shared" si="2"/>
        <v>1.4979480000000001</v>
      </c>
      <c r="L14" s="10">
        <f t="shared" si="36"/>
        <v>4.5636019999999995</v>
      </c>
      <c r="M14" s="11">
        <f t="shared" si="4"/>
        <v>54.495202000000006</v>
      </c>
      <c r="N14" s="12">
        <f t="shared" si="5"/>
        <v>9.1397071193392618E-2</v>
      </c>
      <c r="O14" s="17"/>
      <c r="Q14" s="4">
        <v>84</v>
      </c>
      <c r="R14" s="27">
        <f t="shared" si="9"/>
        <v>74.336283185840713</v>
      </c>
    </row>
    <row r="15" spans="1:18" s="14" customFormat="1" ht="22.8" customHeight="1">
      <c r="A15" s="4">
        <v>13</v>
      </c>
      <c r="B15" s="4" t="s">
        <v>56</v>
      </c>
      <c r="C15" s="4" t="s">
        <v>39</v>
      </c>
      <c r="D15" s="17" t="s">
        <v>40</v>
      </c>
      <c r="E15" s="4">
        <f>VLOOKUP(C15,'[2]恒伟GY (2)'!$B$9:$F$31,5,0)</f>
        <v>49.931600000000003</v>
      </c>
      <c r="F15" s="19">
        <v>5.35</v>
      </c>
      <c r="G15" s="4"/>
      <c r="H15" s="4">
        <v>1.1000000000000001</v>
      </c>
      <c r="I15" s="4">
        <f t="shared" si="34"/>
        <v>5.8849999999999998</v>
      </c>
      <c r="J15" s="4">
        <f t="shared" si="35"/>
        <v>6.0615499999999995</v>
      </c>
      <c r="K15" s="4">
        <f t="shared" si="2"/>
        <v>1.4979480000000001</v>
      </c>
      <c r="L15" s="10">
        <f t="shared" si="36"/>
        <v>4.5636019999999995</v>
      </c>
      <c r="M15" s="11">
        <f t="shared" si="4"/>
        <v>54.495202000000006</v>
      </c>
      <c r="N15" s="12">
        <f t="shared" si="5"/>
        <v>9.1397071193392618E-2</v>
      </c>
      <c r="O15" s="17"/>
      <c r="Q15" s="4">
        <v>84</v>
      </c>
      <c r="R15" s="27">
        <f t="shared" si="9"/>
        <v>74.336283185840713</v>
      </c>
    </row>
    <row r="16" spans="1:18" s="14" customFormat="1" ht="22.8" customHeight="1">
      <c r="A16" s="4">
        <v>14</v>
      </c>
      <c r="B16" s="4" t="s">
        <v>56</v>
      </c>
      <c r="C16" s="4" t="s">
        <v>41</v>
      </c>
      <c r="D16" s="17" t="s">
        <v>42</v>
      </c>
      <c r="E16" s="4">
        <f>VLOOKUP(C16,'[2]恒伟GY (2)'!$B$9:$F$31,5,0)</f>
        <v>47.965800000000002</v>
      </c>
      <c r="F16" s="19">
        <v>5.35</v>
      </c>
      <c r="G16" s="4"/>
      <c r="H16" s="4">
        <v>1.1000000000000001</v>
      </c>
      <c r="I16" s="4">
        <f t="shared" si="34"/>
        <v>5.8849999999999998</v>
      </c>
      <c r="J16" s="4">
        <f t="shared" si="35"/>
        <v>6.0615499999999995</v>
      </c>
      <c r="K16" s="4">
        <f t="shared" si="2"/>
        <v>1.438974</v>
      </c>
      <c r="L16" s="10">
        <f t="shared" si="36"/>
        <v>4.6225759999999996</v>
      </c>
      <c r="M16" s="11">
        <f t="shared" si="4"/>
        <v>52.588376000000004</v>
      </c>
      <c r="N16" s="12">
        <f t="shared" si="5"/>
        <v>9.6372331953183357E-2</v>
      </c>
      <c r="O16" s="17"/>
      <c r="Q16" s="4">
        <v>79</v>
      </c>
      <c r="R16" s="27">
        <f t="shared" si="9"/>
        <v>69.911504424778769</v>
      </c>
    </row>
    <row r="17" spans="1:18" s="14" customFormat="1" ht="22.8" customHeight="1">
      <c r="A17" s="4">
        <v>15</v>
      </c>
      <c r="B17" s="4" t="s">
        <v>56</v>
      </c>
      <c r="C17" s="4" t="s">
        <v>43</v>
      </c>
      <c r="D17" s="21" t="s">
        <v>44</v>
      </c>
      <c r="E17" s="4">
        <f>VLOOKUP(C17,'[2]恒伟GY (2)'!$B$9:$F$31,5,0)</f>
        <v>47.965800000000002</v>
      </c>
      <c r="F17" s="19">
        <v>5.35</v>
      </c>
      <c r="G17" s="4"/>
      <c r="H17" s="4">
        <v>1.1000000000000001</v>
      </c>
      <c r="I17" s="4">
        <f t="shared" si="34"/>
        <v>5.8849999999999998</v>
      </c>
      <c r="J17" s="4">
        <f t="shared" si="35"/>
        <v>6.0615499999999995</v>
      </c>
      <c r="K17" s="4">
        <f t="shared" si="2"/>
        <v>1.438974</v>
      </c>
      <c r="L17" s="10">
        <f t="shared" si="36"/>
        <v>4.6225759999999996</v>
      </c>
      <c r="M17" s="11">
        <f t="shared" si="4"/>
        <v>52.588376000000004</v>
      </c>
      <c r="N17" s="12">
        <f t="shared" si="5"/>
        <v>9.6372331953183357E-2</v>
      </c>
      <c r="O17" s="17"/>
      <c r="Q17" s="4">
        <v>79</v>
      </c>
      <c r="R17" s="27">
        <f t="shared" si="9"/>
        <v>69.911504424778769</v>
      </c>
    </row>
    <row r="18" spans="1:18" s="14" customFormat="1" ht="22.8" customHeight="1">
      <c r="A18" s="4">
        <v>16</v>
      </c>
      <c r="B18" s="4" t="s">
        <v>56</v>
      </c>
      <c r="C18" s="4" t="s">
        <v>80</v>
      </c>
      <c r="D18" s="21" t="s">
        <v>45</v>
      </c>
      <c r="E18" s="4">
        <f>VLOOKUP(C18,'[2]恒伟GY (2)'!$B$9:$F$31,5,0)</f>
        <v>53.470100000000002</v>
      </c>
      <c r="F18" s="19">
        <v>5.35</v>
      </c>
      <c r="G18" s="4"/>
      <c r="H18" s="4">
        <v>1.1000000000000001</v>
      </c>
      <c r="I18" s="4">
        <f t="shared" si="34"/>
        <v>5.8849999999999998</v>
      </c>
      <c r="J18" s="4">
        <f t="shared" si="35"/>
        <v>6.0615499999999995</v>
      </c>
      <c r="K18" s="4">
        <f t="shared" si="2"/>
        <v>1.6041030000000001</v>
      </c>
      <c r="L18" s="10">
        <f t="shared" si="36"/>
        <v>4.4574469999999993</v>
      </c>
      <c r="M18" s="11">
        <f t="shared" si="4"/>
        <v>57.927547000000004</v>
      </c>
      <c r="N18" s="12">
        <f t="shared" si="5"/>
        <v>8.3363356343077746E-2</v>
      </c>
      <c r="O18" s="17"/>
      <c r="Q18" s="4">
        <f>VLOOKUP(C18,[1]潍坊荣昌!$C$5:$N$48,12,0)</f>
        <v>86</v>
      </c>
      <c r="R18" s="27">
        <f t="shared" si="9"/>
        <v>76.106194690265497</v>
      </c>
    </row>
    <row r="19" spans="1:18" s="14" customFormat="1" ht="22.8" customHeight="1">
      <c r="A19" s="4">
        <v>17</v>
      </c>
      <c r="B19" s="4" t="s">
        <v>56</v>
      </c>
      <c r="C19" s="4" t="s">
        <v>81</v>
      </c>
      <c r="D19" s="28" t="s">
        <v>46</v>
      </c>
      <c r="E19" s="4">
        <f>VLOOKUP(C19,'[2]恒伟GY (2)'!$B$9:$F$31,5,0)</f>
        <v>50.2821</v>
      </c>
      <c r="F19" s="19">
        <v>6</v>
      </c>
      <c r="G19" s="4"/>
      <c r="H19" s="4">
        <v>1.1000000000000001</v>
      </c>
      <c r="I19" s="4">
        <f t="shared" si="34"/>
        <v>6.6000000000000005</v>
      </c>
      <c r="J19" s="4">
        <f t="shared" si="35"/>
        <v>6.7980000000000009</v>
      </c>
      <c r="K19" s="4">
        <f t="shared" si="2"/>
        <v>1.5084629999999999</v>
      </c>
      <c r="L19" s="10">
        <f t="shared" si="36"/>
        <v>5.289537000000001</v>
      </c>
      <c r="M19" s="11">
        <f t="shared" si="4"/>
        <v>55.571637000000003</v>
      </c>
      <c r="N19" s="12">
        <f t="shared" si="5"/>
        <v>0.1051972172999935</v>
      </c>
      <c r="O19" s="17"/>
      <c r="Q19" s="4">
        <f>VLOOKUP(C19,[1]潍坊荣昌!$C$5:$N$48,12,0)</f>
        <v>90</v>
      </c>
      <c r="R19" s="27">
        <f t="shared" si="9"/>
        <v>79.646017699115049</v>
      </c>
    </row>
    <row r="20" spans="1:18" s="14" customFormat="1" ht="22.8" customHeight="1">
      <c r="A20" s="4">
        <v>18</v>
      </c>
      <c r="B20" s="4" t="s">
        <v>56</v>
      </c>
      <c r="C20" s="4" t="s">
        <v>82</v>
      </c>
      <c r="D20" s="32" t="s">
        <v>47</v>
      </c>
      <c r="E20" s="4">
        <f>VLOOKUP(C20,'[2]恒伟GY (2)'!$B$9:$F$31,5,0)</f>
        <v>63.752099999999999</v>
      </c>
      <c r="F20" s="19">
        <v>8.4499999999999993</v>
      </c>
      <c r="G20" s="4"/>
      <c r="H20" s="4">
        <v>1.1000000000000001</v>
      </c>
      <c r="I20" s="4">
        <f t="shared" si="34"/>
        <v>9.2949999999999999</v>
      </c>
      <c r="J20" s="4">
        <f t="shared" si="35"/>
        <v>9.5738500000000002</v>
      </c>
      <c r="K20" s="4">
        <f t="shared" si="2"/>
        <v>1.9125629999999998</v>
      </c>
      <c r="L20" s="10">
        <f t="shared" si="36"/>
        <v>7.6612870000000006</v>
      </c>
      <c r="M20" s="11">
        <f t="shared" si="4"/>
        <v>71.413387</v>
      </c>
      <c r="N20" s="12">
        <f t="shared" si="5"/>
        <v>0.12017309233735048</v>
      </c>
      <c r="O20" s="17"/>
      <c r="Q20" s="4">
        <f>VLOOKUP(C20,[1]潍坊荣昌!$C$5:$N$48,12,0)</f>
        <v>108</v>
      </c>
      <c r="R20" s="27">
        <f t="shared" si="9"/>
        <v>95.575221238938056</v>
      </c>
    </row>
    <row r="21" spans="1:18" s="14" customFormat="1" ht="22.8" customHeight="1">
      <c r="A21" s="4">
        <v>19</v>
      </c>
      <c r="B21" s="4" t="s">
        <v>56</v>
      </c>
      <c r="C21" s="4" t="s">
        <v>83</v>
      </c>
      <c r="D21" s="21" t="s">
        <v>48</v>
      </c>
      <c r="E21" s="4">
        <f>VLOOKUP(C21,'[2]恒伟GY (2)'!$B$9:$F$31,5,0)</f>
        <v>55.7607</v>
      </c>
      <c r="F21" s="19">
        <v>8.89</v>
      </c>
      <c r="G21" s="4"/>
      <c r="H21" s="4">
        <v>1.1000000000000001</v>
      </c>
      <c r="I21" s="4">
        <f t="shared" si="34"/>
        <v>9.7790000000000017</v>
      </c>
      <c r="J21" s="4">
        <f t="shared" si="35"/>
        <v>10.072370000000001</v>
      </c>
      <c r="K21" s="4">
        <f t="shared" si="2"/>
        <v>1.6728209999999999</v>
      </c>
      <c r="L21" s="10">
        <f t="shared" si="36"/>
        <v>8.3995490000000004</v>
      </c>
      <c r="M21" s="11">
        <f t="shared" si="4"/>
        <v>64.160248999999993</v>
      </c>
      <c r="N21" s="12">
        <f t="shared" si="5"/>
        <v>0.15063564481794514</v>
      </c>
      <c r="O21" s="17"/>
      <c r="Q21" s="4">
        <f>VLOOKUP(C21,[1]潍坊荣昌!$C$5:$N$48,12,0)</f>
        <v>110</v>
      </c>
      <c r="R21" s="27">
        <f t="shared" si="9"/>
        <v>97.345132743362839</v>
      </c>
    </row>
    <row r="22" spans="1:18" s="14" customFormat="1" ht="22.8" customHeight="1">
      <c r="A22" s="4">
        <v>20</v>
      </c>
      <c r="B22" s="4" t="s">
        <v>56</v>
      </c>
      <c r="C22" s="4" t="s">
        <v>84</v>
      </c>
      <c r="D22" s="21" t="s">
        <v>49</v>
      </c>
      <c r="E22" s="4">
        <f>VLOOKUP(C22,'[2]恒伟GY (2)'!$B$9:$F$31,5,0)</f>
        <v>24.6068</v>
      </c>
      <c r="F22" s="19">
        <v>3.41</v>
      </c>
      <c r="G22" s="4"/>
      <c r="H22" s="4">
        <v>1.1000000000000001</v>
      </c>
      <c r="I22" s="4">
        <f t="shared" si="34"/>
        <v>3.7510000000000003</v>
      </c>
      <c r="J22" s="4">
        <f t="shared" si="35"/>
        <v>3.8635300000000004</v>
      </c>
      <c r="K22" s="4">
        <f t="shared" si="2"/>
        <v>0.73820399999999997</v>
      </c>
      <c r="L22" s="10">
        <f t="shared" si="36"/>
        <v>3.1253260000000003</v>
      </c>
      <c r="M22" s="11">
        <f t="shared" si="4"/>
        <v>27.732126000000001</v>
      </c>
      <c r="N22" s="12">
        <f t="shared" si="5"/>
        <v>0.12701066371897204</v>
      </c>
      <c r="O22" s="17"/>
      <c r="Q22" s="4">
        <f>VLOOKUP(C22,[1]潍坊荣昌!$C$5:$N$48,12,0)</f>
        <v>47</v>
      </c>
      <c r="R22" s="27">
        <f t="shared" si="9"/>
        <v>41.592920353982308</v>
      </c>
    </row>
    <row r="23" spans="1:18" s="14" customFormat="1" ht="22.8" customHeight="1">
      <c r="A23" s="4">
        <v>21</v>
      </c>
      <c r="B23" s="4" t="s">
        <v>56</v>
      </c>
      <c r="C23" s="4" t="s">
        <v>50</v>
      </c>
      <c r="D23" s="21" t="s">
        <v>53</v>
      </c>
      <c r="E23" s="4">
        <f>VLOOKUP(C23,'[2]恒伟GY (2)'!$B$9:$F$31,5,0)</f>
        <v>31.6496</v>
      </c>
      <c r="F23" s="19">
        <v>2.41</v>
      </c>
      <c r="G23" s="4"/>
      <c r="H23" s="4">
        <v>1.1000000000000001</v>
      </c>
      <c r="I23" s="4">
        <f t="shared" si="34"/>
        <v>2.6510000000000002</v>
      </c>
      <c r="J23" s="4">
        <f t="shared" si="35"/>
        <v>2.7305300000000003</v>
      </c>
      <c r="K23" s="4">
        <f t="shared" si="2"/>
        <v>0.949488</v>
      </c>
      <c r="L23" s="10">
        <f t="shared" si="36"/>
        <v>1.7810420000000002</v>
      </c>
      <c r="M23" s="11">
        <f t="shared" si="4"/>
        <v>33.430641999999999</v>
      </c>
      <c r="N23" s="12">
        <f t="shared" si="5"/>
        <v>5.627376017390423E-2</v>
      </c>
      <c r="O23" s="17"/>
      <c r="Q23" s="4">
        <v>46</v>
      </c>
      <c r="R23" s="27">
        <f t="shared" si="9"/>
        <v>40.707964601769916</v>
      </c>
    </row>
    <row r="24" spans="1:18" s="14" customFormat="1" ht="22.8" customHeight="1">
      <c r="A24" s="4">
        <v>22</v>
      </c>
      <c r="B24" s="4" t="s">
        <v>56</v>
      </c>
      <c r="C24" s="4" t="s">
        <v>51</v>
      </c>
      <c r="D24" s="21" t="s">
        <v>52</v>
      </c>
      <c r="E24" s="4">
        <f>VLOOKUP(C24,'[2]恒伟GY (2)'!$B$9:$F$31,5,0)</f>
        <v>31.6496</v>
      </c>
      <c r="F24" s="19">
        <v>2.41</v>
      </c>
      <c r="G24" s="4"/>
      <c r="H24" s="4">
        <v>1.1000000000000001</v>
      </c>
      <c r="I24" s="4">
        <f t="shared" si="34"/>
        <v>2.6510000000000002</v>
      </c>
      <c r="J24" s="4">
        <f t="shared" si="35"/>
        <v>2.7305300000000003</v>
      </c>
      <c r="K24" s="4">
        <f t="shared" si="2"/>
        <v>0.949488</v>
      </c>
      <c r="L24" s="10">
        <f t="shared" si="36"/>
        <v>1.7810420000000002</v>
      </c>
      <c r="M24" s="11">
        <f t="shared" si="4"/>
        <v>33.430641999999999</v>
      </c>
      <c r="N24" s="12">
        <f t="shared" si="5"/>
        <v>5.627376017390423E-2</v>
      </c>
      <c r="O24" s="17"/>
      <c r="Q24" s="4">
        <v>46</v>
      </c>
      <c r="R24" s="27">
        <f t="shared" si="9"/>
        <v>40.707964601769916</v>
      </c>
    </row>
    <row r="25" spans="1:18" s="14" customFormat="1" ht="22.8" customHeight="1">
      <c r="A25" s="4">
        <v>23</v>
      </c>
      <c r="B25" s="4" t="s">
        <v>55</v>
      </c>
      <c r="C25" s="4" t="s">
        <v>85</v>
      </c>
      <c r="D25" s="23" t="s">
        <v>57</v>
      </c>
      <c r="E25" s="4">
        <v>18.590599999999998</v>
      </c>
      <c r="F25" s="19">
        <v>1.1850000000000001</v>
      </c>
      <c r="G25" s="4"/>
      <c r="H25" s="4">
        <v>1.1000000000000001</v>
      </c>
      <c r="I25" s="4">
        <f t="shared" si="34"/>
        <v>1.3035000000000001</v>
      </c>
      <c r="J25" s="4">
        <f t="shared" si="35"/>
        <v>1.342605</v>
      </c>
      <c r="K25" s="4"/>
      <c r="L25" s="10">
        <f t="shared" si="36"/>
        <v>1.342605</v>
      </c>
      <c r="M25" s="11">
        <f t="shared" si="4"/>
        <v>19.933204999999997</v>
      </c>
      <c r="N25" s="12">
        <f t="shared" si="5"/>
        <v>7.2219562574634438E-2</v>
      </c>
      <c r="O25" s="17"/>
      <c r="Q25" s="4">
        <f>VLOOKUP(C25,[1]河北荣昌综合表!$C$5:$O$37,13,0)</f>
        <v>26.5</v>
      </c>
      <c r="R25" s="27">
        <f t="shared" si="9"/>
        <v>23.451327433628322</v>
      </c>
    </row>
    <row r="26" spans="1:18" s="14" customFormat="1" ht="22.8" customHeight="1">
      <c r="A26" s="4">
        <v>24</v>
      </c>
      <c r="B26" s="4" t="s">
        <v>55</v>
      </c>
      <c r="C26" s="15" t="s">
        <v>86</v>
      </c>
      <c r="D26" s="24" t="s">
        <v>58</v>
      </c>
      <c r="E26" s="4">
        <v>32.588527999999997</v>
      </c>
      <c r="F26" s="19">
        <v>2.7080000000000002</v>
      </c>
      <c r="G26" s="4"/>
      <c r="H26" s="4">
        <v>1.1000000000000001</v>
      </c>
      <c r="I26" s="4">
        <f t="shared" si="34"/>
        <v>2.9788000000000006</v>
      </c>
      <c r="J26" s="4">
        <f t="shared" si="35"/>
        <v>3.0681640000000008</v>
      </c>
      <c r="K26" s="4"/>
      <c r="L26" s="10">
        <f t="shared" si="36"/>
        <v>3.0681640000000008</v>
      </c>
      <c r="M26" s="11">
        <f t="shared" si="4"/>
        <v>35.656692</v>
      </c>
      <c r="N26" s="12">
        <f t="shared" si="5"/>
        <v>9.4148591185217179E-2</v>
      </c>
      <c r="O26" s="17"/>
      <c r="Q26" s="4">
        <f>VLOOKUP(C26,[1]河北荣昌综合表!$C$5:$O$37,13,0)</f>
        <v>47.8</v>
      </c>
      <c r="R26" s="27">
        <f t="shared" si="9"/>
        <v>42.300884955752217</v>
      </c>
    </row>
    <row r="27" spans="1:18" s="14" customFormat="1" ht="22.8" customHeight="1">
      <c r="A27" s="4">
        <v>25</v>
      </c>
      <c r="B27" s="4" t="s">
        <v>55</v>
      </c>
      <c r="C27" s="4" t="s">
        <v>60</v>
      </c>
      <c r="D27" s="21" t="s">
        <v>59</v>
      </c>
      <c r="E27" s="4">
        <v>33.244931999999991</v>
      </c>
      <c r="F27" s="19">
        <v>2.9380000000000002</v>
      </c>
      <c r="G27" s="4"/>
      <c r="H27" s="4">
        <v>1.1000000000000001</v>
      </c>
      <c r="I27" s="4">
        <f t="shared" si="34"/>
        <v>3.2318000000000002</v>
      </c>
      <c r="J27" s="4">
        <f t="shared" si="35"/>
        <v>3.3287540000000004</v>
      </c>
      <c r="K27" s="4"/>
      <c r="L27" s="10">
        <f t="shared" si="36"/>
        <v>3.3287540000000004</v>
      </c>
      <c r="M27" s="11">
        <f t="shared" si="4"/>
        <v>36.573685999999995</v>
      </c>
      <c r="N27" s="12">
        <f t="shared" si="5"/>
        <v>0.10012816389577829</v>
      </c>
      <c r="O27" s="17"/>
      <c r="Q27" s="4">
        <f>VLOOKUP(C27,[1]河北荣昌综合表!$C$5:$O$37,13,0)</f>
        <v>49.8</v>
      </c>
      <c r="R27" s="27">
        <f t="shared" si="9"/>
        <v>44.070796460176993</v>
      </c>
    </row>
    <row r="28" spans="1:18" s="14" customFormat="1" ht="22.8" customHeight="1">
      <c r="A28" s="4">
        <v>26</v>
      </c>
      <c r="B28" s="4" t="s">
        <v>55</v>
      </c>
      <c r="C28" s="15" t="s">
        <v>87</v>
      </c>
      <c r="D28" s="23" t="s">
        <v>61</v>
      </c>
      <c r="E28" s="4">
        <v>21.844199999999997</v>
      </c>
      <c r="F28" s="19">
        <v>3.13</v>
      </c>
      <c r="G28" s="4"/>
      <c r="H28" s="4">
        <v>1.1000000000000001</v>
      </c>
      <c r="I28" s="4">
        <f t="shared" si="34"/>
        <v>3.4430000000000001</v>
      </c>
      <c r="J28" s="4">
        <f t="shared" si="35"/>
        <v>3.5462899999999999</v>
      </c>
      <c r="K28" s="4"/>
      <c r="L28" s="10">
        <f t="shared" si="36"/>
        <v>3.5462899999999999</v>
      </c>
      <c r="M28" s="11">
        <f t="shared" si="4"/>
        <v>25.390489999999996</v>
      </c>
      <c r="N28" s="12">
        <f t="shared" si="5"/>
        <v>0.16234469561714321</v>
      </c>
      <c r="O28" s="17"/>
      <c r="Q28" s="4">
        <f>VLOOKUP(C28,[1]河北荣昌综合表!$C$5:$O$37,13,0)</f>
        <v>40</v>
      </c>
      <c r="R28" s="27">
        <f t="shared" si="9"/>
        <v>35.398230088495581</v>
      </c>
    </row>
    <row r="29" spans="1:18" s="14" customFormat="1" ht="22.8" customHeight="1">
      <c r="A29" s="4">
        <v>27</v>
      </c>
      <c r="B29" s="4" t="s">
        <v>55</v>
      </c>
      <c r="C29" s="35" t="s">
        <v>73</v>
      </c>
      <c r="D29" s="25" t="s">
        <v>62</v>
      </c>
      <c r="E29" s="4">
        <v>32.065599999999996</v>
      </c>
      <c r="F29" s="19">
        <v>2.86</v>
      </c>
      <c r="G29" s="4"/>
      <c r="H29" s="4">
        <v>1.1000000000000001</v>
      </c>
      <c r="I29" s="4">
        <f t="shared" si="34"/>
        <v>3.1459999999999999</v>
      </c>
      <c r="J29" s="4">
        <f t="shared" si="35"/>
        <v>3.24038</v>
      </c>
      <c r="K29" s="4"/>
      <c r="L29" s="10">
        <f t="shared" si="36"/>
        <v>3.24038</v>
      </c>
      <c r="M29" s="11">
        <f t="shared" si="4"/>
        <v>35.305979999999998</v>
      </c>
      <c r="N29" s="12">
        <f t="shared" si="5"/>
        <v>0.10105471283868077</v>
      </c>
      <c r="O29" s="17"/>
      <c r="Q29" s="4">
        <v>46</v>
      </c>
      <c r="R29" s="27">
        <f t="shared" si="9"/>
        <v>40.707964601769916</v>
      </c>
    </row>
    <row r="30" spans="1:18" s="14" customFormat="1" ht="22.8" customHeight="1">
      <c r="A30" s="4">
        <v>28</v>
      </c>
      <c r="B30" s="4" t="s">
        <v>55</v>
      </c>
      <c r="C30" s="13" t="s">
        <v>63</v>
      </c>
      <c r="D30" s="21" t="s">
        <v>62</v>
      </c>
      <c r="E30" s="4">
        <v>32.065599999999996</v>
      </c>
      <c r="F30" s="19">
        <v>2.86</v>
      </c>
      <c r="G30" s="4"/>
      <c r="H30" s="4">
        <v>1.1000000000000001</v>
      </c>
      <c r="I30" s="4">
        <f t="shared" si="34"/>
        <v>3.1459999999999999</v>
      </c>
      <c r="J30" s="4">
        <f t="shared" si="35"/>
        <v>3.24038</v>
      </c>
      <c r="K30" s="4"/>
      <c r="L30" s="10">
        <f t="shared" si="36"/>
        <v>3.24038</v>
      </c>
      <c r="M30" s="11">
        <f t="shared" si="4"/>
        <v>35.305979999999998</v>
      </c>
      <c r="N30" s="12">
        <f t="shared" si="5"/>
        <v>0.10105471283868077</v>
      </c>
      <c r="O30" s="17"/>
      <c r="Q30" s="4">
        <v>46</v>
      </c>
      <c r="R30" s="27">
        <f t="shared" si="9"/>
        <v>40.707964601769916</v>
      </c>
    </row>
    <row r="31" spans="1:18" s="14" customFormat="1" ht="22.8" customHeight="1">
      <c r="A31" s="4">
        <v>29</v>
      </c>
      <c r="B31" s="4" t="s">
        <v>55</v>
      </c>
      <c r="C31" s="4" t="s">
        <v>65</v>
      </c>
      <c r="D31" s="21" t="s">
        <v>64</v>
      </c>
      <c r="E31" s="4">
        <v>37.514400000000002</v>
      </c>
      <c r="F31" s="19">
        <v>2.86</v>
      </c>
      <c r="G31" s="4"/>
      <c r="H31" s="4">
        <v>1.1000000000000001</v>
      </c>
      <c r="I31" s="4">
        <f t="shared" si="34"/>
        <v>3.1459999999999999</v>
      </c>
      <c r="J31" s="4">
        <f t="shared" si="35"/>
        <v>3.24038</v>
      </c>
      <c r="K31" s="4"/>
      <c r="L31" s="10">
        <f t="shared" si="36"/>
        <v>3.24038</v>
      </c>
      <c r="M31" s="11">
        <f t="shared" si="4"/>
        <v>40.754780000000004</v>
      </c>
      <c r="N31" s="12">
        <f t="shared" si="5"/>
        <v>8.6376964578935067E-2</v>
      </c>
      <c r="O31" s="17"/>
      <c r="Q31" s="4">
        <v>56.8</v>
      </c>
      <c r="R31" s="27">
        <f t="shared" si="9"/>
        <v>50.26548672566372</v>
      </c>
    </row>
    <row r="32" spans="1:18" s="14" customFormat="1" ht="22.8" customHeight="1">
      <c r="A32" s="4">
        <v>30</v>
      </c>
      <c r="B32" s="4" t="s">
        <v>55</v>
      </c>
      <c r="C32" s="4" t="s">
        <v>66</v>
      </c>
      <c r="D32" s="21" t="s">
        <v>64</v>
      </c>
      <c r="E32" s="4">
        <v>37.514400000000002</v>
      </c>
      <c r="F32" s="19">
        <v>2.86</v>
      </c>
      <c r="G32" s="4"/>
      <c r="H32" s="4">
        <v>1.1000000000000001</v>
      </c>
      <c r="I32" s="4">
        <f t="shared" si="34"/>
        <v>3.1459999999999999</v>
      </c>
      <c r="J32" s="4">
        <f t="shared" si="35"/>
        <v>3.24038</v>
      </c>
      <c r="K32" s="4"/>
      <c r="L32" s="10">
        <f t="shared" si="36"/>
        <v>3.24038</v>
      </c>
      <c r="M32" s="11">
        <f t="shared" si="4"/>
        <v>40.754780000000004</v>
      </c>
      <c r="N32" s="12">
        <f t="shared" si="5"/>
        <v>8.6376964578935067E-2</v>
      </c>
      <c r="O32" s="17"/>
      <c r="Q32" s="4">
        <v>56.8</v>
      </c>
      <c r="R32" s="27">
        <f t="shared" si="9"/>
        <v>50.26548672566372</v>
      </c>
    </row>
    <row r="33" spans="1:18" s="14" customFormat="1" ht="22.8" customHeight="1">
      <c r="A33" s="4">
        <v>31</v>
      </c>
      <c r="B33" s="4" t="s">
        <v>55</v>
      </c>
      <c r="C33" s="4" t="s">
        <v>88</v>
      </c>
      <c r="D33" s="21" t="s">
        <v>67</v>
      </c>
      <c r="E33" s="4">
        <v>36.2012</v>
      </c>
      <c r="F33" s="19">
        <v>2.86</v>
      </c>
      <c r="G33" s="4"/>
      <c r="H33" s="4">
        <v>1.1000000000000001</v>
      </c>
      <c r="I33" s="4">
        <f t="shared" si="34"/>
        <v>3.1459999999999999</v>
      </c>
      <c r="J33" s="4">
        <f t="shared" si="35"/>
        <v>3.24038</v>
      </c>
      <c r="K33" s="4"/>
      <c r="L33" s="10">
        <f t="shared" si="36"/>
        <v>3.24038</v>
      </c>
      <c r="M33" s="11">
        <f t="shared" si="4"/>
        <v>39.441580000000002</v>
      </c>
      <c r="N33" s="12">
        <f t="shared" si="5"/>
        <v>8.9510292476492545E-2</v>
      </c>
      <c r="O33" s="17"/>
      <c r="Q33" s="4">
        <f>VLOOKUP(C33,[1]河北荣昌综合表!$C$5:$O$37,13,0)</f>
        <v>56.8</v>
      </c>
      <c r="R33" s="27">
        <f t="shared" si="9"/>
        <v>50.26548672566372</v>
      </c>
    </row>
    <row r="34" spans="1:18" s="14" customFormat="1" ht="22.8" customHeight="1">
      <c r="A34" s="4">
        <v>32</v>
      </c>
      <c r="B34" s="4" t="s">
        <v>55</v>
      </c>
      <c r="C34" s="4" t="s">
        <v>74</v>
      </c>
      <c r="D34" s="21" t="s">
        <v>68</v>
      </c>
      <c r="E34" s="4">
        <v>5.1261840000000003</v>
      </c>
      <c r="F34" s="19">
        <v>0.73</v>
      </c>
      <c r="G34" s="4"/>
      <c r="H34" s="4">
        <v>1.1000000000000001</v>
      </c>
      <c r="I34" s="4">
        <f t="shared" si="34"/>
        <v>0.80300000000000005</v>
      </c>
      <c r="J34" s="4">
        <f t="shared" si="35"/>
        <v>0.8270900000000001</v>
      </c>
      <c r="K34" s="4"/>
      <c r="L34" s="10">
        <f t="shared" si="36"/>
        <v>0.8270900000000001</v>
      </c>
      <c r="M34" s="11">
        <f t="shared" si="4"/>
        <v>5.9532740000000004</v>
      </c>
      <c r="N34" s="12">
        <f t="shared" si="5"/>
        <v>0.16134613974059459</v>
      </c>
      <c r="O34" s="17"/>
      <c r="Q34" s="4">
        <f>VLOOKUP(C34,[1]河北荣昌综合表!$C$5:$O$37,13,0)</f>
        <v>7.98</v>
      </c>
      <c r="R34" s="27">
        <f t="shared" si="9"/>
        <v>7.061946902654868</v>
      </c>
    </row>
    <row r="35" spans="1:18" s="14" customFormat="1" ht="22.8" customHeight="1">
      <c r="A35" s="4">
        <v>33</v>
      </c>
      <c r="B35" s="4" t="s">
        <v>55</v>
      </c>
      <c r="C35" s="4" t="s">
        <v>75</v>
      </c>
      <c r="D35" s="21" t="s">
        <v>69</v>
      </c>
      <c r="E35" s="4">
        <v>5.0674819999999992</v>
      </c>
      <c r="F35" s="19">
        <v>0.73</v>
      </c>
      <c r="G35" s="4"/>
      <c r="H35" s="4">
        <v>1.1000000000000001</v>
      </c>
      <c r="I35" s="4">
        <f t="shared" si="34"/>
        <v>0.80300000000000005</v>
      </c>
      <c r="J35" s="4">
        <f t="shared" si="35"/>
        <v>0.8270900000000001</v>
      </c>
      <c r="K35" s="4"/>
      <c r="L35" s="10">
        <f t="shared" si="36"/>
        <v>0.8270900000000001</v>
      </c>
      <c r="M35" s="11">
        <f t="shared" si="4"/>
        <v>5.8945719999999993</v>
      </c>
      <c r="N35" s="12">
        <f t="shared" si="5"/>
        <v>0.16321518260943013</v>
      </c>
      <c r="O35" s="17"/>
      <c r="Q35" s="4">
        <f>VLOOKUP(C35,[1]河北荣昌综合表!$C$5:$O$37,13,0)</f>
        <v>7.98</v>
      </c>
      <c r="R35" s="27">
        <f t="shared" si="9"/>
        <v>7.061946902654868</v>
      </c>
    </row>
    <row r="36" spans="1:18" s="14" customFormat="1" ht="22.8" customHeight="1">
      <c r="A36" s="4">
        <v>34</v>
      </c>
      <c r="B36" s="4" t="s">
        <v>55</v>
      </c>
      <c r="C36" s="4" t="s">
        <v>76</v>
      </c>
      <c r="D36" s="21" t="s">
        <v>70</v>
      </c>
      <c r="E36" s="4">
        <v>3.8781539999999999</v>
      </c>
      <c r="F36" s="19">
        <v>0.53500000000000003</v>
      </c>
      <c r="G36" s="4"/>
      <c r="H36" s="4">
        <v>1.1000000000000001</v>
      </c>
      <c r="I36" s="4">
        <f t="shared" si="34"/>
        <v>0.58850000000000013</v>
      </c>
      <c r="J36" s="4">
        <f t="shared" si="35"/>
        <v>0.60615500000000011</v>
      </c>
      <c r="K36" s="4"/>
      <c r="L36" s="10">
        <f t="shared" si="36"/>
        <v>0.60615500000000011</v>
      </c>
      <c r="M36" s="11">
        <f t="shared" si="4"/>
        <v>4.4843089999999997</v>
      </c>
      <c r="N36" s="12">
        <f t="shared" si="5"/>
        <v>0.15629987875674864</v>
      </c>
      <c r="O36" s="17"/>
      <c r="Q36" s="4">
        <f>VLOOKUP(C36,[1]河北荣昌综合表!$C$5:$O$37,13,0)</f>
        <v>6.1</v>
      </c>
      <c r="R36" s="27">
        <f t="shared" si="9"/>
        <v>5.3982300884955752</v>
      </c>
    </row>
    <row r="37" spans="1:18" s="14" customFormat="1" ht="22.8" customHeight="1">
      <c r="A37" s="4">
        <v>35</v>
      </c>
      <c r="B37" s="4" t="s">
        <v>55</v>
      </c>
      <c r="C37" s="4" t="s">
        <v>77</v>
      </c>
      <c r="D37" s="21" t="s">
        <v>71</v>
      </c>
      <c r="E37" s="4">
        <v>3.9450879999999997</v>
      </c>
      <c r="F37" s="19">
        <v>0.53500000000000003</v>
      </c>
      <c r="G37" s="4"/>
      <c r="H37" s="4">
        <v>1.1000000000000001</v>
      </c>
      <c r="I37" s="4">
        <f t="shared" si="34"/>
        <v>0.58850000000000013</v>
      </c>
      <c r="J37" s="4">
        <f t="shared" si="35"/>
        <v>0.60615500000000011</v>
      </c>
      <c r="K37" s="4"/>
      <c r="L37" s="10">
        <f t="shared" si="36"/>
        <v>0.60615500000000011</v>
      </c>
      <c r="M37" s="11">
        <f t="shared" si="4"/>
        <v>4.5512429999999995</v>
      </c>
      <c r="N37" s="12">
        <f t="shared" si="5"/>
        <v>0.1536480301580091</v>
      </c>
      <c r="O37" s="17"/>
      <c r="Q37" s="4">
        <f>VLOOKUP(C37,[1]河北荣昌综合表!$C$5:$O$37,13,0)</f>
        <v>6.2</v>
      </c>
      <c r="R37" s="27">
        <f t="shared" si="9"/>
        <v>5.4867256637168147</v>
      </c>
    </row>
    <row r="38" spans="1:18" s="14" customFormat="1" ht="22.8" customHeight="1">
      <c r="A38" s="4">
        <v>36</v>
      </c>
      <c r="B38" s="4" t="s">
        <v>55</v>
      </c>
      <c r="C38" s="4" t="s">
        <v>78</v>
      </c>
      <c r="D38" s="21" t="s">
        <v>72</v>
      </c>
      <c r="E38" s="4">
        <v>3.9450879999999997</v>
      </c>
      <c r="F38" s="19">
        <v>0.58499999999999996</v>
      </c>
      <c r="G38" s="4"/>
      <c r="H38" s="4">
        <v>1.1000000000000001</v>
      </c>
      <c r="I38" s="4">
        <f t="shared" si="34"/>
        <v>0.64349999999999996</v>
      </c>
      <c r="J38" s="4">
        <f t="shared" si="35"/>
        <v>0.66280499999999998</v>
      </c>
      <c r="K38" s="4"/>
      <c r="L38" s="10">
        <f t="shared" si="36"/>
        <v>0.66280499999999998</v>
      </c>
      <c r="M38" s="11">
        <f t="shared" si="4"/>
        <v>4.6078929999999998</v>
      </c>
      <c r="N38" s="12">
        <f t="shared" si="5"/>
        <v>0.168007659144739</v>
      </c>
      <c r="O38" s="17"/>
      <c r="Q38" s="4">
        <f>VLOOKUP(C38,[1]河北荣昌综合表!$C$5:$O$37,13,0)</f>
        <v>6.05</v>
      </c>
      <c r="R38" s="27">
        <f t="shared" si="9"/>
        <v>5.3539823008849563</v>
      </c>
    </row>
  </sheetData>
  <mergeCells count="1">
    <mergeCell ref="A1:M1"/>
  </mergeCells>
  <phoneticPr fontId="6" type="noConversion"/>
  <pageMargins left="0.75" right="0.75" top="1" bottom="1" header="0.5" footer="0.5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2D501-979A-4DE9-80E9-B1418B796A0A}">
  <dimension ref="A1:U49"/>
  <sheetViews>
    <sheetView tabSelected="1" zoomScale="80" zoomScaleNormal="80" workbookViewId="0">
      <pane xSplit="6" ySplit="2" topLeftCell="G3" activePane="bottomRight" state="frozen"/>
      <selection pane="topRight" activeCell="F1" sqref="F1"/>
      <selection pane="bottomLeft" activeCell="A3" sqref="A3"/>
      <selection pane="bottomRight" activeCell="M34" sqref="M34"/>
    </sheetView>
  </sheetViews>
  <sheetFormatPr defaultColWidth="9" defaultRowHeight="14.4"/>
  <cols>
    <col min="1" max="1" width="6.33203125" customWidth="1"/>
    <col min="2" max="2" width="9.5546875" customWidth="1"/>
    <col min="3" max="3" width="19.88671875" customWidth="1"/>
    <col min="4" max="4" width="32" style="18" customWidth="1"/>
    <col min="5" max="5" width="10.88671875" customWidth="1"/>
    <col min="6" max="6" width="11.77734375" customWidth="1"/>
    <col min="7" max="7" width="7.6640625" customWidth="1"/>
    <col min="9" max="9" width="10" customWidth="1"/>
    <col min="10" max="10" width="9.88671875" customWidth="1"/>
    <col min="11" max="11" width="13.33203125" customWidth="1"/>
    <col min="12" max="12" width="10.21875" customWidth="1"/>
    <col min="13" max="13" width="17.44140625" customWidth="1"/>
    <col min="14" max="14" width="17.21875" customWidth="1"/>
    <col min="15" max="15" width="10" style="18" customWidth="1"/>
    <col min="16" max="16" width="12.109375" style="18" customWidth="1"/>
    <col min="17" max="17" width="12.33203125" style="18" customWidth="1"/>
    <col min="18" max="18" width="12.109375" style="18" customWidth="1"/>
    <col min="20" max="20" width="11.88671875" customWidth="1"/>
    <col min="21" max="21" width="12.33203125" customWidth="1"/>
  </cols>
  <sheetData>
    <row r="1" spans="1:21" ht="34.950000000000003" customHeight="1">
      <c r="A1" s="83" t="s">
        <v>275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33"/>
      <c r="O1" s="34"/>
      <c r="P1" s="34"/>
      <c r="Q1" s="34"/>
      <c r="R1" s="34"/>
    </row>
    <row r="2" spans="1:21" ht="36" customHeight="1">
      <c r="A2" s="1" t="s">
        <v>0</v>
      </c>
      <c r="B2" s="5" t="s">
        <v>54</v>
      </c>
      <c r="C2" s="1" t="s">
        <v>1</v>
      </c>
      <c r="D2" s="1" t="s">
        <v>2</v>
      </c>
      <c r="E2" s="2" t="s">
        <v>6</v>
      </c>
      <c r="F2" s="20" t="s">
        <v>90</v>
      </c>
      <c r="G2" s="1" t="s">
        <v>3</v>
      </c>
      <c r="H2" s="7" t="s">
        <v>4</v>
      </c>
      <c r="I2" s="7" t="s">
        <v>7</v>
      </c>
      <c r="J2" s="9" t="s">
        <v>13</v>
      </c>
      <c r="K2" s="20" t="s">
        <v>94</v>
      </c>
      <c r="L2" s="2" t="s">
        <v>9</v>
      </c>
      <c r="M2" s="20" t="s">
        <v>95</v>
      </c>
      <c r="N2" s="6" t="s">
        <v>11</v>
      </c>
      <c r="O2" s="5" t="s">
        <v>12</v>
      </c>
      <c r="P2" s="20" t="s">
        <v>274</v>
      </c>
      <c r="Q2" s="20" t="s">
        <v>256</v>
      </c>
      <c r="R2" s="5" t="s">
        <v>257</v>
      </c>
      <c r="T2" s="6" t="s">
        <v>89</v>
      </c>
      <c r="U2" s="26" t="s">
        <v>93</v>
      </c>
    </row>
    <row r="3" spans="1:21" s="14" customFormat="1" ht="22.8" customHeight="1">
      <c r="A3" s="4">
        <v>4</v>
      </c>
      <c r="B3" s="4" t="s">
        <v>56</v>
      </c>
      <c r="C3" s="4" t="s">
        <v>21</v>
      </c>
      <c r="D3" s="16" t="s">
        <v>22</v>
      </c>
      <c r="E3" s="4">
        <f>VLOOKUP(C3,'[2]恒伟GY (2)'!$B$9:$F$31,5,0)</f>
        <v>26.734999999999999</v>
      </c>
      <c r="F3" s="19">
        <v>2.1549999999999998</v>
      </c>
      <c r="G3" s="4"/>
      <c r="H3" s="4">
        <v>0.55000000000000004</v>
      </c>
      <c r="I3" s="4">
        <f t="shared" ref="I3:I21" si="0">F3*H3</f>
        <v>1.1852499999999999</v>
      </c>
      <c r="J3" s="4">
        <f>I3*1.03</f>
        <v>1.2208075</v>
      </c>
      <c r="K3" s="4">
        <f>E3*0.03</f>
        <v>0.80204999999999993</v>
      </c>
      <c r="L3" s="10">
        <f>J3+K3</f>
        <v>2.0228574999999998</v>
      </c>
      <c r="M3" s="11">
        <f t="shared" ref="M3:M21" si="1">E3+L3</f>
        <v>28.7578575</v>
      </c>
      <c r="N3" s="12">
        <f t="shared" ref="N3:N21" si="2">(M3-E3)/E3</f>
        <v>7.5663269122872662E-2</v>
      </c>
      <c r="O3" s="17"/>
      <c r="P3" s="139">
        <f>VLOOKUP(C3,'[4]恒伟1 (2)'!$B$9:$G$28,6,0)</f>
        <v>28.374565</v>
      </c>
      <c r="Q3" s="133">
        <v>4938</v>
      </c>
      <c r="R3" s="138">
        <f>(M3-P3)*Q3</f>
        <v>1892.6983649999979</v>
      </c>
      <c r="T3" s="4">
        <f>VLOOKUP(C3,[1]潍坊荣昌!$C$5:$N$48,12,0)</f>
        <v>38.5</v>
      </c>
      <c r="U3" s="27">
        <f t="shared" ref="U3:U21" si="3">T3/1.13</f>
        <v>34.070796460176993</v>
      </c>
    </row>
    <row r="4" spans="1:21" s="14" customFormat="1" ht="22.8" customHeight="1">
      <c r="A4" s="4">
        <v>5</v>
      </c>
      <c r="B4" s="4" t="s">
        <v>56</v>
      </c>
      <c r="C4" s="4" t="s">
        <v>23</v>
      </c>
      <c r="D4" s="16" t="s">
        <v>24</v>
      </c>
      <c r="E4" s="4">
        <f>VLOOKUP(C4,'[2]恒伟GY (2)'!$B$9:$F$31,5,0)</f>
        <v>26.187999999999999</v>
      </c>
      <c r="F4" s="19">
        <v>2.1549999999999998</v>
      </c>
      <c r="G4" s="4"/>
      <c r="H4" s="4">
        <v>0.55000000000000004</v>
      </c>
      <c r="I4" s="4">
        <f t="shared" si="0"/>
        <v>1.1852499999999999</v>
      </c>
      <c r="J4" s="4">
        <f t="shared" ref="J4:J21" si="4">I4*1.03</f>
        <v>1.2208075</v>
      </c>
      <c r="K4" s="4">
        <f>E4*0.03</f>
        <v>0.78563999999999989</v>
      </c>
      <c r="L4" s="10">
        <f t="shared" ref="L4:L21" si="5">J4+K4</f>
        <v>2.0064475000000002</v>
      </c>
      <c r="M4" s="11">
        <f t="shared" si="1"/>
        <v>28.194447499999999</v>
      </c>
      <c r="N4" s="12">
        <f t="shared" si="2"/>
        <v>7.6617057430884386E-2</v>
      </c>
      <c r="O4" s="17"/>
      <c r="P4" s="139">
        <f>VLOOKUP(C4,'[4]恒伟1 (2)'!$B$9:$G$28,6,0)</f>
        <v>27.843975</v>
      </c>
      <c r="Q4" s="133">
        <v>3423</v>
      </c>
      <c r="R4" s="138">
        <f>(M4-P4)*Q4</f>
        <v>1199.6673674999954</v>
      </c>
      <c r="T4" s="4">
        <f>VLOOKUP(C4,[1]潍坊荣昌!$C$5:$N$48,12,0)</f>
        <v>37</v>
      </c>
      <c r="U4" s="27">
        <f t="shared" si="3"/>
        <v>32.743362831858413</v>
      </c>
    </row>
    <row r="5" spans="1:21" s="14" customFormat="1" ht="22.8" customHeight="1">
      <c r="A5" s="4">
        <v>6</v>
      </c>
      <c r="B5" s="4" t="s">
        <v>56</v>
      </c>
      <c r="C5" s="4" t="s">
        <v>25</v>
      </c>
      <c r="D5" s="16" t="s">
        <v>26</v>
      </c>
      <c r="E5" s="4">
        <f>VLOOKUP(C5,'[2]恒伟GY (2)'!$B$9:$F$31,5,0)</f>
        <v>28.461500000000001</v>
      </c>
      <c r="F5" s="19">
        <v>2.1850000000000001</v>
      </c>
      <c r="G5" s="4"/>
      <c r="H5" s="4">
        <v>0.55000000000000004</v>
      </c>
      <c r="I5" s="4">
        <f t="shared" si="0"/>
        <v>1.2017500000000001</v>
      </c>
      <c r="J5" s="4">
        <f t="shared" si="4"/>
        <v>1.2378025000000001</v>
      </c>
      <c r="K5" s="4">
        <f t="shared" ref="K5:K21" si="6">E5*0.03</f>
        <v>0.85384499999999997</v>
      </c>
      <c r="L5" s="10">
        <f t="shared" si="5"/>
        <v>2.0916475000000001</v>
      </c>
      <c r="M5" s="11">
        <f t="shared" si="1"/>
        <v>30.553147500000001</v>
      </c>
      <c r="N5" s="12">
        <f t="shared" si="2"/>
        <v>7.3490416878941742E-2</v>
      </c>
      <c r="O5" s="17"/>
      <c r="P5" s="139">
        <f>VLOOKUP(C5,'[4]恒伟1 (2)'!$B$9:$G$28,6,0)</f>
        <v>30.083260000000003</v>
      </c>
      <c r="Q5" s="133">
        <v>10989</v>
      </c>
      <c r="R5" s="138">
        <f>(M5-P5)*Q5</f>
        <v>5163.5937374999858</v>
      </c>
      <c r="T5" s="4">
        <f>VLOOKUP(C5,[1]潍坊荣昌!$C$5:$N$48,12,0)</f>
        <v>39</v>
      </c>
      <c r="U5" s="27">
        <f t="shared" si="3"/>
        <v>34.513274336283189</v>
      </c>
    </row>
    <row r="6" spans="1:21" s="14" customFormat="1" ht="22.8" customHeight="1">
      <c r="A6" s="4">
        <v>7</v>
      </c>
      <c r="B6" s="4" t="s">
        <v>56</v>
      </c>
      <c r="C6" s="4" t="s">
        <v>169</v>
      </c>
      <c r="D6" s="22" t="s">
        <v>28</v>
      </c>
      <c r="E6" s="8">
        <f>37.0485/1.13</f>
        <v>32.786283185840709</v>
      </c>
      <c r="F6" s="19">
        <v>2.65</v>
      </c>
      <c r="G6" s="4"/>
      <c r="H6" s="4">
        <v>0.55000000000000004</v>
      </c>
      <c r="I6" s="4">
        <f t="shared" si="0"/>
        <v>1.4575</v>
      </c>
      <c r="J6" s="4">
        <f t="shared" si="4"/>
        <v>1.501225</v>
      </c>
      <c r="K6" s="4">
        <f t="shared" si="6"/>
        <v>0.98358849557522121</v>
      </c>
      <c r="L6" s="10">
        <f t="shared" si="5"/>
        <v>2.4848134955752212</v>
      </c>
      <c r="M6" s="11">
        <f t="shared" si="1"/>
        <v>35.271096681415933</v>
      </c>
      <c r="N6" s="12">
        <f t="shared" si="2"/>
        <v>7.5788203301078411E-2</v>
      </c>
      <c r="O6" s="17" t="s">
        <v>277</v>
      </c>
      <c r="P6" s="139">
        <f>VLOOKUP(C6,'[4]恒伟1 (2)'!$B$9:$G$28,6,0)</f>
        <v>34.805144690265486</v>
      </c>
      <c r="Q6" s="133">
        <v>11463</v>
      </c>
      <c r="R6" s="138">
        <f>(M6-P6)*Q6</f>
        <v>5341.2076745575796</v>
      </c>
      <c r="T6" s="4" t="e">
        <f>VLOOKUP(C6,[1]潍坊荣昌!$C$5:$N$48,12,0)</f>
        <v>#N/A</v>
      </c>
      <c r="U6" s="27" t="e">
        <f t="shared" si="3"/>
        <v>#N/A</v>
      </c>
    </row>
    <row r="7" spans="1:21" s="14" customFormat="1" ht="22.8" customHeight="1">
      <c r="A7" s="4">
        <v>8</v>
      </c>
      <c r="B7" s="4" t="s">
        <v>56</v>
      </c>
      <c r="C7" s="4" t="s">
        <v>30</v>
      </c>
      <c r="D7" s="16" t="s">
        <v>31</v>
      </c>
      <c r="E7" s="4">
        <f>VLOOKUP(C7,'[2]恒伟GY (2)'!$B$9:$F$31,5,0)</f>
        <v>30.726500000000001</v>
      </c>
      <c r="F7" s="19">
        <v>2.65</v>
      </c>
      <c r="G7" s="4"/>
      <c r="H7" s="4">
        <v>0.55000000000000004</v>
      </c>
      <c r="I7" s="4">
        <f t="shared" si="0"/>
        <v>1.4575</v>
      </c>
      <c r="J7" s="4">
        <f t="shared" si="4"/>
        <v>1.501225</v>
      </c>
      <c r="K7" s="4">
        <f t="shared" si="6"/>
        <v>0.92179500000000003</v>
      </c>
      <c r="L7" s="10">
        <f t="shared" si="5"/>
        <v>2.4230200000000002</v>
      </c>
      <c r="M7" s="11">
        <f t="shared" si="1"/>
        <v>33.149520000000003</v>
      </c>
      <c r="N7" s="12">
        <f t="shared" si="2"/>
        <v>7.8857663580297166E-2</v>
      </c>
      <c r="O7" s="17"/>
      <c r="P7" s="139">
        <f>VLOOKUP(C7,'[4]恒伟1 (2)'!$B$9:$G$28,6,0)</f>
        <v>32.807155000000002</v>
      </c>
      <c r="Q7" s="133">
        <v>396</v>
      </c>
      <c r="R7" s="138">
        <f>(M7-P7)*Q7</f>
        <v>135.57654000000036</v>
      </c>
      <c r="T7" s="4">
        <f>VLOOKUP(C7,[1]潍坊荣昌!$C$5:$N$48,12,0)</f>
        <v>48</v>
      </c>
      <c r="U7" s="27">
        <f t="shared" si="3"/>
        <v>42.477876106194692</v>
      </c>
    </row>
    <row r="8" spans="1:21" s="14" customFormat="1" ht="22.8" customHeight="1">
      <c r="A8" s="4">
        <v>9</v>
      </c>
      <c r="B8" s="4" t="s">
        <v>56</v>
      </c>
      <c r="C8" s="13" t="s">
        <v>32</v>
      </c>
      <c r="D8" s="28" t="s">
        <v>33</v>
      </c>
      <c r="E8" s="13">
        <f>VLOOKUP(C8,'[2]恒伟GY (2)'!$B$9:$F$31,5,0)</f>
        <v>38.734999999999999</v>
      </c>
      <c r="F8" s="19">
        <v>3.99</v>
      </c>
      <c r="G8" s="13"/>
      <c r="H8" s="4">
        <v>0.55000000000000004</v>
      </c>
      <c r="I8" s="13">
        <f t="shared" si="0"/>
        <v>2.1945000000000001</v>
      </c>
      <c r="J8" s="13">
        <f t="shared" si="4"/>
        <v>2.260335</v>
      </c>
      <c r="K8" s="4">
        <f t="shared" si="6"/>
        <v>1.16205</v>
      </c>
      <c r="L8" s="10">
        <f t="shared" si="5"/>
        <v>3.4223850000000002</v>
      </c>
      <c r="M8" s="30">
        <f t="shared" si="1"/>
        <v>42.157384999999998</v>
      </c>
      <c r="N8" s="31">
        <f t="shared" si="2"/>
        <v>8.8353814379759865E-2</v>
      </c>
      <c r="O8" s="21"/>
      <c r="P8" s="139">
        <f>VLOOKUP(C8,'[4]恒伟1 (2)'!$B$9:$G$28,6,0)</f>
        <v>42.093620000000001</v>
      </c>
      <c r="Q8" s="134">
        <v>2134</v>
      </c>
      <c r="R8" s="138">
        <f>(M8-P8)*Q8</f>
        <v>136.07450999999259</v>
      </c>
      <c r="T8" s="4">
        <f>VLOOKUP(C8,[1]潍坊荣昌!$C$5:$N$48,12,0)</f>
        <v>66.3</v>
      </c>
      <c r="U8" s="27">
        <f t="shared" si="3"/>
        <v>58.67256637168142</v>
      </c>
    </row>
    <row r="9" spans="1:21" s="14" customFormat="1" ht="22.8" customHeight="1">
      <c r="A9" s="4">
        <v>10</v>
      </c>
      <c r="B9" s="4" t="s">
        <v>56</v>
      </c>
      <c r="C9" s="13" t="s">
        <v>79</v>
      </c>
      <c r="D9" s="28" t="s">
        <v>34</v>
      </c>
      <c r="E9" s="13">
        <f>VLOOKUP(C9,'[2]恒伟GY (2)'!$B$9:$F$31,5,0)</f>
        <v>37.068399999999997</v>
      </c>
      <c r="F9" s="19">
        <v>3.76</v>
      </c>
      <c r="G9" s="13"/>
      <c r="H9" s="4">
        <v>0.55000000000000004</v>
      </c>
      <c r="I9" s="13">
        <f t="shared" si="0"/>
        <v>2.0680000000000001</v>
      </c>
      <c r="J9" s="13">
        <f t="shared" si="4"/>
        <v>2.1300400000000002</v>
      </c>
      <c r="K9" s="4">
        <f t="shared" si="6"/>
        <v>1.1120519999999998</v>
      </c>
      <c r="L9" s="10">
        <f t="shared" si="5"/>
        <v>3.242092</v>
      </c>
      <c r="M9" s="30">
        <f t="shared" si="1"/>
        <v>40.310491999999996</v>
      </c>
      <c r="N9" s="31">
        <f t="shared" si="2"/>
        <v>8.7462420822047887E-2</v>
      </c>
      <c r="O9" s="21"/>
      <c r="P9" s="139">
        <f>VLOOKUP(C9,'[4]恒伟1 (2)'!$B$9:$G$28,6,0)</f>
        <v>40.216428000000001</v>
      </c>
      <c r="Q9" s="134">
        <v>54</v>
      </c>
      <c r="R9" s="138">
        <f>(M9-P9)*Q9</f>
        <v>5.0794559999997801</v>
      </c>
      <c r="T9" s="4">
        <f>VLOOKUP(C9,[1]潍坊荣昌!$C$5:$N$48,12,0)</f>
        <v>63.5</v>
      </c>
      <c r="U9" s="27">
        <f t="shared" si="3"/>
        <v>56.194690265486734</v>
      </c>
    </row>
    <row r="10" spans="1:21" s="14" customFormat="1" ht="22.8" customHeight="1">
      <c r="A10" s="4">
        <v>11</v>
      </c>
      <c r="B10" s="4" t="s">
        <v>56</v>
      </c>
      <c r="C10" s="13" t="s">
        <v>35</v>
      </c>
      <c r="D10" s="17" t="s">
        <v>36</v>
      </c>
      <c r="E10" s="4">
        <f>VLOOKUP(C10,'[2]恒伟GY (2)'!$B$9:$F$31,5,0)</f>
        <v>27.965800000000002</v>
      </c>
      <c r="F10" s="19">
        <v>3.36</v>
      </c>
      <c r="G10" s="4"/>
      <c r="H10" s="4">
        <v>0.55000000000000004</v>
      </c>
      <c r="I10" s="4">
        <f t="shared" si="0"/>
        <v>1.8480000000000001</v>
      </c>
      <c r="J10" s="4">
        <f t="shared" si="4"/>
        <v>1.9034400000000002</v>
      </c>
      <c r="K10" s="4">
        <f t="shared" si="6"/>
        <v>0.838974</v>
      </c>
      <c r="L10" s="10">
        <f t="shared" si="5"/>
        <v>2.7424140000000001</v>
      </c>
      <c r="M10" s="11">
        <f t="shared" si="1"/>
        <v>30.708214000000002</v>
      </c>
      <c r="N10" s="12">
        <f t="shared" si="2"/>
        <v>9.806313425684228E-2</v>
      </c>
      <c r="O10" s="17"/>
      <c r="P10" s="139">
        <f>VLOOKUP(C10,'[4]恒伟1 (2)'!$B$9:$G$28,6,0)</f>
        <v>30.933706000000001</v>
      </c>
      <c r="Q10" s="133">
        <v>392</v>
      </c>
      <c r="R10" s="138">
        <f>(M10-P10)*Q10</f>
        <v>-88.392863999999662</v>
      </c>
      <c r="T10" s="4">
        <f>VLOOKUP(C10,[1]潍坊荣昌!$C$5:$N$48,12,0)</f>
        <v>45.8</v>
      </c>
      <c r="U10" s="27">
        <f t="shared" si="3"/>
        <v>40.530973451327434</v>
      </c>
    </row>
    <row r="11" spans="1:21" s="14" customFormat="1" ht="22.8" customHeight="1">
      <c r="A11" s="4">
        <v>12</v>
      </c>
      <c r="B11" s="4" t="s">
        <v>56</v>
      </c>
      <c r="C11" s="4" t="s">
        <v>37</v>
      </c>
      <c r="D11" s="17" t="s">
        <v>38</v>
      </c>
      <c r="E11" s="4">
        <f>VLOOKUP(C11,'[2]恒伟GY (2)'!$B$9:$F$31,5,0)</f>
        <v>49.931600000000003</v>
      </c>
      <c r="F11" s="19">
        <v>5.35</v>
      </c>
      <c r="G11" s="4"/>
      <c r="H11" s="4">
        <v>0.55000000000000004</v>
      </c>
      <c r="I11" s="4">
        <f t="shared" si="0"/>
        <v>2.9424999999999999</v>
      </c>
      <c r="J11" s="4">
        <f t="shared" si="4"/>
        <v>3.0307749999999998</v>
      </c>
      <c r="K11" s="4">
        <f t="shared" si="6"/>
        <v>1.4979480000000001</v>
      </c>
      <c r="L11" s="10">
        <f t="shared" si="5"/>
        <v>4.5287229999999994</v>
      </c>
      <c r="M11" s="11">
        <f t="shared" si="1"/>
        <v>54.460323000000002</v>
      </c>
      <c r="N11" s="12">
        <f t="shared" si="2"/>
        <v>9.0698535596696259E-2</v>
      </c>
      <c r="O11" s="17"/>
      <c r="P11" s="139">
        <f>VLOOKUP(C11,'[4]恒伟1 (2)'!$B$9:$G$28,6,0)</f>
        <v>54.495202000000006</v>
      </c>
      <c r="Q11" s="133">
        <v>11</v>
      </c>
      <c r="R11" s="138">
        <f>(M11-P11)*Q11</f>
        <v>-0.38366900000004023</v>
      </c>
      <c r="T11" s="4">
        <v>84</v>
      </c>
      <c r="U11" s="27">
        <f t="shared" si="3"/>
        <v>74.336283185840713</v>
      </c>
    </row>
    <row r="12" spans="1:21" s="14" customFormat="1" ht="22.8" customHeight="1">
      <c r="A12" s="4">
        <v>13</v>
      </c>
      <c r="B12" s="4" t="s">
        <v>56</v>
      </c>
      <c r="C12" s="4" t="s">
        <v>39</v>
      </c>
      <c r="D12" s="17" t="s">
        <v>40</v>
      </c>
      <c r="E12" s="4">
        <f>VLOOKUP(C12,'[2]恒伟GY (2)'!$B$9:$F$31,5,0)</f>
        <v>49.931600000000003</v>
      </c>
      <c r="F12" s="19">
        <v>5.35</v>
      </c>
      <c r="G12" s="4"/>
      <c r="H12" s="4">
        <v>0.55000000000000004</v>
      </c>
      <c r="I12" s="4">
        <f t="shared" si="0"/>
        <v>2.9424999999999999</v>
      </c>
      <c r="J12" s="4">
        <f t="shared" si="4"/>
        <v>3.0307749999999998</v>
      </c>
      <c r="K12" s="4">
        <f t="shared" si="6"/>
        <v>1.4979480000000001</v>
      </c>
      <c r="L12" s="10">
        <f t="shared" si="5"/>
        <v>4.5287229999999994</v>
      </c>
      <c r="M12" s="11">
        <f t="shared" si="1"/>
        <v>54.460323000000002</v>
      </c>
      <c r="N12" s="12">
        <f t="shared" si="2"/>
        <v>9.0698535596696259E-2</v>
      </c>
      <c r="O12" s="17"/>
      <c r="P12" s="139">
        <f>VLOOKUP(C12,'[4]恒伟1 (2)'!$B$9:$G$28,6,0)</f>
        <v>54.495202000000006</v>
      </c>
      <c r="Q12" s="133">
        <v>14</v>
      </c>
      <c r="R12" s="138">
        <f>(M12-P12)*Q12</f>
        <v>-0.4883060000000512</v>
      </c>
      <c r="T12" s="4">
        <v>84</v>
      </c>
      <c r="U12" s="27">
        <f t="shared" si="3"/>
        <v>74.336283185840713</v>
      </c>
    </row>
    <row r="13" spans="1:21" s="14" customFormat="1" ht="22.8" customHeight="1">
      <c r="A13" s="4">
        <v>14</v>
      </c>
      <c r="B13" s="4" t="s">
        <v>56</v>
      </c>
      <c r="C13" s="4" t="s">
        <v>41</v>
      </c>
      <c r="D13" s="17" t="s">
        <v>42</v>
      </c>
      <c r="E13" s="4">
        <f>VLOOKUP(C13,'[2]恒伟GY (2)'!$B$9:$F$31,5,0)</f>
        <v>47.965800000000002</v>
      </c>
      <c r="F13" s="19">
        <v>5.35</v>
      </c>
      <c r="G13" s="4"/>
      <c r="H13" s="4">
        <v>0.55000000000000004</v>
      </c>
      <c r="I13" s="4">
        <f t="shared" si="0"/>
        <v>2.9424999999999999</v>
      </c>
      <c r="J13" s="4">
        <f t="shared" si="4"/>
        <v>3.0307749999999998</v>
      </c>
      <c r="K13" s="4">
        <f t="shared" si="6"/>
        <v>1.438974</v>
      </c>
      <c r="L13" s="10">
        <f t="shared" si="5"/>
        <v>4.4697490000000002</v>
      </c>
      <c r="M13" s="11">
        <f t="shared" si="1"/>
        <v>52.435549000000002</v>
      </c>
      <c r="N13" s="12">
        <f t="shared" si="2"/>
        <v>9.3186165976591656E-2</v>
      </c>
      <c r="O13" s="17"/>
      <c r="P13" s="139">
        <f>VLOOKUP(C13,'[4]恒伟1 (2)'!$B$9:$G$28,6,0)</f>
        <v>52.588376000000004</v>
      </c>
      <c r="Q13" s="133">
        <v>1107</v>
      </c>
      <c r="R13" s="138">
        <f>(M13-P13)*Q13</f>
        <v>-169.17948900000226</v>
      </c>
      <c r="T13" s="4">
        <v>79</v>
      </c>
      <c r="U13" s="27">
        <f t="shared" si="3"/>
        <v>69.911504424778769</v>
      </c>
    </row>
    <row r="14" spans="1:21" s="14" customFormat="1" ht="22.8" customHeight="1">
      <c r="A14" s="4">
        <v>15</v>
      </c>
      <c r="B14" s="4" t="s">
        <v>56</v>
      </c>
      <c r="C14" s="4" t="s">
        <v>43</v>
      </c>
      <c r="D14" s="21" t="s">
        <v>44</v>
      </c>
      <c r="E14" s="4">
        <f>VLOOKUP(C14,'[2]恒伟GY (2)'!$B$9:$F$31,5,0)</f>
        <v>47.965800000000002</v>
      </c>
      <c r="F14" s="19">
        <v>5.35</v>
      </c>
      <c r="G14" s="4"/>
      <c r="H14" s="4">
        <v>0.55000000000000004</v>
      </c>
      <c r="I14" s="4">
        <f t="shared" si="0"/>
        <v>2.9424999999999999</v>
      </c>
      <c r="J14" s="4">
        <f t="shared" si="4"/>
        <v>3.0307749999999998</v>
      </c>
      <c r="K14" s="4">
        <f t="shared" si="6"/>
        <v>1.438974</v>
      </c>
      <c r="L14" s="10">
        <f t="shared" si="5"/>
        <v>4.4697490000000002</v>
      </c>
      <c r="M14" s="11">
        <f t="shared" si="1"/>
        <v>52.435549000000002</v>
      </c>
      <c r="N14" s="12">
        <f t="shared" si="2"/>
        <v>9.3186165976591656E-2</v>
      </c>
      <c r="O14" s="17"/>
      <c r="P14" s="139">
        <f>VLOOKUP(C14,'[4]恒伟1 (2)'!$B$9:$G$28,6,0)</f>
        <v>52.588376000000004</v>
      </c>
      <c r="Q14" s="133">
        <v>1154</v>
      </c>
      <c r="R14" s="138">
        <f>(M14-P14)*Q14</f>
        <v>-176.36235800000236</v>
      </c>
      <c r="T14" s="4">
        <v>79</v>
      </c>
      <c r="U14" s="27">
        <f t="shared" si="3"/>
        <v>69.911504424778769</v>
      </c>
    </row>
    <row r="15" spans="1:21" s="14" customFormat="1" ht="22.8" customHeight="1">
      <c r="A15" s="4">
        <v>16</v>
      </c>
      <c r="B15" s="4" t="s">
        <v>56</v>
      </c>
      <c r="C15" s="4" t="s">
        <v>80</v>
      </c>
      <c r="D15" s="21" t="s">
        <v>45</v>
      </c>
      <c r="E15" s="4">
        <f>VLOOKUP(C15,'[2]恒伟GY (2)'!$B$9:$F$31,5,0)</f>
        <v>53.470100000000002</v>
      </c>
      <c r="F15" s="19">
        <v>5.35</v>
      </c>
      <c r="G15" s="4"/>
      <c r="H15" s="4">
        <v>0.55000000000000004</v>
      </c>
      <c r="I15" s="4">
        <f t="shared" si="0"/>
        <v>2.9424999999999999</v>
      </c>
      <c r="J15" s="4">
        <f t="shared" si="4"/>
        <v>3.0307749999999998</v>
      </c>
      <c r="K15" s="4">
        <f t="shared" si="6"/>
        <v>1.6041030000000001</v>
      </c>
      <c r="L15" s="10">
        <f t="shared" si="5"/>
        <v>4.6348779999999996</v>
      </c>
      <c r="M15" s="11">
        <f t="shared" si="1"/>
        <v>58.104978000000003</v>
      </c>
      <c r="N15" s="12">
        <f t="shared" si="2"/>
        <v>8.6681678171538865E-2</v>
      </c>
      <c r="O15" s="17"/>
      <c r="P15" s="139">
        <f>VLOOKUP(C15,'[4]恒伟1 (2)'!$B$9:$G$28,6,0)</f>
        <v>57.927547000000004</v>
      </c>
      <c r="Q15" s="133">
        <v>2282</v>
      </c>
      <c r="R15" s="138">
        <f>(M15-P15)*Q15</f>
        <v>404.89754199999675</v>
      </c>
      <c r="T15" s="4">
        <f>VLOOKUP(C15,[1]潍坊荣昌!$C$5:$N$48,12,0)</f>
        <v>86</v>
      </c>
      <c r="U15" s="27">
        <f t="shared" si="3"/>
        <v>76.106194690265497</v>
      </c>
    </row>
    <row r="16" spans="1:21" s="14" customFormat="1" ht="22.8" customHeight="1">
      <c r="A16" s="4">
        <v>17</v>
      </c>
      <c r="B16" s="4" t="s">
        <v>56</v>
      </c>
      <c r="C16" s="4" t="s">
        <v>81</v>
      </c>
      <c r="D16" s="28" t="s">
        <v>46</v>
      </c>
      <c r="E16" s="4">
        <f>VLOOKUP(C16,'[2]恒伟GY (2)'!$B$9:$F$31,5,0)</f>
        <v>50.2821</v>
      </c>
      <c r="F16" s="19">
        <v>6</v>
      </c>
      <c r="G16" s="4"/>
      <c r="H16" s="4">
        <v>0.55000000000000004</v>
      </c>
      <c r="I16" s="4">
        <f t="shared" si="0"/>
        <v>3.3000000000000003</v>
      </c>
      <c r="J16" s="4">
        <f t="shared" si="4"/>
        <v>3.3990000000000005</v>
      </c>
      <c r="K16" s="4">
        <f t="shared" si="6"/>
        <v>1.5084629999999999</v>
      </c>
      <c r="L16" s="10">
        <f t="shared" si="5"/>
        <v>4.9074629999999999</v>
      </c>
      <c r="M16" s="11">
        <f t="shared" si="1"/>
        <v>55.189563</v>
      </c>
      <c r="N16" s="12">
        <f t="shared" si="2"/>
        <v>9.7598608649996713E-2</v>
      </c>
      <c r="O16" s="17"/>
      <c r="P16" s="139">
        <f>VLOOKUP(C16,'[4]恒伟1 (2)'!$B$9:$G$28,6,0)</f>
        <v>55.571637000000003</v>
      </c>
      <c r="Q16" s="133">
        <v>54</v>
      </c>
      <c r="R16" s="138">
        <f>(M16-P16)*Q16</f>
        <v>-20.631996000000157</v>
      </c>
      <c r="T16" s="4">
        <f>VLOOKUP(C16,[1]潍坊荣昌!$C$5:$N$48,12,0)</f>
        <v>90</v>
      </c>
      <c r="U16" s="27">
        <f t="shared" si="3"/>
        <v>79.646017699115049</v>
      </c>
    </row>
    <row r="17" spans="1:21" s="14" customFormat="1" ht="22.8" customHeight="1">
      <c r="A17" s="4">
        <v>18</v>
      </c>
      <c r="B17" s="4" t="s">
        <v>56</v>
      </c>
      <c r="C17" s="4" t="s">
        <v>82</v>
      </c>
      <c r="D17" s="32" t="s">
        <v>47</v>
      </c>
      <c r="E17" s="4">
        <f>VLOOKUP(C17,'[2]恒伟GY (2)'!$B$9:$F$31,5,0)</f>
        <v>63.752099999999999</v>
      </c>
      <c r="F17" s="19">
        <v>8.4499999999999993</v>
      </c>
      <c r="G17" s="4"/>
      <c r="H17" s="4">
        <v>0.55000000000000004</v>
      </c>
      <c r="I17" s="4">
        <f t="shared" si="0"/>
        <v>4.6475</v>
      </c>
      <c r="J17" s="4">
        <f t="shared" si="4"/>
        <v>4.7869250000000001</v>
      </c>
      <c r="K17" s="4">
        <f t="shared" si="6"/>
        <v>1.9125629999999998</v>
      </c>
      <c r="L17" s="10">
        <f t="shared" si="5"/>
        <v>6.6994879999999997</v>
      </c>
      <c r="M17" s="11">
        <f t="shared" si="1"/>
        <v>70.451588000000001</v>
      </c>
      <c r="N17" s="12">
        <f t="shared" si="2"/>
        <v>0.10508654616867527</v>
      </c>
      <c r="O17" s="17"/>
      <c r="P17" s="139">
        <f>VLOOKUP(C17,'[4]恒伟1 (2)'!$B$9:$G$28,6,0)</f>
        <v>71.413387</v>
      </c>
      <c r="Q17" s="133">
        <v>1161</v>
      </c>
      <c r="R17" s="138">
        <f>(M17-P17)*Q17</f>
        <v>-1116.6486389999991</v>
      </c>
      <c r="T17" s="4">
        <f>VLOOKUP(C17,[1]潍坊荣昌!$C$5:$N$48,12,0)</f>
        <v>108</v>
      </c>
      <c r="U17" s="27">
        <f t="shared" si="3"/>
        <v>95.575221238938056</v>
      </c>
    </row>
    <row r="18" spans="1:21" s="14" customFormat="1" ht="22.8" customHeight="1">
      <c r="A18" s="4">
        <v>19</v>
      </c>
      <c r="B18" s="4" t="s">
        <v>56</v>
      </c>
      <c r="C18" s="4" t="s">
        <v>83</v>
      </c>
      <c r="D18" s="21" t="s">
        <v>48</v>
      </c>
      <c r="E18" s="4">
        <f>VLOOKUP(C18,'[2]恒伟GY (2)'!$B$9:$F$31,5,0)</f>
        <v>55.7607</v>
      </c>
      <c r="F18" s="19">
        <v>8.89</v>
      </c>
      <c r="G18" s="4"/>
      <c r="H18" s="4">
        <v>0.55000000000000004</v>
      </c>
      <c r="I18" s="4">
        <f t="shared" si="0"/>
        <v>4.8895000000000008</v>
      </c>
      <c r="J18" s="4">
        <f t="shared" si="4"/>
        <v>5.0361850000000006</v>
      </c>
      <c r="K18" s="4">
        <f t="shared" si="6"/>
        <v>1.6728209999999999</v>
      </c>
      <c r="L18" s="10">
        <f t="shared" si="5"/>
        <v>6.7090060000000005</v>
      </c>
      <c r="M18" s="11">
        <f t="shared" si="1"/>
        <v>62.469706000000002</v>
      </c>
      <c r="N18" s="12">
        <f t="shared" si="2"/>
        <v>0.12031782240897267</v>
      </c>
      <c r="O18" s="17"/>
      <c r="P18" s="139">
        <f>VLOOKUP(C18,'[4]恒伟1 (2)'!$B$9:$G$28,6,0)</f>
        <v>64.160248999999993</v>
      </c>
      <c r="Q18" s="133">
        <v>738</v>
      </c>
      <c r="R18" s="138">
        <f>(M18-P18)*Q18</f>
        <v>-1247.6207339999933</v>
      </c>
      <c r="T18" s="4">
        <f>VLOOKUP(C18,[1]潍坊荣昌!$C$5:$N$48,12,0)</f>
        <v>110</v>
      </c>
      <c r="U18" s="27">
        <f t="shared" si="3"/>
        <v>97.345132743362839</v>
      </c>
    </row>
    <row r="19" spans="1:21" s="14" customFormat="1" ht="22.8" customHeight="1">
      <c r="A19" s="4">
        <v>20</v>
      </c>
      <c r="B19" s="4" t="s">
        <v>56</v>
      </c>
      <c r="C19" s="4" t="s">
        <v>84</v>
      </c>
      <c r="D19" s="21" t="s">
        <v>49</v>
      </c>
      <c r="E19" s="4">
        <f>VLOOKUP(C19,'[2]恒伟GY (2)'!$B$9:$F$31,5,0)</f>
        <v>24.6068</v>
      </c>
      <c r="F19" s="19">
        <v>3.41</v>
      </c>
      <c r="G19" s="4"/>
      <c r="H19" s="4">
        <v>0.55000000000000004</v>
      </c>
      <c r="I19" s="4">
        <f t="shared" si="0"/>
        <v>1.8755000000000002</v>
      </c>
      <c r="J19" s="4">
        <f t="shared" si="4"/>
        <v>1.9317650000000002</v>
      </c>
      <c r="K19" s="4">
        <f t="shared" si="6"/>
        <v>0.73820399999999997</v>
      </c>
      <c r="L19" s="10">
        <f t="shared" si="5"/>
        <v>2.669969</v>
      </c>
      <c r="M19" s="11">
        <f t="shared" si="1"/>
        <v>27.276769000000002</v>
      </c>
      <c r="N19" s="12">
        <f t="shared" si="2"/>
        <v>0.10850533185948608</v>
      </c>
      <c r="O19" s="17"/>
      <c r="P19" s="139">
        <f>VLOOKUP(C19,'[4]恒伟1 (2)'!$B$9:$G$28,6,0)</f>
        <v>27.732126000000001</v>
      </c>
      <c r="Q19" s="133">
        <v>54</v>
      </c>
      <c r="R19" s="138">
        <f>(M19-P19)*Q19</f>
        <v>-24.589277999999965</v>
      </c>
      <c r="T19" s="4">
        <f>VLOOKUP(C19,[1]潍坊荣昌!$C$5:$N$48,12,0)</f>
        <v>47</v>
      </c>
      <c r="U19" s="27">
        <f t="shared" si="3"/>
        <v>41.592920353982308</v>
      </c>
    </row>
    <row r="20" spans="1:21" s="14" customFormat="1" ht="22.8" customHeight="1">
      <c r="A20" s="4">
        <v>21</v>
      </c>
      <c r="B20" s="4" t="s">
        <v>56</v>
      </c>
      <c r="C20" s="4" t="s">
        <v>50</v>
      </c>
      <c r="D20" s="21" t="s">
        <v>53</v>
      </c>
      <c r="E20" s="4">
        <f>VLOOKUP(C20,'[2]恒伟GY (2)'!$B$9:$F$31,5,0)</f>
        <v>31.6496</v>
      </c>
      <c r="F20" s="19">
        <v>2.41</v>
      </c>
      <c r="G20" s="4"/>
      <c r="H20" s="4">
        <v>0.55000000000000004</v>
      </c>
      <c r="I20" s="4">
        <f t="shared" si="0"/>
        <v>1.3255000000000001</v>
      </c>
      <c r="J20" s="4">
        <f t="shared" si="4"/>
        <v>1.3652650000000002</v>
      </c>
      <c r="K20" s="4">
        <f t="shared" si="6"/>
        <v>0.949488</v>
      </c>
      <c r="L20" s="10">
        <f t="shared" si="5"/>
        <v>2.3147530000000001</v>
      </c>
      <c r="M20" s="11">
        <f t="shared" si="1"/>
        <v>33.964353000000003</v>
      </c>
      <c r="N20" s="12">
        <f t="shared" si="2"/>
        <v>7.3136880086952225E-2</v>
      </c>
      <c r="O20" s="17"/>
      <c r="P20" s="139">
        <f>VLOOKUP(C20,'[4]恒伟1 (2)'!$B$9:$G$28,6,0)</f>
        <v>33.430641999999999</v>
      </c>
      <c r="Q20" s="133">
        <v>716</v>
      </c>
      <c r="R20" s="138">
        <f>(M20-P20)*Q20</f>
        <v>382.13707600000271</v>
      </c>
      <c r="T20" s="4">
        <v>46</v>
      </c>
      <c r="U20" s="27">
        <f t="shared" si="3"/>
        <v>40.707964601769916</v>
      </c>
    </row>
    <row r="21" spans="1:21" s="14" customFormat="1" ht="22.8" customHeight="1">
      <c r="A21" s="4">
        <v>22</v>
      </c>
      <c r="B21" s="4" t="s">
        <v>56</v>
      </c>
      <c r="C21" s="4" t="s">
        <v>51</v>
      </c>
      <c r="D21" s="21" t="s">
        <v>52</v>
      </c>
      <c r="E21" s="4">
        <f>VLOOKUP(C21,'[2]恒伟GY (2)'!$B$9:$F$31,5,0)</f>
        <v>31.6496</v>
      </c>
      <c r="F21" s="19">
        <v>2.41</v>
      </c>
      <c r="G21" s="4"/>
      <c r="H21" s="4">
        <v>0.55000000000000004</v>
      </c>
      <c r="I21" s="4">
        <f t="shared" si="0"/>
        <v>1.3255000000000001</v>
      </c>
      <c r="J21" s="4">
        <f t="shared" si="4"/>
        <v>1.3652650000000002</v>
      </c>
      <c r="K21" s="4">
        <f t="shared" si="6"/>
        <v>0.949488</v>
      </c>
      <c r="L21" s="10">
        <f t="shared" si="5"/>
        <v>2.3147530000000001</v>
      </c>
      <c r="M21" s="11">
        <f t="shared" si="1"/>
        <v>33.964353000000003</v>
      </c>
      <c r="N21" s="12">
        <f t="shared" si="2"/>
        <v>7.3136880086952225E-2</v>
      </c>
      <c r="O21" s="17"/>
      <c r="P21" s="139">
        <f>VLOOKUP(C21,'[4]恒伟1 (2)'!$B$9:$G$28,6,0)</f>
        <v>33.430641999999999</v>
      </c>
      <c r="Q21" s="133">
        <v>447</v>
      </c>
      <c r="R21" s="138">
        <f>(M21-P21)*Q21</f>
        <v>238.5688170000017</v>
      </c>
      <c r="T21" s="4">
        <v>46</v>
      </c>
      <c r="U21" s="27">
        <f t="shared" si="3"/>
        <v>40.707964601769916</v>
      </c>
    </row>
    <row r="22" spans="1:21">
      <c r="R22" s="135">
        <f>SUM(R3:R21)</f>
        <v>12055.203752557558</v>
      </c>
    </row>
    <row r="28" spans="1:21" ht="25.8">
      <c r="A28" s="83" t="s">
        <v>276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33"/>
      <c r="O28" s="34"/>
      <c r="P28" s="34"/>
      <c r="Q28" s="34"/>
      <c r="R28" s="34"/>
      <c r="S28" s="34"/>
    </row>
    <row r="29" spans="1:21" ht="28.8">
      <c r="A29" s="1" t="s">
        <v>0</v>
      </c>
      <c r="B29" s="1" t="s">
        <v>249</v>
      </c>
      <c r="C29" s="1" t="s">
        <v>1</v>
      </c>
      <c r="D29" s="1" t="s">
        <v>2</v>
      </c>
      <c r="E29" s="2" t="s">
        <v>6</v>
      </c>
      <c r="F29" s="2" t="s">
        <v>250</v>
      </c>
      <c r="G29" s="1" t="s">
        <v>3</v>
      </c>
      <c r="H29" s="1" t="s">
        <v>4</v>
      </c>
      <c r="I29" s="1" t="s">
        <v>7</v>
      </c>
      <c r="J29" s="1" t="s">
        <v>251</v>
      </c>
      <c r="K29" s="2" t="s">
        <v>252</v>
      </c>
      <c r="L29" s="2" t="s">
        <v>9</v>
      </c>
      <c r="M29" s="140" t="s">
        <v>253</v>
      </c>
      <c r="N29" s="2" t="s">
        <v>254</v>
      </c>
      <c r="O29" s="1" t="s">
        <v>255</v>
      </c>
      <c r="P29" s="20" t="s">
        <v>273</v>
      </c>
      <c r="Q29" s="20" t="s">
        <v>256</v>
      </c>
      <c r="R29" s="128" t="s">
        <v>257</v>
      </c>
      <c r="T29" s="129" t="s">
        <v>258</v>
      </c>
    </row>
    <row r="30" spans="1:21">
      <c r="A30" s="4">
        <v>4</v>
      </c>
      <c r="B30" s="4" t="s">
        <v>259</v>
      </c>
      <c r="C30" s="4" t="s">
        <v>21</v>
      </c>
      <c r="D30" s="28" t="s">
        <v>260</v>
      </c>
      <c r="E30" s="13">
        <f>VLOOKUP(C30,'[3]恒伟GY (2)'!$B$9:$F$31,5,0)</f>
        <v>26.734999999999999</v>
      </c>
      <c r="F30" s="13">
        <v>2.1549999999999998</v>
      </c>
      <c r="G30" s="4"/>
      <c r="H30" s="4">
        <v>0.55000000000000004</v>
      </c>
      <c r="I30" s="4">
        <f t="shared" ref="I30:I48" si="7">F30*H30</f>
        <v>1.1852499999999999</v>
      </c>
      <c r="J30" s="4">
        <f t="shared" ref="J30:J48" si="8">I30*1.03</f>
        <v>1.2208075</v>
      </c>
      <c r="K30" s="4">
        <f t="shared" ref="K30:K48" si="9">E30*0.03</f>
        <v>0.80204999999999993</v>
      </c>
      <c r="L30" s="10">
        <f t="shared" ref="L30:L48" si="10">J30+K30</f>
        <v>2.0228574999999998</v>
      </c>
      <c r="M30" s="141">
        <f t="shared" ref="M30:M48" si="11">E30+L30</f>
        <v>28.7578575</v>
      </c>
      <c r="N30" s="12">
        <f t="shared" ref="N30:N48" si="12">(M30-E30)/E30</f>
        <v>7.5663269122872662E-2</v>
      </c>
      <c r="O30" s="17"/>
      <c r="P30" s="10">
        <v>28.374565</v>
      </c>
      <c r="Q30" s="130">
        <v>4938</v>
      </c>
      <c r="R30" s="136">
        <f>(M30-P30)*Q30</f>
        <v>1892.6983649999979</v>
      </c>
      <c r="T30">
        <f>Q30/10</f>
        <v>493.8</v>
      </c>
    </row>
    <row r="31" spans="1:21">
      <c r="A31" s="4">
        <v>5</v>
      </c>
      <c r="B31" s="4" t="s">
        <v>259</v>
      </c>
      <c r="C31" s="4" t="s">
        <v>23</v>
      </c>
      <c r="D31" s="28" t="s">
        <v>261</v>
      </c>
      <c r="E31" s="13">
        <f>VLOOKUP(C31,'[3]恒伟GY (2)'!$B$9:$F$31,5,0)</f>
        <v>26.187999999999999</v>
      </c>
      <c r="F31" s="13">
        <v>2.1549999999999998</v>
      </c>
      <c r="G31" s="4"/>
      <c r="H31" s="4">
        <v>0.55000000000000004</v>
      </c>
      <c r="I31" s="4">
        <f t="shared" si="7"/>
        <v>1.1852499999999999</v>
      </c>
      <c r="J31" s="4">
        <f t="shared" si="8"/>
        <v>1.2208075</v>
      </c>
      <c r="K31" s="4">
        <f t="shared" si="9"/>
        <v>0.78563999999999989</v>
      </c>
      <c r="L31" s="10">
        <f t="shared" si="10"/>
        <v>2.0064475000000002</v>
      </c>
      <c r="M31" s="141">
        <f t="shared" si="11"/>
        <v>28.194447499999999</v>
      </c>
      <c r="N31" s="12">
        <f t="shared" si="12"/>
        <v>7.6617057430884386E-2</v>
      </c>
      <c r="O31" s="17"/>
      <c r="P31" s="10">
        <v>27.843975</v>
      </c>
      <c r="Q31" s="130">
        <v>3423</v>
      </c>
      <c r="R31" s="136">
        <f>(M31-P31)*Q31</f>
        <v>1199.6673674999954</v>
      </c>
      <c r="T31">
        <f>Q31/10</f>
        <v>342.3</v>
      </c>
    </row>
    <row r="32" spans="1:21">
      <c r="A32" s="4">
        <v>6</v>
      </c>
      <c r="B32" s="4" t="s">
        <v>259</v>
      </c>
      <c r="C32" s="4" t="s">
        <v>25</v>
      </c>
      <c r="D32" s="28" t="s">
        <v>26</v>
      </c>
      <c r="E32" s="13">
        <f>VLOOKUP(C32,'[3]恒伟GY (2)'!$B$9:$F$31,5,0)</f>
        <v>28.461500000000001</v>
      </c>
      <c r="F32" s="13">
        <v>2.1850000000000001</v>
      </c>
      <c r="G32" s="4"/>
      <c r="H32" s="4">
        <v>0.55000000000000004</v>
      </c>
      <c r="I32" s="4">
        <f t="shared" si="7"/>
        <v>1.2017500000000001</v>
      </c>
      <c r="J32" s="4">
        <f t="shared" si="8"/>
        <v>1.2378025000000001</v>
      </c>
      <c r="K32" s="4">
        <f t="shared" si="9"/>
        <v>0.85384499999999997</v>
      </c>
      <c r="L32" s="10">
        <f t="shared" si="10"/>
        <v>2.0916475000000001</v>
      </c>
      <c r="M32" s="141">
        <f t="shared" si="11"/>
        <v>30.553147500000001</v>
      </c>
      <c r="N32" s="12">
        <f t="shared" si="12"/>
        <v>7.3490416878941742E-2</v>
      </c>
      <c r="O32" s="17"/>
      <c r="P32" s="10">
        <v>30.083260000000003</v>
      </c>
      <c r="Q32" s="130">
        <v>10989</v>
      </c>
      <c r="R32" s="136">
        <f>(M32-P32)*Q32</f>
        <v>5163.5937374999858</v>
      </c>
      <c r="T32">
        <f>Q32/10</f>
        <v>1098.9000000000001</v>
      </c>
    </row>
    <row r="33" spans="1:20">
      <c r="A33" s="4">
        <v>7</v>
      </c>
      <c r="B33" s="4" t="s">
        <v>259</v>
      </c>
      <c r="C33" s="8" t="s">
        <v>169</v>
      </c>
      <c r="D33" s="28" t="s">
        <v>262</v>
      </c>
      <c r="E33" s="145">
        <f>37.0485/1.13</f>
        <v>32.786283185840709</v>
      </c>
      <c r="F33" s="13">
        <v>2.65</v>
      </c>
      <c r="G33" s="4"/>
      <c r="H33" s="4">
        <v>0.75</v>
      </c>
      <c r="I33" s="4">
        <f t="shared" si="7"/>
        <v>1.9874999999999998</v>
      </c>
      <c r="J33" s="4">
        <f t="shared" si="8"/>
        <v>2.0471249999999999</v>
      </c>
      <c r="K33" s="131">
        <f t="shared" si="9"/>
        <v>0.98358849557522121</v>
      </c>
      <c r="L33" s="10">
        <f t="shared" si="10"/>
        <v>3.0307134955752213</v>
      </c>
      <c r="M33" s="141">
        <f t="shared" si="11"/>
        <v>35.81699668141593</v>
      </c>
      <c r="N33" s="12">
        <f t="shared" si="12"/>
        <v>9.2438459046924951E-2</v>
      </c>
      <c r="O33" s="17" t="s">
        <v>277</v>
      </c>
      <c r="P33" s="10">
        <v>34.805144690265486</v>
      </c>
      <c r="Q33" s="130">
        <v>11463</v>
      </c>
      <c r="R33" s="136">
        <f>(M33-P33)*Q33</f>
        <v>11598.859374557534</v>
      </c>
      <c r="T33">
        <f>Q33/10</f>
        <v>1146.3</v>
      </c>
    </row>
    <row r="34" spans="1:20" s="144" customFormat="1">
      <c r="A34" s="13">
        <v>8</v>
      </c>
      <c r="B34" s="13" t="s">
        <v>259</v>
      </c>
      <c r="C34" s="13" t="s">
        <v>30</v>
      </c>
      <c r="D34" s="28" t="s">
        <v>263</v>
      </c>
      <c r="E34" s="13">
        <f>VLOOKUP(C34,'[3]恒伟GY (2)'!$B$9:$F$31,5,0)</f>
        <v>30.726500000000001</v>
      </c>
      <c r="F34" s="13">
        <v>2.65</v>
      </c>
      <c r="G34" s="13"/>
      <c r="H34" s="13">
        <v>1.3</v>
      </c>
      <c r="I34" s="13">
        <f t="shared" si="7"/>
        <v>3.4449999999999998</v>
      </c>
      <c r="J34" s="13">
        <f t="shared" si="8"/>
        <v>3.5483500000000001</v>
      </c>
      <c r="K34" s="13">
        <f t="shared" si="9"/>
        <v>0.92179500000000003</v>
      </c>
      <c r="L34" s="29">
        <f t="shared" si="10"/>
        <v>4.4701450000000005</v>
      </c>
      <c r="M34" s="141">
        <f t="shared" si="11"/>
        <v>35.196645000000004</v>
      </c>
      <c r="N34" s="31">
        <f t="shared" si="12"/>
        <v>0.1454817502807024</v>
      </c>
      <c r="O34" s="21"/>
      <c r="P34" s="29">
        <v>32.807155000000002</v>
      </c>
      <c r="Q34" s="142">
        <v>396</v>
      </c>
      <c r="R34" s="143">
        <f>(M34-P34)*Q34</f>
        <v>946.23804000000086</v>
      </c>
      <c r="T34" s="144">
        <f>Q34/10</f>
        <v>39.6</v>
      </c>
    </row>
    <row r="35" spans="1:20">
      <c r="A35" s="4">
        <v>9</v>
      </c>
      <c r="B35" s="4" t="s">
        <v>259</v>
      </c>
      <c r="C35" s="4" t="s">
        <v>32</v>
      </c>
      <c r="D35" s="28" t="s">
        <v>264</v>
      </c>
      <c r="E35" s="13">
        <f>VLOOKUP(C35,'[3]恒伟GY (2)'!$B$9:$F$31,5,0)</f>
        <v>38.734999999999999</v>
      </c>
      <c r="F35" s="13">
        <v>3.99</v>
      </c>
      <c r="G35" s="4"/>
      <c r="H35" s="4">
        <v>0.8</v>
      </c>
      <c r="I35" s="4">
        <f t="shared" si="7"/>
        <v>3.1920000000000002</v>
      </c>
      <c r="J35" s="4">
        <f t="shared" si="8"/>
        <v>3.2877600000000005</v>
      </c>
      <c r="K35" s="131">
        <f t="shared" si="9"/>
        <v>1.16205</v>
      </c>
      <c r="L35" s="10">
        <f t="shared" si="10"/>
        <v>4.4498100000000003</v>
      </c>
      <c r="M35" s="141">
        <f t="shared" si="11"/>
        <v>43.184809999999999</v>
      </c>
      <c r="N35" s="31">
        <f t="shared" si="12"/>
        <v>0.11487827546146893</v>
      </c>
      <c r="O35" s="17"/>
      <c r="P35" s="10">
        <v>42.093620000000001</v>
      </c>
      <c r="Q35" s="130">
        <v>2134</v>
      </c>
      <c r="R35" s="136">
        <f>(M35-P35)*Q35</f>
        <v>2328.5994599999945</v>
      </c>
      <c r="T35">
        <f>Q35/10</f>
        <v>213.4</v>
      </c>
    </row>
    <row r="36" spans="1:20">
      <c r="A36" s="4">
        <v>10</v>
      </c>
      <c r="B36" s="4" t="s">
        <v>259</v>
      </c>
      <c r="C36" s="4" t="s">
        <v>79</v>
      </c>
      <c r="D36" s="28" t="s">
        <v>265</v>
      </c>
      <c r="E36" s="13">
        <f>VLOOKUP(C36,'[3]恒伟GY (2)'!$B$9:$F$31,5,0)</f>
        <v>37.068399999999997</v>
      </c>
      <c r="F36" s="13">
        <v>3.76</v>
      </c>
      <c r="G36" s="4"/>
      <c r="H36" s="4">
        <v>0.8</v>
      </c>
      <c r="I36" s="4">
        <f t="shared" si="7"/>
        <v>3.008</v>
      </c>
      <c r="J36" s="4">
        <f t="shared" si="8"/>
        <v>3.0982400000000001</v>
      </c>
      <c r="K36" s="131">
        <f t="shared" si="9"/>
        <v>1.1120519999999998</v>
      </c>
      <c r="L36" s="10">
        <f t="shared" si="10"/>
        <v>4.2102919999999999</v>
      </c>
      <c r="M36" s="141">
        <f t="shared" si="11"/>
        <v>41.278691999999999</v>
      </c>
      <c r="N36" s="31">
        <f t="shared" si="12"/>
        <v>0.11358170301388792</v>
      </c>
      <c r="O36" s="17"/>
      <c r="P36" s="10">
        <v>40.216428000000001</v>
      </c>
      <c r="Q36" s="130">
        <v>54</v>
      </c>
      <c r="R36" s="136">
        <f>(M36-P36)*Q36</f>
        <v>57.362255999999945</v>
      </c>
      <c r="T36">
        <f>Q36/10</f>
        <v>5.4</v>
      </c>
    </row>
    <row r="37" spans="1:20">
      <c r="A37" s="4">
        <v>11</v>
      </c>
      <c r="B37" s="4" t="s">
        <v>259</v>
      </c>
      <c r="C37" s="4" t="s">
        <v>35</v>
      </c>
      <c r="D37" s="21" t="s">
        <v>266</v>
      </c>
      <c r="E37" s="13">
        <f>VLOOKUP(C37,'[3]恒伟GY (2)'!$B$9:$F$31,5,0)</f>
        <v>27.965800000000002</v>
      </c>
      <c r="F37" s="13">
        <v>3.36</v>
      </c>
      <c r="G37" s="4"/>
      <c r="H37" s="4">
        <v>0.8</v>
      </c>
      <c r="I37" s="4">
        <f t="shared" si="7"/>
        <v>2.6880000000000002</v>
      </c>
      <c r="J37" s="4">
        <f t="shared" si="8"/>
        <v>2.7686400000000004</v>
      </c>
      <c r="K37" s="131">
        <f t="shared" si="9"/>
        <v>0.838974</v>
      </c>
      <c r="L37" s="10">
        <f t="shared" si="10"/>
        <v>3.6076140000000003</v>
      </c>
      <c r="M37" s="141">
        <f t="shared" si="11"/>
        <v>31.573414000000003</v>
      </c>
      <c r="N37" s="12">
        <f t="shared" si="12"/>
        <v>0.12900092255540702</v>
      </c>
      <c r="O37" s="17"/>
      <c r="P37" s="10">
        <v>30.933706000000001</v>
      </c>
      <c r="Q37" s="130">
        <v>392</v>
      </c>
      <c r="R37" s="136">
        <f>(M37-P37)*Q37</f>
        <v>250.76553600000094</v>
      </c>
      <c r="T37">
        <f>Q37/10</f>
        <v>39.200000000000003</v>
      </c>
    </row>
    <row r="38" spans="1:20">
      <c r="A38" s="4">
        <v>12</v>
      </c>
      <c r="B38" s="4" t="s">
        <v>259</v>
      </c>
      <c r="C38" s="4" t="s">
        <v>37</v>
      </c>
      <c r="D38" s="21" t="s">
        <v>267</v>
      </c>
      <c r="E38" s="13">
        <f>VLOOKUP(C38,'[3]恒伟GY (2)'!$B$9:$F$31,5,0)</f>
        <v>49.931600000000003</v>
      </c>
      <c r="F38" s="13">
        <v>5.35</v>
      </c>
      <c r="G38" s="4"/>
      <c r="H38" s="4">
        <v>0.9</v>
      </c>
      <c r="I38" s="4">
        <f t="shared" si="7"/>
        <v>4.8149999999999995</v>
      </c>
      <c r="J38" s="4">
        <f t="shared" si="8"/>
        <v>4.9594499999999995</v>
      </c>
      <c r="K38" s="131">
        <f t="shared" si="9"/>
        <v>1.4979480000000001</v>
      </c>
      <c r="L38" s="10">
        <f t="shared" si="10"/>
        <v>6.4573979999999995</v>
      </c>
      <c r="M38" s="141">
        <f t="shared" si="11"/>
        <v>56.388998000000001</v>
      </c>
      <c r="N38" s="12">
        <f t="shared" si="12"/>
        <v>0.1293248764309575</v>
      </c>
      <c r="O38" s="17"/>
      <c r="P38" s="10">
        <v>54.495202000000006</v>
      </c>
      <c r="Q38" s="130">
        <v>11</v>
      </c>
      <c r="R38" s="136">
        <f>(M38-P38)*Q38</f>
        <v>20.831755999999942</v>
      </c>
      <c r="T38">
        <f>Q38/10</f>
        <v>1.1000000000000001</v>
      </c>
    </row>
    <row r="39" spans="1:20">
      <c r="A39" s="4">
        <v>13</v>
      </c>
      <c r="B39" s="4" t="s">
        <v>259</v>
      </c>
      <c r="C39" s="4" t="s">
        <v>39</v>
      </c>
      <c r="D39" s="21" t="s">
        <v>268</v>
      </c>
      <c r="E39" s="13">
        <f>VLOOKUP(C39,'[3]恒伟GY (2)'!$B$9:$F$31,5,0)</f>
        <v>49.931600000000003</v>
      </c>
      <c r="F39" s="13">
        <v>5.35</v>
      </c>
      <c r="G39" s="4"/>
      <c r="H39" s="4">
        <v>0.9</v>
      </c>
      <c r="I39" s="4">
        <f t="shared" si="7"/>
        <v>4.8149999999999995</v>
      </c>
      <c r="J39" s="4">
        <f t="shared" si="8"/>
        <v>4.9594499999999995</v>
      </c>
      <c r="K39" s="131">
        <f t="shared" si="9"/>
        <v>1.4979480000000001</v>
      </c>
      <c r="L39" s="10">
        <f t="shared" si="10"/>
        <v>6.4573979999999995</v>
      </c>
      <c r="M39" s="141">
        <f t="shared" si="11"/>
        <v>56.388998000000001</v>
      </c>
      <c r="N39" s="12">
        <f t="shared" si="12"/>
        <v>0.1293248764309575</v>
      </c>
      <c r="O39" s="17"/>
      <c r="P39" s="10">
        <v>54.495202000000006</v>
      </c>
      <c r="Q39" s="130">
        <v>14</v>
      </c>
      <c r="R39" s="136">
        <f>(M39-P39)*Q39</f>
        <v>26.513143999999926</v>
      </c>
      <c r="T39">
        <f>Q39/10</f>
        <v>1.4</v>
      </c>
    </row>
    <row r="40" spans="1:20">
      <c r="A40" s="4">
        <v>14</v>
      </c>
      <c r="B40" s="4" t="s">
        <v>259</v>
      </c>
      <c r="C40" s="4" t="s">
        <v>41</v>
      </c>
      <c r="D40" s="21" t="s">
        <v>269</v>
      </c>
      <c r="E40" s="13">
        <f>VLOOKUP(C40,'[3]恒伟GY (2)'!$B$9:$F$31,5,0)</f>
        <v>47.965800000000002</v>
      </c>
      <c r="F40" s="13">
        <v>5.35</v>
      </c>
      <c r="G40" s="4"/>
      <c r="H40" s="4">
        <v>0.9</v>
      </c>
      <c r="I40" s="4">
        <f t="shared" si="7"/>
        <v>4.8149999999999995</v>
      </c>
      <c r="J40" s="4">
        <f t="shared" si="8"/>
        <v>4.9594499999999995</v>
      </c>
      <c r="K40" s="131">
        <f t="shared" si="9"/>
        <v>1.438974</v>
      </c>
      <c r="L40" s="10">
        <f t="shared" si="10"/>
        <v>6.3984239999999994</v>
      </c>
      <c r="M40" s="141">
        <f t="shared" si="11"/>
        <v>54.364224</v>
      </c>
      <c r="N40" s="12">
        <f t="shared" si="12"/>
        <v>0.13339554432533177</v>
      </c>
      <c r="O40" s="17"/>
      <c r="P40" s="10">
        <v>52.588376000000004</v>
      </c>
      <c r="Q40" s="130">
        <v>1107</v>
      </c>
      <c r="R40" s="136">
        <f>(M40-P40)*Q40</f>
        <v>1965.8637359999959</v>
      </c>
      <c r="T40">
        <f>Q40/10</f>
        <v>110.7</v>
      </c>
    </row>
    <row r="41" spans="1:20">
      <c r="A41" s="4">
        <v>15</v>
      </c>
      <c r="B41" s="4" t="s">
        <v>259</v>
      </c>
      <c r="C41" s="4" t="s">
        <v>43</v>
      </c>
      <c r="D41" s="21" t="s">
        <v>270</v>
      </c>
      <c r="E41" s="13">
        <f>VLOOKUP(C41,'[3]恒伟GY (2)'!$B$9:$F$31,5,0)</f>
        <v>47.965800000000002</v>
      </c>
      <c r="F41" s="13">
        <v>5.35</v>
      </c>
      <c r="G41" s="4"/>
      <c r="H41" s="4">
        <v>0.9</v>
      </c>
      <c r="I41" s="4">
        <f t="shared" si="7"/>
        <v>4.8149999999999995</v>
      </c>
      <c r="J41" s="4">
        <f t="shared" si="8"/>
        <v>4.9594499999999995</v>
      </c>
      <c r="K41" s="131">
        <f t="shared" si="9"/>
        <v>1.438974</v>
      </c>
      <c r="L41" s="10">
        <f t="shared" si="10"/>
        <v>6.3984239999999994</v>
      </c>
      <c r="M41" s="141">
        <f t="shared" si="11"/>
        <v>54.364224</v>
      </c>
      <c r="N41" s="12">
        <f t="shared" si="12"/>
        <v>0.13339554432533177</v>
      </c>
      <c r="O41" s="17"/>
      <c r="P41" s="10">
        <v>52.588376000000004</v>
      </c>
      <c r="Q41" s="130">
        <v>1154</v>
      </c>
      <c r="R41" s="136">
        <f>(M41-P41)*Q41</f>
        <v>2049.3285919999958</v>
      </c>
      <c r="T41">
        <f>Q41/10</f>
        <v>115.4</v>
      </c>
    </row>
    <row r="42" spans="1:20">
      <c r="A42" s="4">
        <v>16</v>
      </c>
      <c r="B42" s="4" t="s">
        <v>259</v>
      </c>
      <c r="C42" s="4" t="s">
        <v>80</v>
      </c>
      <c r="D42" s="21" t="s">
        <v>45</v>
      </c>
      <c r="E42" s="13">
        <f>VLOOKUP(C42,'[3]恒伟GY (2)'!$B$9:$F$31,5,0)</f>
        <v>53.470100000000002</v>
      </c>
      <c r="F42" s="13">
        <v>5.35</v>
      </c>
      <c r="G42" s="4"/>
      <c r="H42" s="4">
        <v>0.9</v>
      </c>
      <c r="I42" s="4">
        <f t="shared" si="7"/>
        <v>4.8149999999999995</v>
      </c>
      <c r="J42" s="4">
        <f t="shared" si="8"/>
        <v>4.9594499999999995</v>
      </c>
      <c r="K42" s="131">
        <f t="shared" si="9"/>
        <v>1.6041030000000001</v>
      </c>
      <c r="L42" s="10">
        <f t="shared" si="10"/>
        <v>6.5635529999999997</v>
      </c>
      <c r="M42" s="141">
        <f t="shared" si="11"/>
        <v>60.033653000000001</v>
      </c>
      <c r="N42" s="12">
        <f t="shared" si="12"/>
        <v>0.12275183700797265</v>
      </c>
      <c r="O42" s="17"/>
      <c r="P42" s="10">
        <v>57.927547000000004</v>
      </c>
      <c r="Q42" s="130">
        <v>2282</v>
      </c>
      <c r="R42" s="136">
        <f>(M42-P42)*Q42</f>
        <v>4806.1338919999926</v>
      </c>
      <c r="T42">
        <f>Q42/10</f>
        <v>228.2</v>
      </c>
    </row>
    <row r="43" spans="1:20" ht="24">
      <c r="A43" s="4">
        <v>17</v>
      </c>
      <c r="B43" s="4" t="s">
        <v>259</v>
      </c>
      <c r="C43" s="4" t="s">
        <v>81</v>
      </c>
      <c r="D43" s="28" t="s">
        <v>46</v>
      </c>
      <c r="E43" s="13">
        <f>VLOOKUP(C43,'[3]恒伟GY (2)'!$B$9:$F$31,5,0)</f>
        <v>50.2821</v>
      </c>
      <c r="F43" s="13">
        <v>6</v>
      </c>
      <c r="G43" s="4"/>
      <c r="H43" s="4">
        <v>1.1000000000000001</v>
      </c>
      <c r="I43" s="4">
        <f t="shared" si="7"/>
        <v>6.6000000000000005</v>
      </c>
      <c r="J43" s="4">
        <f t="shared" si="8"/>
        <v>6.7980000000000009</v>
      </c>
      <c r="K43" s="131">
        <f t="shared" si="9"/>
        <v>1.5084629999999999</v>
      </c>
      <c r="L43" s="10">
        <f t="shared" si="10"/>
        <v>8.3064630000000008</v>
      </c>
      <c r="M43" s="141">
        <f t="shared" si="11"/>
        <v>58.588563000000001</v>
      </c>
      <c r="N43" s="12">
        <f t="shared" si="12"/>
        <v>0.16519721729999345</v>
      </c>
      <c r="O43" s="17"/>
      <c r="P43" s="10">
        <v>55.571637000000003</v>
      </c>
      <c r="Q43" s="130">
        <v>54</v>
      </c>
      <c r="R43" s="136">
        <f>(M43-P43)*Q43</f>
        <v>162.91400399999989</v>
      </c>
      <c r="T43">
        <f>Q43/10</f>
        <v>5.4</v>
      </c>
    </row>
    <row r="44" spans="1:20">
      <c r="A44" s="4">
        <v>18</v>
      </c>
      <c r="B44" s="4" t="s">
        <v>259</v>
      </c>
      <c r="C44" s="4" t="s">
        <v>82</v>
      </c>
      <c r="D44" s="32" t="s">
        <v>47</v>
      </c>
      <c r="E44" s="13">
        <f>VLOOKUP(C44,'[3]恒伟GY (2)'!$B$9:$F$31,5,0)</f>
        <v>63.752099999999999</v>
      </c>
      <c r="F44" s="13">
        <v>8.4499999999999993</v>
      </c>
      <c r="G44" s="4"/>
      <c r="H44" s="4">
        <v>0.55000000000000004</v>
      </c>
      <c r="I44" s="4">
        <f t="shared" si="7"/>
        <v>4.6475</v>
      </c>
      <c r="J44" s="4">
        <f t="shared" si="8"/>
        <v>4.7869250000000001</v>
      </c>
      <c r="K44" s="131">
        <f t="shared" si="9"/>
        <v>1.9125629999999998</v>
      </c>
      <c r="L44" s="10">
        <f t="shared" si="10"/>
        <v>6.6994879999999997</v>
      </c>
      <c r="M44" s="141">
        <f t="shared" si="11"/>
        <v>70.451588000000001</v>
      </c>
      <c r="N44" s="12">
        <f t="shared" si="12"/>
        <v>0.10508654616867527</v>
      </c>
      <c r="O44" s="17"/>
      <c r="P44" s="10">
        <v>71.413387</v>
      </c>
      <c r="Q44" s="130">
        <v>1161</v>
      </c>
      <c r="R44" s="136">
        <f>(M44-P44)*Q44</f>
        <v>-1116.6486389999991</v>
      </c>
      <c r="T44">
        <f>Q44/10</f>
        <v>116.1</v>
      </c>
    </row>
    <row r="45" spans="1:20">
      <c r="A45" s="4">
        <v>19</v>
      </c>
      <c r="B45" s="4" t="s">
        <v>259</v>
      </c>
      <c r="C45" s="4" t="s">
        <v>83</v>
      </c>
      <c r="D45" s="21" t="s">
        <v>48</v>
      </c>
      <c r="E45" s="13">
        <f>VLOOKUP(C45,'[3]恒伟GY (2)'!$B$9:$F$31,5,0)</f>
        <v>55.7607</v>
      </c>
      <c r="F45" s="13">
        <v>8.89</v>
      </c>
      <c r="G45" s="4"/>
      <c r="H45" s="4">
        <v>1.1000000000000001</v>
      </c>
      <c r="I45" s="4">
        <f t="shared" si="7"/>
        <v>9.7790000000000017</v>
      </c>
      <c r="J45" s="4">
        <f t="shared" si="8"/>
        <v>10.072370000000001</v>
      </c>
      <c r="K45" s="131">
        <f t="shared" si="9"/>
        <v>1.6728209999999999</v>
      </c>
      <c r="L45" s="10">
        <f t="shared" si="10"/>
        <v>11.745191000000002</v>
      </c>
      <c r="M45" s="141">
        <f t="shared" si="11"/>
        <v>67.505891000000005</v>
      </c>
      <c r="N45" s="12">
        <f t="shared" si="12"/>
        <v>0.21063564481794536</v>
      </c>
      <c r="O45" s="17"/>
      <c r="P45" s="10">
        <v>64.160248999999993</v>
      </c>
      <c r="Q45" s="130">
        <v>738</v>
      </c>
      <c r="R45" s="136">
        <f>(M45-P45)*Q45</f>
        <v>2469.083796000009</v>
      </c>
      <c r="T45">
        <f>Q45/10</f>
        <v>73.8</v>
      </c>
    </row>
    <row r="46" spans="1:20">
      <c r="A46" s="4">
        <v>20</v>
      </c>
      <c r="B46" s="4" t="s">
        <v>259</v>
      </c>
      <c r="C46" s="4" t="s">
        <v>84</v>
      </c>
      <c r="D46" s="21" t="s">
        <v>49</v>
      </c>
      <c r="E46" s="13">
        <f>VLOOKUP(C46,'[3]恒伟GY (2)'!$B$9:$F$31,5,0)</f>
        <v>24.6068</v>
      </c>
      <c r="F46" s="13">
        <v>3.41</v>
      </c>
      <c r="G46" s="4"/>
      <c r="H46" s="132">
        <v>1</v>
      </c>
      <c r="I46" s="4">
        <f t="shared" si="7"/>
        <v>3.41</v>
      </c>
      <c r="J46" s="4">
        <f t="shared" si="8"/>
        <v>3.5123000000000002</v>
      </c>
      <c r="K46" s="4">
        <f t="shared" si="9"/>
        <v>0.73820399999999997</v>
      </c>
      <c r="L46" s="10">
        <f t="shared" si="10"/>
        <v>4.2505040000000003</v>
      </c>
      <c r="M46" s="141">
        <f t="shared" si="11"/>
        <v>28.857303999999999</v>
      </c>
      <c r="N46" s="12">
        <f t="shared" si="12"/>
        <v>0.17273696701724725</v>
      </c>
      <c r="O46" s="17"/>
      <c r="P46" s="10">
        <v>27.732126000000001</v>
      </c>
      <c r="Q46" s="130">
        <v>54</v>
      </c>
      <c r="R46" s="136">
        <f>(M46-P46)*Q46</f>
        <v>60.759611999999905</v>
      </c>
      <c r="T46">
        <f>Q46/10</f>
        <v>5.4</v>
      </c>
    </row>
    <row r="47" spans="1:20">
      <c r="A47" s="4">
        <v>21</v>
      </c>
      <c r="B47" s="4" t="s">
        <v>259</v>
      </c>
      <c r="C47" s="4" t="s">
        <v>50</v>
      </c>
      <c r="D47" s="21" t="s">
        <v>271</v>
      </c>
      <c r="E47" s="13">
        <f>VLOOKUP(C47,'[3]恒伟GY (2)'!$B$9:$F$31,5,0)</f>
        <v>31.6496</v>
      </c>
      <c r="F47" s="13">
        <v>2.41</v>
      </c>
      <c r="G47" s="4"/>
      <c r="H47" s="4">
        <v>0.9</v>
      </c>
      <c r="I47" s="4">
        <f t="shared" si="7"/>
        <v>2.169</v>
      </c>
      <c r="J47" s="4">
        <f t="shared" si="8"/>
        <v>2.23407</v>
      </c>
      <c r="K47" s="4">
        <f t="shared" si="9"/>
        <v>0.949488</v>
      </c>
      <c r="L47" s="10">
        <f t="shared" si="10"/>
        <v>3.1835580000000001</v>
      </c>
      <c r="M47" s="141">
        <f t="shared" si="11"/>
        <v>34.833157999999997</v>
      </c>
      <c r="N47" s="12">
        <f t="shared" si="12"/>
        <v>0.10058762196046706</v>
      </c>
      <c r="O47" s="17"/>
      <c r="P47" s="10">
        <v>33.430641999999999</v>
      </c>
      <c r="Q47" s="130">
        <v>716</v>
      </c>
      <c r="R47" s="136">
        <f>(M47-P47)*Q47</f>
        <v>1004.201455999999</v>
      </c>
      <c r="T47">
        <f>Q47/10</f>
        <v>71.599999999999994</v>
      </c>
    </row>
    <row r="48" spans="1:20">
      <c r="A48" s="4">
        <v>22</v>
      </c>
      <c r="B48" s="4" t="s">
        <v>259</v>
      </c>
      <c r="C48" s="4" t="s">
        <v>51</v>
      </c>
      <c r="D48" s="21" t="s">
        <v>272</v>
      </c>
      <c r="E48" s="13">
        <f>VLOOKUP(C48,'[3]恒伟GY (2)'!$B$9:$F$31,5,0)</f>
        <v>31.6496</v>
      </c>
      <c r="F48" s="13">
        <v>2.41</v>
      </c>
      <c r="G48" s="4"/>
      <c r="H48" s="4">
        <v>0.9</v>
      </c>
      <c r="I48" s="4">
        <f t="shared" si="7"/>
        <v>2.169</v>
      </c>
      <c r="J48" s="4">
        <f t="shared" si="8"/>
        <v>2.23407</v>
      </c>
      <c r="K48" s="4">
        <f t="shared" si="9"/>
        <v>0.949488</v>
      </c>
      <c r="L48" s="10">
        <f t="shared" si="10"/>
        <v>3.1835580000000001</v>
      </c>
      <c r="M48" s="141">
        <f t="shared" si="11"/>
        <v>34.833157999999997</v>
      </c>
      <c r="N48" s="12">
        <f t="shared" si="12"/>
        <v>0.10058762196046706</v>
      </c>
      <c r="O48" s="17"/>
      <c r="P48" s="10">
        <v>33.430641999999999</v>
      </c>
      <c r="Q48" s="130">
        <v>447</v>
      </c>
      <c r="R48" s="136">
        <f>(M48-P48)*Q48</f>
        <v>626.92465199999936</v>
      </c>
      <c r="T48">
        <f>Q48/10</f>
        <v>44.7</v>
      </c>
    </row>
    <row r="49" spans="16:18">
      <c r="P49"/>
      <c r="Q49"/>
      <c r="R49" s="137">
        <f>SUM(R30:R48)</f>
        <v>35513.690137557503</v>
      </c>
    </row>
  </sheetData>
  <mergeCells count="2">
    <mergeCell ref="A1:M1"/>
    <mergeCell ref="A28:M28"/>
  </mergeCells>
  <phoneticPr fontId="6" type="noConversion"/>
  <pageMargins left="0.75" right="0.75" top="1" bottom="1" header="0.5" footer="0.5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698D7-F4CA-4ACD-81E6-2B33EBD99DFE}">
  <dimension ref="A1:AD95"/>
  <sheetViews>
    <sheetView zoomScale="80" zoomScaleNormal="80" workbookViewId="0">
      <pane xSplit="10" ySplit="3" topLeftCell="R67" activePane="bottomRight" state="frozen"/>
      <selection pane="topRight" activeCell="J1" sqref="J1"/>
      <selection pane="bottomLeft" activeCell="A4" sqref="A4"/>
      <selection pane="bottomRight" activeCell="I14" sqref="I14"/>
    </sheetView>
  </sheetViews>
  <sheetFormatPr defaultColWidth="9" defaultRowHeight="14.4"/>
  <cols>
    <col min="1" max="1" width="4.33203125" style="36" customWidth="1"/>
    <col min="2" max="2" width="13.6640625" style="36" customWidth="1"/>
    <col min="3" max="3" width="21.88671875" style="36" customWidth="1"/>
    <col min="4" max="4" width="7.6640625" style="36" customWidth="1"/>
    <col min="5" max="5" width="24.5546875" style="36" customWidth="1"/>
    <col min="6" max="6" width="27.44140625" style="36" customWidth="1"/>
    <col min="7" max="7" width="8.21875" style="36" customWidth="1"/>
    <col min="8" max="8" width="8.21875" style="45" customWidth="1"/>
    <col min="9" max="9" width="6.21875" style="45" customWidth="1"/>
    <col min="10" max="10" width="10.5546875" style="36" customWidth="1"/>
    <col min="11" max="13" width="5.5546875" style="36" customWidth="1"/>
    <col min="14" max="16" width="5.44140625" style="127" customWidth="1"/>
    <col min="17" max="18" width="6.33203125" style="36" customWidth="1"/>
    <col min="19" max="19" width="9.33203125" style="36" customWidth="1"/>
    <col min="20" max="20" width="8.44140625" style="36" customWidth="1"/>
    <col min="21" max="21" width="7.33203125" style="36" customWidth="1"/>
    <col min="22" max="22" width="11.109375" style="36" customWidth="1"/>
    <col min="23" max="23" width="11.33203125" style="36" customWidth="1"/>
    <col min="24" max="24" width="7.33203125" style="36" customWidth="1"/>
    <col min="25" max="25" width="7.33203125" style="45" customWidth="1"/>
    <col min="26" max="26" width="9.109375" style="36" customWidth="1"/>
    <col min="27" max="27" width="12.109375" style="36" customWidth="1"/>
    <col min="28" max="28" width="11.33203125" style="36" customWidth="1"/>
    <col min="29" max="29" width="12.109375" style="36" customWidth="1"/>
    <col min="30" max="30" width="10.77734375" style="36" customWidth="1"/>
    <col min="31" max="16384" width="9" style="36"/>
  </cols>
  <sheetData>
    <row r="1" spans="1:30" ht="18" thickBot="1">
      <c r="A1" s="104" t="s">
        <v>115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5"/>
      <c r="R1" s="105"/>
      <c r="S1" s="106"/>
      <c r="T1" s="106"/>
      <c r="U1" s="107"/>
      <c r="V1" s="105"/>
      <c r="W1" s="104"/>
      <c r="X1" s="104"/>
      <c r="Y1" s="104"/>
      <c r="Z1" s="108"/>
      <c r="AA1" s="108"/>
      <c r="AB1" s="52"/>
      <c r="AC1" s="52"/>
    </row>
    <row r="2" spans="1:30" ht="15" thickBot="1">
      <c r="A2" s="109" t="s">
        <v>0</v>
      </c>
      <c r="B2" s="110" t="s">
        <v>96</v>
      </c>
      <c r="C2" s="110" t="s">
        <v>97</v>
      </c>
      <c r="D2" s="91" t="s">
        <v>161</v>
      </c>
      <c r="E2" s="91" t="s">
        <v>116</v>
      </c>
      <c r="F2" s="112" t="s">
        <v>98</v>
      </c>
      <c r="G2" s="93" t="s">
        <v>122</v>
      </c>
      <c r="H2" s="93" t="s">
        <v>191</v>
      </c>
      <c r="I2" s="110" t="s">
        <v>99</v>
      </c>
      <c r="J2" s="95" t="s">
        <v>3</v>
      </c>
      <c r="K2" s="97" t="s">
        <v>233</v>
      </c>
      <c r="L2" s="98"/>
      <c r="M2" s="99"/>
      <c r="N2" s="120" t="s">
        <v>231</v>
      </c>
      <c r="O2" s="121"/>
      <c r="P2" s="122"/>
      <c r="Q2" s="96" t="s">
        <v>100</v>
      </c>
      <c r="R2" s="115"/>
      <c r="S2" s="116" t="s">
        <v>101</v>
      </c>
      <c r="T2" s="116"/>
      <c r="U2" s="117"/>
      <c r="V2" s="87" t="s">
        <v>102</v>
      </c>
      <c r="W2" s="95" t="s">
        <v>103</v>
      </c>
      <c r="X2" s="95"/>
      <c r="Y2" s="95"/>
      <c r="Z2" s="96"/>
      <c r="AA2" s="37" t="s">
        <v>104</v>
      </c>
      <c r="AB2" s="84" t="s">
        <v>163</v>
      </c>
      <c r="AC2" s="84" t="s">
        <v>164</v>
      </c>
      <c r="AD2" s="84" t="s">
        <v>165</v>
      </c>
    </row>
    <row r="3" spans="1:30">
      <c r="A3" s="100"/>
      <c r="B3" s="111"/>
      <c r="C3" s="111"/>
      <c r="D3" s="92"/>
      <c r="E3" s="92"/>
      <c r="F3" s="113"/>
      <c r="G3" s="94"/>
      <c r="H3" s="94"/>
      <c r="I3" s="111"/>
      <c r="J3" s="114"/>
      <c r="K3" s="64" t="s">
        <v>228</v>
      </c>
      <c r="L3" s="64" t="s">
        <v>229</v>
      </c>
      <c r="M3" s="64" t="s">
        <v>230</v>
      </c>
      <c r="N3" s="124" t="s">
        <v>228</v>
      </c>
      <c r="O3" s="124" t="s">
        <v>229</v>
      </c>
      <c r="P3" s="124" t="s">
        <v>230</v>
      </c>
      <c r="Q3" s="38" t="s">
        <v>105</v>
      </c>
      <c r="R3" s="38" t="s">
        <v>106</v>
      </c>
      <c r="S3" s="39" t="s">
        <v>107</v>
      </c>
      <c r="T3" s="39" t="s">
        <v>108</v>
      </c>
      <c r="U3" s="39" t="s">
        <v>106</v>
      </c>
      <c r="V3" s="88"/>
      <c r="W3" s="40" t="s">
        <v>109</v>
      </c>
      <c r="X3" s="41" t="s">
        <v>110</v>
      </c>
      <c r="Y3" s="41" t="s">
        <v>154</v>
      </c>
      <c r="Z3" s="42" t="s">
        <v>111</v>
      </c>
      <c r="AA3" s="38" t="s">
        <v>112</v>
      </c>
      <c r="AB3" s="84"/>
      <c r="AC3" s="84"/>
      <c r="AD3" s="84"/>
    </row>
    <row r="4" spans="1:30" s="46" customFormat="1">
      <c r="A4" s="100">
        <v>1</v>
      </c>
      <c r="B4" s="102" t="s">
        <v>25</v>
      </c>
      <c r="C4" s="102" t="s">
        <v>168</v>
      </c>
      <c r="D4" s="80">
        <v>1</v>
      </c>
      <c r="E4" s="80" t="s">
        <v>117</v>
      </c>
      <c r="F4" s="66" t="s">
        <v>118</v>
      </c>
      <c r="G4" s="66" t="s">
        <v>123</v>
      </c>
      <c r="H4" s="67" t="s">
        <v>232</v>
      </c>
      <c r="I4" s="67">
        <v>1</v>
      </c>
      <c r="J4" s="68" t="s">
        <v>113</v>
      </c>
      <c r="K4" s="68">
        <v>552</v>
      </c>
      <c r="L4" s="68">
        <v>10</v>
      </c>
      <c r="M4" s="68">
        <v>1</v>
      </c>
      <c r="N4" s="123">
        <v>550</v>
      </c>
      <c r="O4" s="123">
        <v>10</v>
      </c>
      <c r="P4" s="123">
        <v>1</v>
      </c>
      <c r="Q4" s="78">
        <v>5.25</v>
      </c>
      <c r="R4" s="78">
        <v>2.65</v>
      </c>
      <c r="S4" s="75">
        <f>(L4-M4)*M4*0.02466*K4/1000</f>
        <v>0.12251088000000002</v>
      </c>
      <c r="T4" s="75">
        <f>(O4-P4)*P4*0.02466*N4/1000</f>
        <v>0.12206700000000001</v>
      </c>
      <c r="U4" s="70">
        <f t="shared" ref="U4:U6" si="0">S4-T4</f>
        <v>4.438800000000076E-4</v>
      </c>
      <c r="V4" s="71">
        <f>(Q4*S4-R4*U4)*I4</f>
        <v>0.64200583800000011</v>
      </c>
      <c r="W4" s="66" t="s">
        <v>150</v>
      </c>
      <c r="X4" s="67"/>
      <c r="Y4" s="67">
        <v>1</v>
      </c>
      <c r="Z4" s="63">
        <v>0.08</v>
      </c>
      <c r="AA4" s="63">
        <f>Y4*Z4</f>
        <v>0.08</v>
      </c>
      <c r="AB4" s="89">
        <v>0.1</v>
      </c>
      <c r="AC4" s="85" t="s">
        <v>193</v>
      </c>
      <c r="AD4" s="85"/>
    </row>
    <row r="5" spans="1:30" s="46" customFormat="1">
      <c r="A5" s="100"/>
      <c r="B5" s="102"/>
      <c r="C5" s="102"/>
      <c r="D5" s="80"/>
      <c r="E5" s="80"/>
      <c r="F5" s="66"/>
      <c r="G5" s="66"/>
      <c r="H5" s="67"/>
      <c r="I5" s="67"/>
      <c r="J5" s="68"/>
      <c r="K5" s="68"/>
      <c r="L5" s="68"/>
      <c r="M5" s="68"/>
      <c r="N5" s="123"/>
      <c r="O5" s="123"/>
      <c r="P5" s="123"/>
      <c r="Q5" s="78"/>
      <c r="R5" s="78"/>
      <c r="S5" s="70"/>
      <c r="T5" s="70"/>
      <c r="U5" s="70"/>
      <c r="V5" s="71"/>
      <c r="W5" s="66" t="s">
        <v>151</v>
      </c>
      <c r="X5" s="67"/>
      <c r="Y5" s="67">
        <v>2</v>
      </c>
      <c r="Z5" s="63">
        <v>0.05</v>
      </c>
      <c r="AA5" s="63">
        <f t="shared" ref="AA5:AA22" si="1">Y5*Z5</f>
        <v>0.1</v>
      </c>
      <c r="AB5" s="90"/>
      <c r="AC5" s="86"/>
      <c r="AD5" s="86"/>
    </row>
    <row r="6" spans="1:30" s="46" customFormat="1">
      <c r="A6" s="100"/>
      <c r="B6" s="102"/>
      <c r="C6" s="102"/>
      <c r="D6" s="65">
        <v>2</v>
      </c>
      <c r="E6" s="65" t="s">
        <v>119</v>
      </c>
      <c r="F6" s="66" t="s">
        <v>120</v>
      </c>
      <c r="G6" s="66" t="s">
        <v>124</v>
      </c>
      <c r="H6" s="67" t="s">
        <v>232</v>
      </c>
      <c r="I6" s="67">
        <v>1</v>
      </c>
      <c r="J6" s="68" t="s">
        <v>121</v>
      </c>
      <c r="K6" s="68">
        <f>392+11+1.6*2</f>
        <v>406.2</v>
      </c>
      <c r="L6" s="68">
        <f>150+1.6*2</f>
        <v>153.19999999999999</v>
      </c>
      <c r="M6" s="68">
        <v>1.6</v>
      </c>
      <c r="N6" s="123">
        <f>392+11</f>
        <v>403</v>
      </c>
      <c r="O6" s="123">
        <v>150</v>
      </c>
      <c r="P6" s="123">
        <v>1.6</v>
      </c>
      <c r="Q6" s="63">
        <v>5.23</v>
      </c>
      <c r="R6" s="63">
        <v>2.8</v>
      </c>
      <c r="S6" s="69">
        <f>K6*L6*M6*7.85/1000000</f>
        <v>0.78160679040000003</v>
      </c>
      <c r="T6" s="69">
        <f>N6*O6*P6*7.85/1000000</f>
        <v>0.75925200000000004</v>
      </c>
      <c r="U6" s="70">
        <f t="shared" si="0"/>
        <v>2.2354790399999991E-2</v>
      </c>
      <c r="V6" s="71">
        <f>(Q6*S6-R6*U6)*I6</f>
        <v>4.025210100672</v>
      </c>
      <c r="W6" s="66" t="s">
        <v>152</v>
      </c>
      <c r="X6" s="66" t="s">
        <v>153</v>
      </c>
      <c r="Y6" s="67">
        <v>1</v>
      </c>
      <c r="Z6" s="63">
        <v>0.25</v>
      </c>
      <c r="AA6" s="63">
        <f t="shared" si="1"/>
        <v>0.25</v>
      </c>
      <c r="AB6" s="90"/>
      <c r="AC6" s="86"/>
      <c r="AD6" s="86"/>
    </row>
    <row r="7" spans="1:30" s="46" customFormat="1">
      <c r="A7" s="100"/>
      <c r="B7" s="102"/>
      <c r="C7" s="102"/>
      <c r="D7" s="65"/>
      <c r="E7" s="65"/>
      <c r="F7" s="66"/>
      <c r="G7" s="66"/>
      <c r="H7" s="67"/>
      <c r="I7" s="67"/>
      <c r="J7" s="68"/>
      <c r="K7" s="68"/>
      <c r="L7" s="68"/>
      <c r="M7" s="68"/>
      <c r="N7" s="123"/>
      <c r="O7" s="123"/>
      <c r="P7" s="123"/>
      <c r="Q7" s="63"/>
      <c r="R7" s="63"/>
      <c r="S7" s="72"/>
      <c r="T7" s="72"/>
      <c r="U7" s="72"/>
      <c r="V7" s="71"/>
      <c r="W7" s="66" t="s">
        <v>155</v>
      </c>
      <c r="X7" s="66" t="s">
        <v>153</v>
      </c>
      <c r="Y7" s="67">
        <v>1</v>
      </c>
      <c r="Z7" s="63">
        <v>0.25</v>
      </c>
      <c r="AA7" s="63">
        <f t="shared" si="1"/>
        <v>0.25</v>
      </c>
      <c r="AB7" s="90"/>
      <c r="AC7" s="86"/>
      <c r="AD7" s="86"/>
    </row>
    <row r="8" spans="1:30" s="46" customFormat="1">
      <c r="A8" s="100"/>
      <c r="B8" s="102"/>
      <c r="C8" s="102"/>
      <c r="D8" s="65"/>
      <c r="E8" s="65"/>
      <c r="F8" s="66"/>
      <c r="G8" s="66"/>
      <c r="H8" s="67"/>
      <c r="I8" s="67"/>
      <c r="J8" s="68"/>
      <c r="K8" s="68"/>
      <c r="L8" s="68"/>
      <c r="M8" s="68"/>
      <c r="N8" s="123"/>
      <c r="O8" s="123"/>
      <c r="P8" s="123"/>
      <c r="Q8" s="63"/>
      <c r="R8" s="63"/>
      <c r="S8" s="72"/>
      <c r="T8" s="72"/>
      <c r="U8" s="72"/>
      <c r="V8" s="71"/>
      <c r="W8" s="66" t="s">
        <v>157</v>
      </c>
      <c r="X8" s="66" t="s">
        <v>158</v>
      </c>
      <c r="Y8" s="67">
        <v>1</v>
      </c>
      <c r="Z8" s="63">
        <v>0.15</v>
      </c>
      <c r="AA8" s="63">
        <f t="shared" si="1"/>
        <v>0.15</v>
      </c>
      <c r="AB8" s="90"/>
      <c r="AC8" s="86"/>
      <c r="AD8" s="86"/>
    </row>
    <row r="9" spans="1:30" s="46" customFormat="1">
      <c r="A9" s="100"/>
      <c r="B9" s="102"/>
      <c r="C9" s="102"/>
      <c r="D9" s="65">
        <v>3</v>
      </c>
      <c r="E9" s="65" t="s">
        <v>125</v>
      </c>
      <c r="F9" s="66" t="s">
        <v>126</v>
      </c>
      <c r="G9" s="66" t="s">
        <v>124</v>
      </c>
      <c r="H9" s="67"/>
      <c r="I9" s="67">
        <v>1</v>
      </c>
      <c r="J9" s="68" t="s">
        <v>121</v>
      </c>
      <c r="K9" s="66">
        <f>84+3.2</f>
        <v>87.2</v>
      </c>
      <c r="L9" s="66">
        <f>45+3.2</f>
        <v>48.2</v>
      </c>
      <c r="M9" s="66">
        <v>1.6</v>
      </c>
      <c r="N9" s="123">
        <v>84</v>
      </c>
      <c r="O9" s="123">
        <v>45</v>
      </c>
      <c r="P9" s="123">
        <v>1.6</v>
      </c>
      <c r="Q9" s="63">
        <v>5.23</v>
      </c>
      <c r="R9" s="63">
        <v>2.8</v>
      </c>
      <c r="S9" s="69">
        <f>K9*L9*M9*7.85/1000000</f>
        <v>5.2790182399999996E-2</v>
      </c>
      <c r="T9" s="69">
        <f>N9*O9*P9*7.85/1000000</f>
        <v>4.7476799999999993E-2</v>
      </c>
      <c r="U9" s="70">
        <f t="shared" ref="U9:U12" si="2">S9-T9</f>
        <v>5.3133824000000038E-3</v>
      </c>
      <c r="V9" s="71">
        <f>(Q9*S9-R9*U9)*I9</f>
        <v>0.26121518323199999</v>
      </c>
      <c r="W9" s="66" t="s">
        <v>159</v>
      </c>
      <c r="X9" s="66" t="s">
        <v>160</v>
      </c>
      <c r="Y9" s="67">
        <v>1</v>
      </c>
      <c r="Z9" s="63">
        <v>0.04</v>
      </c>
      <c r="AA9" s="63">
        <f t="shared" si="1"/>
        <v>0.04</v>
      </c>
      <c r="AB9" s="90"/>
      <c r="AC9" s="86"/>
      <c r="AD9" s="86"/>
    </row>
    <row r="10" spans="1:30" s="46" customFormat="1">
      <c r="A10" s="100"/>
      <c r="B10" s="102"/>
      <c r="C10" s="102"/>
      <c r="D10" s="65">
        <v>4</v>
      </c>
      <c r="E10" s="65" t="s">
        <v>127</v>
      </c>
      <c r="F10" s="73" t="s">
        <v>140</v>
      </c>
      <c r="G10" s="73" t="s">
        <v>128</v>
      </c>
      <c r="H10" s="74"/>
      <c r="I10" s="67">
        <v>4</v>
      </c>
      <c r="J10" s="68"/>
      <c r="K10" s="68"/>
      <c r="L10" s="68"/>
      <c r="M10" s="68"/>
      <c r="N10" s="123"/>
      <c r="O10" s="123"/>
      <c r="P10" s="123"/>
      <c r="Q10" s="76">
        <v>0.1137</v>
      </c>
      <c r="R10" s="76"/>
      <c r="S10" s="77"/>
      <c r="T10" s="77"/>
      <c r="U10" s="77"/>
      <c r="V10" s="71">
        <f>I10*Q10</f>
        <v>0.45479999999999998</v>
      </c>
      <c r="W10" s="66"/>
      <c r="X10" s="66"/>
      <c r="Y10" s="67"/>
      <c r="Z10" s="63"/>
      <c r="AA10" s="63">
        <f t="shared" si="1"/>
        <v>0</v>
      </c>
      <c r="AB10" s="90"/>
      <c r="AC10" s="86"/>
      <c r="AD10" s="86"/>
    </row>
    <row r="11" spans="1:30" s="46" customFormat="1">
      <c r="A11" s="100"/>
      <c r="B11" s="102"/>
      <c r="C11" s="102"/>
      <c r="D11" s="65">
        <v>5</v>
      </c>
      <c r="E11" s="65" t="s">
        <v>129</v>
      </c>
      <c r="F11" s="73" t="s">
        <v>130</v>
      </c>
      <c r="G11" s="73" t="s">
        <v>131</v>
      </c>
      <c r="H11" s="74"/>
      <c r="I11" s="67">
        <v>1</v>
      </c>
      <c r="J11" s="68" t="s">
        <v>132</v>
      </c>
      <c r="K11" s="68">
        <f>285+80</f>
        <v>365</v>
      </c>
      <c r="L11" s="68">
        <v>5</v>
      </c>
      <c r="M11" s="68"/>
      <c r="N11" s="123">
        <f>285+80</f>
        <v>365</v>
      </c>
      <c r="O11" s="123">
        <v>5</v>
      </c>
      <c r="P11" s="123"/>
      <c r="Q11" s="76">
        <f>9/1.13</f>
        <v>7.9646017699115053</v>
      </c>
      <c r="R11" s="76"/>
      <c r="S11" s="77">
        <f>L11*L11*0.00617*K11/1000</f>
        <v>5.6301249999999997E-2</v>
      </c>
      <c r="T11" s="77">
        <f>O11*O11*0.00617*N11/1000</f>
        <v>5.6301249999999997E-2</v>
      </c>
      <c r="U11" s="70">
        <f t="shared" si="2"/>
        <v>0</v>
      </c>
      <c r="V11" s="71">
        <f>(Q11*S11-R11*U11)*I11</f>
        <v>0.44841703539823013</v>
      </c>
      <c r="W11" s="66" t="s">
        <v>234</v>
      </c>
      <c r="X11" s="66"/>
      <c r="Y11" s="67"/>
      <c r="Z11" s="63"/>
      <c r="AA11" s="63">
        <f t="shared" si="1"/>
        <v>0</v>
      </c>
      <c r="AB11" s="90"/>
      <c r="AC11" s="86"/>
      <c r="AD11" s="86"/>
    </row>
    <row r="12" spans="1:30" s="46" customFormat="1">
      <c r="A12" s="100"/>
      <c r="B12" s="102"/>
      <c r="C12" s="102"/>
      <c r="D12" s="65">
        <v>6</v>
      </c>
      <c r="E12" s="65" t="s">
        <v>133</v>
      </c>
      <c r="F12" s="75" t="s">
        <v>134</v>
      </c>
      <c r="G12" s="66" t="s">
        <v>123</v>
      </c>
      <c r="H12" s="67"/>
      <c r="I12" s="67">
        <v>1</v>
      </c>
      <c r="J12" s="68" t="s">
        <v>135</v>
      </c>
      <c r="K12" s="68">
        <v>632</v>
      </c>
      <c r="L12" s="68">
        <v>25</v>
      </c>
      <c r="M12" s="68">
        <v>2</v>
      </c>
      <c r="N12" s="123">
        <v>630</v>
      </c>
      <c r="O12" s="123">
        <v>25</v>
      </c>
      <c r="P12" s="123">
        <v>2</v>
      </c>
      <c r="Q12" s="78">
        <v>5.25</v>
      </c>
      <c r="R12" s="76">
        <v>2.65</v>
      </c>
      <c r="S12" s="75">
        <f>(L12-M12)*M12*0.02466*K12/1000</f>
        <v>0.71691552000000003</v>
      </c>
      <c r="T12" s="75">
        <f>(O12-P12)*P12*0.02466*N12/1000</f>
        <v>0.71464680000000003</v>
      </c>
      <c r="U12" s="70">
        <f t="shared" si="2"/>
        <v>2.2687200000000018E-3</v>
      </c>
      <c r="V12" s="71">
        <f>(Q12*S12-R12*U12)*I12</f>
        <v>3.7577943719999998</v>
      </c>
      <c r="W12" s="66" t="s">
        <v>150</v>
      </c>
      <c r="X12" s="67"/>
      <c r="Y12" s="67">
        <v>1</v>
      </c>
      <c r="Z12" s="63">
        <v>0.08</v>
      </c>
      <c r="AA12" s="63">
        <f>Y12*Z12</f>
        <v>0.08</v>
      </c>
      <c r="AB12" s="90"/>
      <c r="AC12" s="86"/>
      <c r="AD12" s="86"/>
    </row>
    <row r="13" spans="1:30" s="46" customFormat="1">
      <c r="A13" s="100"/>
      <c r="B13" s="102"/>
      <c r="C13" s="102"/>
      <c r="D13" s="65"/>
      <c r="E13" s="65"/>
      <c r="F13" s="75"/>
      <c r="G13" s="66"/>
      <c r="H13" s="67"/>
      <c r="I13" s="67"/>
      <c r="J13" s="68"/>
      <c r="K13" s="68"/>
      <c r="L13" s="68"/>
      <c r="M13" s="68"/>
      <c r="N13" s="123"/>
      <c r="O13" s="123"/>
      <c r="P13" s="123"/>
      <c r="Q13" s="76"/>
      <c r="R13" s="76"/>
      <c r="S13" s="77"/>
      <c r="T13" s="77"/>
      <c r="U13" s="77"/>
      <c r="V13" s="71"/>
      <c r="W13" s="66" t="s">
        <v>151</v>
      </c>
      <c r="X13" s="67"/>
      <c r="Y13" s="67">
        <v>2</v>
      </c>
      <c r="Z13" s="63">
        <v>0.05</v>
      </c>
      <c r="AA13" s="63">
        <f t="shared" ref="AA13:AA14" si="3">Y13*Z13</f>
        <v>0.1</v>
      </c>
      <c r="AB13" s="90"/>
      <c r="AC13" s="86"/>
      <c r="AD13" s="86"/>
    </row>
    <row r="14" spans="1:30" s="46" customFormat="1">
      <c r="A14" s="100"/>
      <c r="B14" s="102"/>
      <c r="C14" s="102"/>
      <c r="D14" s="65"/>
      <c r="E14" s="65"/>
      <c r="F14" s="75"/>
      <c r="G14" s="66"/>
      <c r="H14" s="67"/>
      <c r="I14" s="67"/>
      <c r="J14" s="68"/>
      <c r="K14" s="68"/>
      <c r="L14" s="68"/>
      <c r="M14" s="68"/>
      <c r="N14" s="123"/>
      <c r="O14" s="123"/>
      <c r="P14" s="123"/>
      <c r="Q14" s="76"/>
      <c r="R14" s="76"/>
      <c r="S14" s="77"/>
      <c r="T14" s="77"/>
      <c r="U14" s="77"/>
      <c r="V14" s="71"/>
      <c r="W14" s="66" t="s">
        <v>237</v>
      </c>
      <c r="X14" s="67" t="s">
        <v>162</v>
      </c>
      <c r="Y14" s="67">
        <v>2</v>
      </c>
      <c r="Z14" s="63">
        <v>0.03</v>
      </c>
      <c r="AA14" s="63">
        <f t="shared" si="3"/>
        <v>0.06</v>
      </c>
      <c r="AB14" s="90"/>
      <c r="AC14" s="86"/>
      <c r="AD14" s="86"/>
    </row>
    <row r="15" spans="1:30" s="46" customFormat="1">
      <c r="A15" s="100"/>
      <c r="B15" s="102"/>
      <c r="C15" s="102"/>
      <c r="D15" s="65">
        <v>7</v>
      </c>
      <c r="E15" s="65" t="s">
        <v>136</v>
      </c>
      <c r="F15" s="75" t="s">
        <v>137</v>
      </c>
      <c r="G15" s="66" t="s">
        <v>123</v>
      </c>
      <c r="H15" s="67"/>
      <c r="I15" s="67">
        <v>2</v>
      </c>
      <c r="J15" s="68" t="s">
        <v>135</v>
      </c>
      <c r="K15" s="68">
        <v>55</v>
      </c>
      <c r="L15" s="68">
        <v>19</v>
      </c>
      <c r="M15" s="68">
        <v>1.5</v>
      </c>
      <c r="N15" s="123">
        <v>55</v>
      </c>
      <c r="O15" s="123">
        <v>19</v>
      </c>
      <c r="P15" s="123">
        <v>1.5</v>
      </c>
      <c r="Q15" s="78">
        <v>5.25</v>
      </c>
      <c r="R15" s="76">
        <v>2.65</v>
      </c>
      <c r="S15" s="75">
        <f>(19-1.5)*1.5*0.02466*0.57</f>
        <v>0.36897524999999998</v>
      </c>
      <c r="T15" s="75">
        <f>(19-1.5)*1.5*0.02466*0.56</f>
        <v>0.36250200000000005</v>
      </c>
      <c r="U15" s="70">
        <f t="shared" ref="U15" si="4">S15-T15</f>
        <v>6.4732499999999304E-3</v>
      </c>
      <c r="V15" s="71">
        <f>(Q15*S15-R15*U15)*I15</f>
        <v>3.8399318999999998</v>
      </c>
      <c r="W15" s="66" t="s">
        <v>150</v>
      </c>
      <c r="X15" s="67"/>
      <c r="Y15" s="67">
        <v>2</v>
      </c>
      <c r="Z15" s="63">
        <v>0.08</v>
      </c>
      <c r="AA15" s="63">
        <f>Y15*Z15</f>
        <v>0.16</v>
      </c>
      <c r="AB15" s="90"/>
      <c r="AC15" s="86"/>
      <c r="AD15" s="86"/>
    </row>
    <row r="16" spans="1:30" s="46" customFormat="1">
      <c r="A16" s="100"/>
      <c r="B16" s="102"/>
      <c r="C16" s="102"/>
      <c r="D16" s="65"/>
      <c r="E16" s="65"/>
      <c r="F16" s="75"/>
      <c r="G16" s="66"/>
      <c r="H16" s="67"/>
      <c r="I16" s="67"/>
      <c r="J16" s="68"/>
      <c r="K16" s="68"/>
      <c r="L16" s="68"/>
      <c r="M16" s="68"/>
      <c r="N16" s="123"/>
      <c r="O16" s="123"/>
      <c r="P16" s="123"/>
      <c r="Q16" s="76"/>
      <c r="R16" s="76"/>
      <c r="S16" s="77"/>
      <c r="T16" s="77"/>
      <c r="U16" s="77"/>
      <c r="V16" s="71"/>
      <c r="W16" s="66" t="s">
        <v>156</v>
      </c>
      <c r="X16" s="67"/>
      <c r="Y16" s="67">
        <v>4</v>
      </c>
      <c r="Z16" s="63">
        <v>0.05</v>
      </c>
      <c r="AA16" s="63">
        <f t="shared" ref="AA16:AA19" si="5">Y16*Z16</f>
        <v>0.2</v>
      </c>
      <c r="AB16" s="90"/>
      <c r="AC16" s="86"/>
      <c r="AD16" s="86"/>
    </row>
    <row r="17" spans="1:30" s="46" customFormat="1">
      <c r="A17" s="100"/>
      <c r="B17" s="102"/>
      <c r="C17" s="102"/>
      <c r="D17" s="65">
        <v>8</v>
      </c>
      <c r="E17" s="65" t="s">
        <v>138</v>
      </c>
      <c r="F17" s="75" t="s">
        <v>139</v>
      </c>
      <c r="G17" s="66" t="s">
        <v>124</v>
      </c>
      <c r="H17" s="67"/>
      <c r="I17" s="67">
        <v>2</v>
      </c>
      <c r="J17" s="68" t="s">
        <v>132</v>
      </c>
      <c r="K17" s="75">
        <f>120+5</f>
        <v>125</v>
      </c>
      <c r="L17" s="75">
        <f>80+5</f>
        <v>85</v>
      </c>
      <c r="M17" s="75">
        <v>2.5</v>
      </c>
      <c r="N17" s="123">
        <v>120</v>
      </c>
      <c r="O17" s="123">
        <v>80</v>
      </c>
      <c r="P17" s="123">
        <v>2.5</v>
      </c>
      <c r="Q17" s="79">
        <v>4.8</v>
      </c>
      <c r="R17" s="78">
        <v>2.8</v>
      </c>
      <c r="S17" s="69">
        <f>K17*L17*M17*7.85/1000000</f>
        <v>0.20851562500000001</v>
      </c>
      <c r="T17" s="69">
        <f>N17*O17*P17*7.85/1000000</f>
        <v>0.18840000000000001</v>
      </c>
      <c r="U17" s="70">
        <f t="shared" ref="U17" si="6">S17-T17</f>
        <v>2.0115624999999998E-2</v>
      </c>
      <c r="V17" s="71">
        <f>(Q17*S17-R17*U17)*I17</f>
        <v>1.8891024999999999</v>
      </c>
      <c r="W17" s="66" t="s">
        <v>152</v>
      </c>
      <c r="X17" s="66" t="s">
        <v>160</v>
      </c>
      <c r="Y17" s="67">
        <v>2</v>
      </c>
      <c r="Z17" s="63">
        <v>0.04</v>
      </c>
      <c r="AA17" s="63">
        <f t="shared" si="5"/>
        <v>0.08</v>
      </c>
      <c r="AB17" s="90"/>
      <c r="AC17" s="86"/>
      <c r="AD17" s="86"/>
    </row>
    <row r="18" spans="1:30" s="46" customFormat="1">
      <c r="A18" s="100"/>
      <c r="B18" s="102"/>
      <c r="C18" s="102"/>
      <c r="D18" s="65"/>
      <c r="E18" s="65"/>
      <c r="F18" s="75"/>
      <c r="G18" s="66"/>
      <c r="H18" s="67"/>
      <c r="I18" s="67"/>
      <c r="J18" s="68"/>
      <c r="K18" s="75"/>
      <c r="L18" s="75"/>
      <c r="M18" s="75"/>
      <c r="N18" s="123"/>
      <c r="O18" s="123"/>
      <c r="P18" s="123"/>
      <c r="Q18" s="79"/>
      <c r="R18" s="78"/>
      <c r="S18" s="69"/>
      <c r="T18" s="69"/>
      <c r="U18" s="70"/>
      <c r="V18" s="71"/>
      <c r="W18" s="66" t="s">
        <v>155</v>
      </c>
      <c r="X18" s="66" t="s">
        <v>160</v>
      </c>
      <c r="Y18" s="67">
        <v>2</v>
      </c>
      <c r="Z18" s="63">
        <v>0.04</v>
      </c>
      <c r="AA18" s="63">
        <f t="shared" si="5"/>
        <v>0.08</v>
      </c>
      <c r="AB18" s="90"/>
      <c r="AC18" s="86"/>
      <c r="AD18" s="86"/>
    </row>
    <row r="19" spans="1:30" s="46" customFormat="1">
      <c r="A19" s="100"/>
      <c r="B19" s="102"/>
      <c r="C19" s="102"/>
      <c r="D19" s="65"/>
      <c r="E19" s="65"/>
      <c r="F19" s="75"/>
      <c r="G19" s="66"/>
      <c r="H19" s="67"/>
      <c r="I19" s="67"/>
      <c r="J19" s="68"/>
      <c r="K19" s="75"/>
      <c r="L19" s="75"/>
      <c r="M19" s="75"/>
      <c r="N19" s="123"/>
      <c r="O19" s="123"/>
      <c r="P19" s="123"/>
      <c r="Q19" s="79"/>
      <c r="R19" s="78"/>
      <c r="S19" s="69"/>
      <c r="T19" s="69"/>
      <c r="U19" s="70"/>
      <c r="V19" s="71"/>
      <c r="W19" s="66" t="s">
        <v>236</v>
      </c>
      <c r="X19" s="66" t="s">
        <v>160</v>
      </c>
      <c r="Y19" s="67">
        <v>2</v>
      </c>
      <c r="Z19" s="63">
        <v>0.04</v>
      </c>
      <c r="AA19" s="63">
        <f t="shared" si="5"/>
        <v>0.08</v>
      </c>
      <c r="AB19" s="90"/>
      <c r="AC19" s="86"/>
      <c r="AD19" s="86"/>
    </row>
    <row r="20" spans="1:30" s="46" customFormat="1">
      <c r="A20" s="100"/>
      <c r="B20" s="102"/>
      <c r="C20" s="102"/>
      <c r="D20" s="65">
        <v>9</v>
      </c>
      <c r="E20" s="65" t="s">
        <v>127</v>
      </c>
      <c r="F20" s="73" t="s">
        <v>141</v>
      </c>
      <c r="G20" s="73" t="s">
        <v>128</v>
      </c>
      <c r="H20" s="74"/>
      <c r="I20" s="67">
        <v>4</v>
      </c>
      <c r="J20" s="68"/>
      <c r="K20" s="68"/>
      <c r="L20" s="68"/>
      <c r="M20" s="68"/>
      <c r="N20" s="123"/>
      <c r="O20" s="123"/>
      <c r="P20" s="123"/>
      <c r="Q20" s="78">
        <v>3.3000000000000002E-2</v>
      </c>
      <c r="R20" s="78"/>
      <c r="S20" s="75"/>
      <c r="T20" s="75"/>
      <c r="U20" s="75"/>
      <c r="V20" s="71">
        <f>I20*Q20</f>
        <v>0.13200000000000001</v>
      </c>
      <c r="W20" s="66"/>
      <c r="X20" s="66"/>
      <c r="Y20" s="67"/>
      <c r="Z20" s="63"/>
      <c r="AA20" s="63">
        <f t="shared" si="1"/>
        <v>0</v>
      </c>
      <c r="AB20" s="90"/>
      <c r="AC20" s="86"/>
      <c r="AD20" s="86"/>
    </row>
    <row r="21" spans="1:30" s="46" customFormat="1">
      <c r="A21" s="100"/>
      <c r="B21" s="102"/>
      <c r="C21" s="102"/>
      <c r="D21" s="65">
        <v>10</v>
      </c>
      <c r="E21" s="65" t="s">
        <v>142</v>
      </c>
      <c r="F21" s="75" t="s">
        <v>143</v>
      </c>
      <c r="G21" s="66" t="s">
        <v>123</v>
      </c>
      <c r="H21" s="67"/>
      <c r="I21" s="67">
        <v>1</v>
      </c>
      <c r="J21" s="68"/>
      <c r="K21" s="68">
        <f>352</f>
        <v>352</v>
      </c>
      <c r="L21" s="68">
        <v>20</v>
      </c>
      <c r="M21" s="68">
        <v>2</v>
      </c>
      <c r="N21" s="123">
        <v>350</v>
      </c>
      <c r="O21" s="123">
        <v>20</v>
      </c>
      <c r="P21" s="123">
        <v>2</v>
      </c>
      <c r="Q21" s="78">
        <v>5.25</v>
      </c>
      <c r="R21" s="78">
        <v>2.65</v>
      </c>
      <c r="S21" s="75">
        <f>(L21-M21)*M21*0.02466*K21/1000</f>
        <v>0.31249152000000002</v>
      </c>
      <c r="T21" s="75">
        <f>(O21-P21)*P21*0.02466*N21/1000</f>
        <v>0.31071599999999999</v>
      </c>
      <c r="U21" s="70">
        <f t="shared" ref="U21:U24" si="7">S21-T21</f>
        <v>1.7755200000000304E-3</v>
      </c>
      <c r="V21" s="71">
        <f>(Q21*S21-R21*U21)*I21</f>
        <v>1.635875352</v>
      </c>
      <c r="W21" s="66" t="s">
        <v>150</v>
      </c>
      <c r="X21" s="67"/>
      <c r="Y21" s="67">
        <v>1</v>
      </c>
      <c r="Z21" s="63">
        <v>0.08</v>
      </c>
      <c r="AA21" s="63">
        <f>Y21*Z21</f>
        <v>0.08</v>
      </c>
      <c r="AB21" s="90"/>
      <c r="AC21" s="86"/>
      <c r="AD21" s="86"/>
    </row>
    <row r="22" spans="1:30" s="46" customFormat="1">
      <c r="A22" s="100"/>
      <c r="B22" s="102"/>
      <c r="C22" s="102"/>
      <c r="D22" s="65">
        <v>11</v>
      </c>
      <c r="E22" s="65" t="s">
        <v>144</v>
      </c>
      <c r="F22" s="75" t="s">
        <v>145</v>
      </c>
      <c r="G22" s="75" t="s">
        <v>131</v>
      </c>
      <c r="H22" s="67"/>
      <c r="I22" s="67">
        <v>1</v>
      </c>
      <c r="J22" s="68" t="s">
        <v>132</v>
      </c>
      <c r="K22" s="68">
        <f>270+25+25</f>
        <v>320</v>
      </c>
      <c r="L22" s="68">
        <v>6</v>
      </c>
      <c r="M22" s="68"/>
      <c r="N22" s="123">
        <f>270+25+25</f>
        <v>320</v>
      </c>
      <c r="O22" s="123">
        <v>6</v>
      </c>
      <c r="P22" s="123"/>
      <c r="Q22" s="76">
        <f>9/1.13</f>
        <v>7.9646017699115053</v>
      </c>
      <c r="R22" s="76"/>
      <c r="S22" s="77">
        <f>L22*L22*0.00617*K22/1000</f>
        <v>7.10784E-2</v>
      </c>
      <c r="T22" s="77">
        <f>O22*O22*0.00617*N22/1000</f>
        <v>7.10784E-2</v>
      </c>
      <c r="U22" s="70">
        <f t="shared" si="7"/>
        <v>0</v>
      </c>
      <c r="V22" s="71">
        <f>(Q22*S22-R22*U22)*I22</f>
        <v>0.56611115044247795</v>
      </c>
      <c r="W22" s="66"/>
      <c r="X22" s="66"/>
      <c r="Y22" s="67"/>
      <c r="Z22" s="63"/>
      <c r="AA22" s="63">
        <f t="shared" si="1"/>
        <v>0</v>
      </c>
      <c r="AB22" s="90"/>
      <c r="AC22" s="86"/>
      <c r="AD22" s="86"/>
    </row>
    <row r="23" spans="1:30" s="46" customFormat="1">
      <c r="A23" s="100"/>
      <c r="B23" s="102"/>
      <c r="C23" s="102"/>
      <c r="D23" s="65">
        <v>12</v>
      </c>
      <c r="E23" s="65" t="s">
        <v>146</v>
      </c>
      <c r="F23" s="75" t="s">
        <v>147</v>
      </c>
      <c r="G23" s="75" t="s">
        <v>124</v>
      </c>
      <c r="H23" s="67"/>
      <c r="I23" s="67">
        <v>1</v>
      </c>
      <c r="J23" s="68" t="s">
        <v>121</v>
      </c>
      <c r="K23" s="66">
        <f>84+3.2</f>
        <v>87.2</v>
      </c>
      <c r="L23" s="66">
        <f>45+3.2</f>
        <v>48.2</v>
      </c>
      <c r="M23" s="66">
        <v>1.6</v>
      </c>
      <c r="N23" s="123">
        <v>84</v>
      </c>
      <c r="O23" s="123">
        <v>45</v>
      </c>
      <c r="P23" s="123">
        <v>1.6</v>
      </c>
      <c r="Q23" s="63">
        <v>5.23</v>
      </c>
      <c r="R23" s="63">
        <v>2.8</v>
      </c>
      <c r="S23" s="69">
        <f>K23*L23*M23*7.85/1000000</f>
        <v>5.2790182399999996E-2</v>
      </c>
      <c r="T23" s="69">
        <f>N23*O23*P23*7.85/1000000</f>
        <v>4.7476799999999993E-2</v>
      </c>
      <c r="U23" s="70">
        <f t="shared" si="7"/>
        <v>5.3133824000000038E-3</v>
      </c>
      <c r="V23" s="71">
        <f>(Q23*S23-R23*U23)*I23</f>
        <v>0.26121518323199999</v>
      </c>
      <c r="W23" s="66" t="s">
        <v>159</v>
      </c>
      <c r="X23" s="66" t="s">
        <v>160</v>
      </c>
      <c r="Y23" s="67">
        <v>1</v>
      </c>
      <c r="Z23" s="63">
        <v>0.04</v>
      </c>
      <c r="AA23" s="63">
        <f t="shared" ref="AA23:AA26" si="8">Y23*Z23</f>
        <v>0.04</v>
      </c>
      <c r="AB23" s="90"/>
      <c r="AC23" s="86"/>
      <c r="AD23" s="86"/>
    </row>
    <row r="24" spans="1:30" s="46" customFormat="1">
      <c r="A24" s="100"/>
      <c r="B24" s="102"/>
      <c r="C24" s="102"/>
      <c r="D24" s="65">
        <v>13</v>
      </c>
      <c r="E24" s="65" t="s">
        <v>148</v>
      </c>
      <c r="F24" s="75" t="s">
        <v>149</v>
      </c>
      <c r="G24" s="75" t="s">
        <v>124</v>
      </c>
      <c r="H24" s="67"/>
      <c r="I24" s="67">
        <v>1</v>
      </c>
      <c r="J24" s="68" t="s">
        <v>121</v>
      </c>
      <c r="K24" s="68">
        <f>392+11+1.6*2</f>
        <v>406.2</v>
      </c>
      <c r="L24" s="68">
        <f>150+1.6*2</f>
        <v>153.19999999999999</v>
      </c>
      <c r="M24" s="68">
        <v>1.6</v>
      </c>
      <c r="N24" s="123">
        <f>392+11</f>
        <v>403</v>
      </c>
      <c r="O24" s="123">
        <v>150</v>
      </c>
      <c r="P24" s="123">
        <v>1.6</v>
      </c>
      <c r="Q24" s="63">
        <v>5.23</v>
      </c>
      <c r="R24" s="63">
        <v>2.8</v>
      </c>
      <c r="S24" s="69">
        <f>K24*L24*M24*7.85/1000000</f>
        <v>0.78160679040000003</v>
      </c>
      <c r="T24" s="69">
        <f>N24*O24*P24*7.85/1000000</f>
        <v>0.75925200000000004</v>
      </c>
      <c r="U24" s="70">
        <f t="shared" si="7"/>
        <v>2.2354790399999991E-2</v>
      </c>
      <c r="V24" s="71">
        <f>(Q24*S24-R24*U24)*I24</f>
        <v>4.025210100672</v>
      </c>
      <c r="W24" s="66" t="s">
        <v>152</v>
      </c>
      <c r="X24" s="66" t="s">
        <v>153</v>
      </c>
      <c r="Y24" s="67">
        <v>1</v>
      </c>
      <c r="Z24" s="63">
        <v>0.25</v>
      </c>
      <c r="AA24" s="63">
        <f t="shared" si="8"/>
        <v>0.25</v>
      </c>
      <c r="AB24" s="90"/>
      <c r="AC24" s="86"/>
      <c r="AD24" s="86"/>
    </row>
    <row r="25" spans="1:30">
      <c r="A25" s="100"/>
      <c r="B25" s="102"/>
      <c r="C25" s="102"/>
      <c r="D25" s="47"/>
      <c r="E25" s="47"/>
      <c r="F25" s="49"/>
      <c r="G25" s="49"/>
      <c r="H25" s="48"/>
      <c r="I25" s="48"/>
      <c r="J25" s="49"/>
      <c r="K25" s="49"/>
      <c r="L25" s="49"/>
      <c r="M25" s="49"/>
      <c r="N25" s="123"/>
      <c r="O25" s="123"/>
      <c r="P25" s="123"/>
      <c r="Q25" s="50"/>
      <c r="R25" s="50"/>
      <c r="S25" s="51"/>
      <c r="T25" s="51"/>
      <c r="U25" s="51"/>
      <c r="V25" s="50"/>
      <c r="W25" s="43" t="s">
        <v>155</v>
      </c>
      <c r="X25" s="43" t="s">
        <v>153</v>
      </c>
      <c r="Y25" s="41">
        <v>1</v>
      </c>
      <c r="Z25" s="44">
        <v>0.25</v>
      </c>
      <c r="AA25" s="44">
        <f t="shared" si="8"/>
        <v>0.25</v>
      </c>
      <c r="AB25" s="90"/>
      <c r="AC25" s="86"/>
      <c r="AD25" s="86"/>
    </row>
    <row r="26" spans="1:30">
      <c r="A26" s="100"/>
      <c r="B26" s="102"/>
      <c r="C26" s="102"/>
      <c r="D26" s="47"/>
      <c r="E26" s="47"/>
      <c r="F26" s="49"/>
      <c r="G26" s="49"/>
      <c r="H26" s="48"/>
      <c r="I26" s="48"/>
      <c r="J26" s="49"/>
      <c r="K26" s="49"/>
      <c r="L26" s="49"/>
      <c r="M26" s="49"/>
      <c r="N26" s="123"/>
      <c r="O26" s="123"/>
      <c r="P26" s="123"/>
      <c r="Q26" s="50"/>
      <c r="R26" s="50"/>
      <c r="S26" s="51"/>
      <c r="T26" s="51"/>
      <c r="U26" s="51"/>
      <c r="V26" s="50"/>
      <c r="W26" s="43" t="s">
        <v>157</v>
      </c>
      <c r="X26" s="43" t="s">
        <v>158</v>
      </c>
      <c r="Y26" s="41">
        <v>1</v>
      </c>
      <c r="Z26" s="44">
        <v>0.15</v>
      </c>
      <c r="AA26" s="44">
        <f t="shared" si="8"/>
        <v>0.15</v>
      </c>
      <c r="AB26" s="90"/>
      <c r="AC26" s="86"/>
      <c r="AD26" s="86"/>
    </row>
    <row r="27" spans="1:30">
      <c r="A27" s="100"/>
      <c r="B27" s="102"/>
      <c r="C27" s="102"/>
      <c r="D27" s="47"/>
      <c r="E27" s="47"/>
      <c r="F27" s="49"/>
      <c r="G27" s="49"/>
      <c r="H27" s="48"/>
      <c r="I27" s="48"/>
      <c r="J27" s="49"/>
      <c r="K27" s="49"/>
      <c r="L27" s="49"/>
      <c r="M27" s="49"/>
      <c r="N27" s="123"/>
      <c r="O27" s="123"/>
      <c r="P27" s="123"/>
      <c r="Q27" s="50"/>
      <c r="R27" s="50"/>
      <c r="S27" s="51"/>
      <c r="T27" s="51"/>
      <c r="U27" s="51"/>
      <c r="V27" s="50"/>
      <c r="W27" s="43" t="s">
        <v>166</v>
      </c>
      <c r="X27" s="43"/>
      <c r="Y27" s="41">
        <f>4*2.5+2*3*1+6*1.5+4*0.5+4*1+4*0.5+4*3*1+2*3*1</f>
        <v>51</v>
      </c>
      <c r="Z27" s="44">
        <v>0.05</v>
      </c>
      <c r="AA27" s="44">
        <f>Y27*Z27</f>
        <v>2.5500000000000003</v>
      </c>
      <c r="AB27" s="90"/>
      <c r="AC27" s="86"/>
      <c r="AD27" s="86"/>
    </row>
    <row r="28" spans="1:30">
      <c r="A28" s="100"/>
      <c r="B28" s="102"/>
      <c r="C28" s="102"/>
      <c r="D28" s="53"/>
      <c r="E28" s="53"/>
      <c r="F28" s="49"/>
      <c r="G28" s="49"/>
      <c r="H28" s="48"/>
      <c r="I28" s="48"/>
      <c r="J28" s="49"/>
      <c r="K28" s="49"/>
      <c r="L28" s="49"/>
      <c r="M28" s="49"/>
      <c r="N28" s="123"/>
      <c r="O28" s="123"/>
      <c r="P28" s="123"/>
      <c r="Q28" s="50"/>
      <c r="R28" s="50"/>
      <c r="S28" s="51"/>
      <c r="T28" s="51"/>
      <c r="U28" s="51"/>
      <c r="V28" s="50"/>
      <c r="W28" s="43" t="s">
        <v>235</v>
      </c>
      <c r="X28" s="43"/>
      <c r="Y28" s="54">
        <v>1</v>
      </c>
      <c r="Z28" s="44">
        <v>0.5</v>
      </c>
      <c r="AA28" s="44">
        <f>Y28*Z28</f>
        <v>0.5</v>
      </c>
      <c r="AB28" s="90"/>
      <c r="AC28" s="86"/>
      <c r="AD28" s="86"/>
    </row>
    <row r="29" spans="1:30">
      <c r="A29" s="100"/>
      <c r="B29" s="102"/>
      <c r="C29" s="102"/>
      <c r="D29" s="47"/>
      <c r="E29" s="47"/>
      <c r="F29" s="49"/>
      <c r="G29" s="49"/>
      <c r="H29" s="48"/>
      <c r="I29" s="48"/>
      <c r="J29" s="49"/>
      <c r="K29" s="49"/>
      <c r="L29" s="49"/>
      <c r="M29" s="49"/>
      <c r="N29" s="123"/>
      <c r="O29" s="123"/>
      <c r="P29" s="123"/>
      <c r="Q29" s="50"/>
      <c r="R29" s="50"/>
      <c r="S29" s="51"/>
      <c r="T29" s="51"/>
      <c r="U29" s="51"/>
      <c r="V29" s="50"/>
      <c r="W29" s="43" t="s">
        <v>167</v>
      </c>
      <c r="X29" s="43"/>
      <c r="Y29" s="41">
        <f>0.4745*0.359*2*0.3</f>
        <v>0.10220729999999999</v>
      </c>
      <c r="Z29" s="44">
        <v>15</v>
      </c>
      <c r="AA29" s="44">
        <f>Y29*Z29</f>
        <v>1.5331094999999999</v>
      </c>
      <c r="AB29" s="90"/>
      <c r="AC29" s="86"/>
      <c r="AD29" s="86"/>
    </row>
    <row r="30" spans="1:30" s="62" customFormat="1" ht="15" thickBot="1">
      <c r="A30" s="101"/>
      <c r="B30" s="103"/>
      <c r="C30" s="103"/>
      <c r="D30" s="55"/>
      <c r="E30" s="55"/>
      <c r="F30" s="56" t="s">
        <v>114</v>
      </c>
      <c r="G30" s="56"/>
      <c r="H30" s="57"/>
      <c r="I30" s="57"/>
      <c r="J30" s="56"/>
      <c r="K30" s="56"/>
      <c r="L30" s="56"/>
      <c r="M30" s="56"/>
      <c r="N30" s="125"/>
      <c r="O30" s="125"/>
      <c r="P30" s="125"/>
      <c r="Q30" s="58"/>
      <c r="R30" s="58"/>
      <c r="S30" s="59"/>
      <c r="T30" s="60"/>
      <c r="U30" s="60"/>
      <c r="V30" s="58">
        <f>SUM(V4:V29)</f>
        <v>21.938888715648709</v>
      </c>
      <c r="W30" s="56"/>
      <c r="X30" s="56"/>
      <c r="Y30" s="57"/>
      <c r="Z30" s="58"/>
      <c r="AA30" s="58">
        <f>SUM(AA4:AA29)</f>
        <v>7.0631095000000004</v>
      </c>
      <c r="AB30" s="61">
        <f>(V30+AA30)*AB4</f>
        <v>2.900199821564871</v>
      </c>
      <c r="AC30" s="61">
        <v>1.19</v>
      </c>
      <c r="AD30" s="61">
        <f>SUM(V30:AC30)</f>
        <v>33.092198037213578</v>
      </c>
    </row>
    <row r="31" spans="1:30" s="46" customFormat="1">
      <c r="A31" s="100">
        <v>2</v>
      </c>
      <c r="B31" s="118" t="s">
        <v>169</v>
      </c>
      <c r="C31" s="118" t="s">
        <v>246</v>
      </c>
      <c r="D31" s="80">
        <v>1</v>
      </c>
      <c r="E31" s="80" t="s">
        <v>170</v>
      </c>
      <c r="F31" s="66" t="s">
        <v>171</v>
      </c>
      <c r="G31" s="66" t="s">
        <v>123</v>
      </c>
      <c r="H31" s="67"/>
      <c r="I31" s="67">
        <v>1</v>
      </c>
      <c r="J31" s="68" t="s">
        <v>113</v>
      </c>
      <c r="K31" s="68">
        <f>590+2</f>
        <v>592</v>
      </c>
      <c r="L31" s="68">
        <v>10</v>
      </c>
      <c r="M31" s="81">
        <v>1</v>
      </c>
      <c r="N31" s="123">
        <v>590</v>
      </c>
      <c r="O31" s="123">
        <v>10</v>
      </c>
      <c r="P31" s="126">
        <v>1</v>
      </c>
      <c r="Q31" s="78">
        <v>4.5999999999999996</v>
      </c>
      <c r="R31" s="78">
        <v>2.65</v>
      </c>
      <c r="S31" s="82">
        <f>(L31-M31)*M31*0.02466*K31/1000</f>
        <v>0.13138848</v>
      </c>
      <c r="T31" s="82">
        <f>(O31-P31)*P31*0.02466*N31/1000</f>
        <v>0.13094460000000002</v>
      </c>
      <c r="U31" s="70">
        <f t="shared" ref="U31" si="9">S31-T31</f>
        <v>4.4387999999997985E-4</v>
      </c>
      <c r="V31" s="71">
        <f>(Q31*S31-R31*U31)*I31</f>
        <v>0.60321072600000003</v>
      </c>
      <c r="W31" s="66" t="s">
        <v>150</v>
      </c>
      <c r="X31" s="67"/>
      <c r="Y31" s="67">
        <v>1</v>
      </c>
      <c r="Z31" s="63">
        <v>0.08</v>
      </c>
      <c r="AA31" s="63">
        <f>Y31*Z31</f>
        <v>0.08</v>
      </c>
      <c r="AB31" s="89">
        <v>0.1</v>
      </c>
      <c r="AC31" s="85" t="s">
        <v>193</v>
      </c>
      <c r="AD31" s="85"/>
    </row>
    <row r="32" spans="1:30" s="46" customFormat="1">
      <c r="A32" s="100"/>
      <c r="B32" s="118"/>
      <c r="C32" s="118"/>
      <c r="D32" s="80"/>
      <c r="E32" s="80"/>
      <c r="F32" s="66"/>
      <c r="G32" s="66"/>
      <c r="H32" s="67"/>
      <c r="I32" s="67"/>
      <c r="J32" s="68"/>
      <c r="K32" s="68"/>
      <c r="L32" s="68"/>
      <c r="M32" s="68"/>
      <c r="N32" s="123"/>
      <c r="O32" s="123"/>
      <c r="P32" s="123"/>
      <c r="Q32" s="78"/>
      <c r="R32" s="78"/>
      <c r="S32" s="70"/>
      <c r="T32" s="70"/>
      <c r="U32" s="70"/>
      <c r="V32" s="71"/>
      <c r="W32" s="66" t="s">
        <v>151</v>
      </c>
      <c r="X32" s="67"/>
      <c r="Y32" s="67">
        <v>2</v>
      </c>
      <c r="Z32" s="63">
        <v>0.05</v>
      </c>
      <c r="AA32" s="63">
        <f t="shared" ref="AA32:AA56" si="10">Y32*Z32</f>
        <v>0.1</v>
      </c>
      <c r="AB32" s="90"/>
      <c r="AC32" s="86"/>
      <c r="AD32" s="86"/>
    </row>
    <row r="33" spans="1:30" s="46" customFormat="1">
      <c r="A33" s="100"/>
      <c r="B33" s="118"/>
      <c r="C33" s="118"/>
      <c r="D33" s="65">
        <v>2</v>
      </c>
      <c r="E33" s="65" t="s">
        <v>119</v>
      </c>
      <c r="F33" s="66" t="s">
        <v>120</v>
      </c>
      <c r="G33" s="66" t="s">
        <v>124</v>
      </c>
      <c r="H33" s="67"/>
      <c r="I33" s="67">
        <v>1</v>
      </c>
      <c r="J33" s="68" t="s">
        <v>121</v>
      </c>
      <c r="K33" s="68">
        <f>392+11+1.6*2</f>
        <v>406.2</v>
      </c>
      <c r="L33" s="68">
        <f>150+1.6*2</f>
        <v>153.19999999999999</v>
      </c>
      <c r="M33" s="68">
        <v>1.6</v>
      </c>
      <c r="N33" s="123">
        <f>392+11</f>
        <v>403</v>
      </c>
      <c r="O33" s="123">
        <v>150</v>
      </c>
      <c r="P33" s="123">
        <v>1.6</v>
      </c>
      <c r="Q33" s="63">
        <v>5.23</v>
      </c>
      <c r="R33" s="63">
        <v>2.8</v>
      </c>
      <c r="S33" s="69">
        <f>K33*L33*M33*7.85/1000000</f>
        <v>0.78160679040000003</v>
      </c>
      <c r="T33" s="69">
        <f>N33*O33*P33*7.85/1000000</f>
        <v>0.75925200000000004</v>
      </c>
      <c r="U33" s="70">
        <f t="shared" ref="U33" si="11">S33-T33</f>
        <v>2.2354790399999991E-2</v>
      </c>
      <c r="V33" s="71">
        <f>(Q33*S33-R33*U33)*I33</f>
        <v>4.025210100672</v>
      </c>
      <c r="W33" s="66" t="s">
        <v>152</v>
      </c>
      <c r="X33" s="66" t="s">
        <v>153</v>
      </c>
      <c r="Y33" s="67">
        <v>1</v>
      </c>
      <c r="Z33" s="63">
        <v>0.25</v>
      </c>
      <c r="AA33" s="63">
        <f t="shared" si="10"/>
        <v>0.25</v>
      </c>
      <c r="AB33" s="90"/>
      <c r="AC33" s="86"/>
      <c r="AD33" s="86"/>
    </row>
    <row r="34" spans="1:30" s="46" customFormat="1">
      <c r="A34" s="100"/>
      <c r="B34" s="118"/>
      <c r="C34" s="118"/>
      <c r="D34" s="65"/>
      <c r="E34" s="65"/>
      <c r="F34" s="66"/>
      <c r="G34" s="66"/>
      <c r="H34" s="67"/>
      <c r="I34" s="67"/>
      <c r="J34" s="68"/>
      <c r="K34" s="68"/>
      <c r="L34" s="68"/>
      <c r="M34" s="68"/>
      <c r="N34" s="123"/>
      <c r="O34" s="123"/>
      <c r="P34" s="123"/>
      <c r="Q34" s="63"/>
      <c r="R34" s="63"/>
      <c r="S34" s="72"/>
      <c r="T34" s="72"/>
      <c r="U34" s="72"/>
      <c r="V34" s="71"/>
      <c r="W34" s="66" t="s">
        <v>155</v>
      </c>
      <c r="X34" s="66" t="s">
        <v>153</v>
      </c>
      <c r="Y34" s="67">
        <v>1</v>
      </c>
      <c r="Z34" s="63">
        <v>0.25</v>
      </c>
      <c r="AA34" s="63">
        <f t="shared" si="10"/>
        <v>0.25</v>
      </c>
      <c r="AB34" s="90"/>
      <c r="AC34" s="86"/>
      <c r="AD34" s="86"/>
    </row>
    <row r="35" spans="1:30" s="46" customFormat="1">
      <c r="A35" s="100"/>
      <c r="B35" s="118"/>
      <c r="C35" s="118"/>
      <c r="D35" s="65"/>
      <c r="E35" s="65"/>
      <c r="F35" s="66"/>
      <c r="G35" s="66"/>
      <c r="H35" s="67"/>
      <c r="I35" s="67"/>
      <c r="J35" s="68"/>
      <c r="K35" s="68"/>
      <c r="L35" s="68"/>
      <c r="M35" s="68"/>
      <c r="N35" s="123"/>
      <c r="O35" s="123"/>
      <c r="P35" s="123"/>
      <c r="Q35" s="63"/>
      <c r="R35" s="63"/>
      <c r="S35" s="72"/>
      <c r="T35" s="72"/>
      <c r="U35" s="72"/>
      <c r="V35" s="71"/>
      <c r="W35" s="66" t="s">
        <v>157</v>
      </c>
      <c r="X35" s="66" t="s">
        <v>158</v>
      </c>
      <c r="Y35" s="67">
        <v>1</v>
      </c>
      <c r="Z35" s="63">
        <v>0.15</v>
      </c>
      <c r="AA35" s="63">
        <f t="shared" si="10"/>
        <v>0.15</v>
      </c>
      <c r="AB35" s="90"/>
      <c r="AC35" s="86"/>
      <c r="AD35" s="86"/>
    </row>
    <row r="36" spans="1:30" s="46" customFormat="1">
      <c r="A36" s="100"/>
      <c r="B36" s="118"/>
      <c r="C36" s="118"/>
      <c r="D36" s="65">
        <v>3</v>
      </c>
      <c r="E36" s="65" t="s">
        <v>125</v>
      </c>
      <c r="F36" s="66" t="s">
        <v>126</v>
      </c>
      <c r="G36" s="66" t="s">
        <v>124</v>
      </c>
      <c r="H36" s="67"/>
      <c r="I36" s="67">
        <v>1</v>
      </c>
      <c r="J36" s="68" t="s">
        <v>121</v>
      </c>
      <c r="K36" s="66">
        <f>84+3.2</f>
        <v>87.2</v>
      </c>
      <c r="L36" s="66">
        <f>45+3.2</f>
        <v>48.2</v>
      </c>
      <c r="M36" s="66">
        <v>1.6</v>
      </c>
      <c r="N36" s="123">
        <v>84</v>
      </c>
      <c r="O36" s="123">
        <v>45</v>
      </c>
      <c r="P36" s="123">
        <v>1.6</v>
      </c>
      <c r="Q36" s="63">
        <v>5.23</v>
      </c>
      <c r="R36" s="63">
        <v>2.8</v>
      </c>
      <c r="S36" s="69">
        <f>K36*L36*M36*7.85/1000000</f>
        <v>5.2790182399999996E-2</v>
      </c>
      <c r="T36" s="69">
        <f>N36*O36*P36*7.85/1000000</f>
        <v>4.7476799999999993E-2</v>
      </c>
      <c r="U36" s="70">
        <f t="shared" ref="U36" si="12">S36-T36</f>
        <v>5.3133824000000038E-3</v>
      </c>
      <c r="V36" s="71">
        <f>(Q36*S36-R36*U36)*I36</f>
        <v>0.26121518323199999</v>
      </c>
      <c r="W36" s="66" t="s">
        <v>159</v>
      </c>
      <c r="X36" s="66" t="s">
        <v>160</v>
      </c>
      <c r="Y36" s="67">
        <v>1</v>
      </c>
      <c r="Z36" s="63">
        <v>0.04</v>
      </c>
      <c r="AA36" s="63">
        <f t="shared" si="10"/>
        <v>0.04</v>
      </c>
      <c r="AB36" s="90"/>
      <c r="AC36" s="86"/>
      <c r="AD36" s="86"/>
    </row>
    <row r="37" spans="1:30" s="46" customFormat="1">
      <c r="A37" s="100"/>
      <c r="B37" s="118"/>
      <c r="C37" s="118"/>
      <c r="D37" s="65">
        <v>4</v>
      </c>
      <c r="E37" s="65" t="s">
        <v>127</v>
      </c>
      <c r="F37" s="73" t="s">
        <v>140</v>
      </c>
      <c r="G37" s="73" t="s">
        <v>128</v>
      </c>
      <c r="H37" s="74"/>
      <c r="I37" s="67">
        <v>4</v>
      </c>
      <c r="J37" s="68"/>
      <c r="K37" s="68"/>
      <c r="L37" s="68"/>
      <c r="M37" s="68"/>
      <c r="N37" s="123"/>
      <c r="O37" s="123"/>
      <c r="P37" s="123"/>
      <c r="Q37" s="76">
        <v>0.1137</v>
      </c>
      <c r="R37" s="76"/>
      <c r="S37" s="77"/>
      <c r="T37" s="77"/>
      <c r="U37" s="77"/>
      <c r="V37" s="71">
        <f>I37*Q37</f>
        <v>0.45479999999999998</v>
      </c>
      <c r="W37" s="66"/>
      <c r="X37" s="66"/>
      <c r="Y37" s="67"/>
      <c r="Z37" s="63"/>
      <c r="AA37" s="63">
        <f t="shared" si="10"/>
        <v>0</v>
      </c>
      <c r="AB37" s="90"/>
      <c r="AC37" s="86"/>
      <c r="AD37" s="86"/>
    </row>
    <row r="38" spans="1:30" s="46" customFormat="1">
      <c r="A38" s="100"/>
      <c r="B38" s="118"/>
      <c r="C38" s="118"/>
      <c r="D38" s="65">
        <v>5</v>
      </c>
      <c r="E38" s="65" t="s">
        <v>172</v>
      </c>
      <c r="F38" s="73" t="s">
        <v>173</v>
      </c>
      <c r="G38" s="73" t="s">
        <v>131</v>
      </c>
      <c r="H38" s="74"/>
      <c r="I38" s="67">
        <v>1</v>
      </c>
      <c r="J38" s="68" t="s">
        <v>132</v>
      </c>
      <c r="K38" s="68">
        <v>395</v>
      </c>
      <c r="L38" s="68">
        <v>5</v>
      </c>
      <c r="M38" s="68"/>
      <c r="N38" s="123">
        <v>395</v>
      </c>
      <c r="O38" s="123">
        <v>5</v>
      </c>
      <c r="P38" s="123"/>
      <c r="Q38" s="76">
        <f>9/1.13</f>
        <v>7.9646017699115053</v>
      </c>
      <c r="R38" s="76"/>
      <c r="S38" s="77">
        <f>L38*L38*0.00617*K38/1000</f>
        <v>6.0928750000000004E-2</v>
      </c>
      <c r="T38" s="77"/>
      <c r="U38" s="77"/>
      <c r="V38" s="71">
        <f>(Q38*S38-R38*U38)*I38</f>
        <v>0.48527323008849566</v>
      </c>
      <c r="W38" s="66"/>
      <c r="X38" s="66"/>
      <c r="Y38" s="67"/>
      <c r="Z38" s="63"/>
      <c r="AA38" s="63">
        <f t="shared" si="10"/>
        <v>0</v>
      </c>
      <c r="AB38" s="90"/>
      <c r="AC38" s="86"/>
      <c r="AD38" s="86"/>
    </row>
    <row r="39" spans="1:30" s="46" customFormat="1">
      <c r="A39" s="100"/>
      <c r="B39" s="118"/>
      <c r="C39" s="118"/>
      <c r="D39" s="65">
        <v>6</v>
      </c>
      <c r="E39" s="65" t="s">
        <v>174</v>
      </c>
      <c r="F39" s="75" t="s">
        <v>175</v>
      </c>
      <c r="G39" s="66" t="s">
        <v>123</v>
      </c>
      <c r="H39" s="67"/>
      <c r="I39" s="67">
        <v>1</v>
      </c>
      <c r="J39" s="68" t="s">
        <v>135</v>
      </c>
      <c r="K39" s="68">
        <v>527</v>
      </c>
      <c r="L39" s="68">
        <v>25</v>
      </c>
      <c r="M39" s="68">
        <v>2</v>
      </c>
      <c r="N39" s="123">
        <v>525</v>
      </c>
      <c r="O39" s="123">
        <v>25</v>
      </c>
      <c r="P39" s="123">
        <v>2</v>
      </c>
      <c r="Q39" s="76">
        <v>4.5999999999999996</v>
      </c>
      <c r="R39" s="76">
        <v>2.65</v>
      </c>
      <c r="S39" s="75">
        <f>(L39-M39)*M39*0.02466*K39/1000</f>
        <v>0.59780772000000004</v>
      </c>
      <c r="T39" s="75">
        <f>(O39-P39)*P39*0.02466*N39/1000</f>
        <v>0.59553900000000004</v>
      </c>
      <c r="U39" s="70">
        <f t="shared" ref="U39" si="13">S39-T39</f>
        <v>2.2687200000000018E-3</v>
      </c>
      <c r="V39" s="71">
        <f>(Q39*S39-R39*U39)*I39</f>
        <v>2.7439034039999997</v>
      </c>
      <c r="W39" s="66" t="s">
        <v>150</v>
      </c>
      <c r="X39" s="67"/>
      <c r="Y39" s="67">
        <v>1</v>
      </c>
      <c r="Z39" s="63">
        <v>0.08</v>
      </c>
      <c r="AA39" s="63">
        <f t="shared" si="10"/>
        <v>0.08</v>
      </c>
      <c r="AB39" s="90"/>
      <c r="AC39" s="86"/>
      <c r="AD39" s="86"/>
    </row>
    <row r="40" spans="1:30" s="46" customFormat="1">
      <c r="A40" s="100"/>
      <c r="B40" s="118"/>
      <c r="C40" s="118"/>
      <c r="D40" s="65"/>
      <c r="E40" s="65"/>
      <c r="F40" s="75"/>
      <c r="G40" s="66"/>
      <c r="H40" s="67"/>
      <c r="I40" s="67"/>
      <c r="J40" s="68"/>
      <c r="K40" s="68"/>
      <c r="L40" s="68"/>
      <c r="M40" s="68"/>
      <c r="N40" s="123"/>
      <c r="O40" s="123"/>
      <c r="P40" s="123"/>
      <c r="Q40" s="76"/>
      <c r="R40" s="76"/>
      <c r="S40" s="77"/>
      <c r="T40" s="77"/>
      <c r="U40" s="77"/>
      <c r="V40" s="71"/>
      <c r="W40" s="66" t="s">
        <v>151</v>
      </c>
      <c r="X40" s="67"/>
      <c r="Y40" s="67">
        <v>2</v>
      </c>
      <c r="Z40" s="63">
        <v>0.05</v>
      </c>
      <c r="AA40" s="63">
        <f t="shared" si="10"/>
        <v>0.1</v>
      </c>
      <c r="AB40" s="90"/>
      <c r="AC40" s="86"/>
      <c r="AD40" s="86"/>
    </row>
    <row r="41" spans="1:30" s="46" customFormat="1">
      <c r="A41" s="100"/>
      <c r="B41" s="118"/>
      <c r="C41" s="118"/>
      <c r="D41" s="65"/>
      <c r="E41" s="65"/>
      <c r="F41" s="75"/>
      <c r="G41" s="66"/>
      <c r="H41" s="67"/>
      <c r="I41" s="67"/>
      <c r="J41" s="68"/>
      <c r="K41" s="68"/>
      <c r="L41" s="68"/>
      <c r="M41" s="68"/>
      <c r="N41" s="123"/>
      <c r="O41" s="123"/>
      <c r="P41" s="123"/>
      <c r="Q41" s="76"/>
      <c r="R41" s="76"/>
      <c r="S41" s="77"/>
      <c r="T41" s="77"/>
      <c r="U41" s="77"/>
      <c r="V41" s="71"/>
      <c r="W41" s="66" t="s">
        <v>237</v>
      </c>
      <c r="X41" s="67" t="s">
        <v>162</v>
      </c>
      <c r="Y41" s="67">
        <v>2</v>
      </c>
      <c r="Z41" s="63">
        <v>0.03</v>
      </c>
      <c r="AA41" s="63">
        <f t="shared" si="10"/>
        <v>0.06</v>
      </c>
      <c r="AB41" s="90"/>
      <c r="AC41" s="86"/>
      <c r="AD41" s="86"/>
    </row>
    <row r="42" spans="1:30" s="46" customFormat="1">
      <c r="A42" s="100"/>
      <c r="B42" s="118"/>
      <c r="C42" s="118"/>
      <c r="D42" s="65">
        <v>7</v>
      </c>
      <c r="E42" s="65" t="s">
        <v>136</v>
      </c>
      <c r="F42" s="75" t="s">
        <v>137</v>
      </c>
      <c r="G42" s="66" t="s">
        <v>123</v>
      </c>
      <c r="H42" s="67"/>
      <c r="I42" s="67">
        <v>2</v>
      </c>
      <c r="J42" s="68" t="s">
        <v>135</v>
      </c>
      <c r="K42" s="68">
        <v>55</v>
      </c>
      <c r="L42" s="68">
        <v>19</v>
      </c>
      <c r="M42" s="68">
        <v>1.5</v>
      </c>
      <c r="N42" s="123">
        <v>55</v>
      </c>
      <c r="O42" s="123">
        <v>19</v>
      </c>
      <c r="P42" s="123">
        <v>1.5</v>
      </c>
      <c r="Q42" s="78">
        <v>5.25</v>
      </c>
      <c r="R42" s="76">
        <v>2.65</v>
      </c>
      <c r="S42" s="75">
        <f>(L42-M42)*M42*0.02466*K42/1000</f>
        <v>3.5602875000000006E-2</v>
      </c>
      <c r="T42" s="75">
        <f>(O42-P42)*P42*0.02466*N42/1000</f>
        <v>3.5602875000000006E-2</v>
      </c>
      <c r="U42" s="70">
        <f t="shared" ref="U42" si="14">S42-T42</f>
        <v>0</v>
      </c>
      <c r="V42" s="71">
        <f>(Q42*S42-R42*U42)*I42</f>
        <v>0.37383018750000008</v>
      </c>
      <c r="W42" s="66" t="s">
        <v>150</v>
      </c>
      <c r="X42" s="67"/>
      <c r="Y42" s="67">
        <v>2</v>
      </c>
      <c r="Z42" s="63">
        <v>0.08</v>
      </c>
      <c r="AA42" s="63">
        <f t="shared" si="10"/>
        <v>0.16</v>
      </c>
      <c r="AB42" s="90"/>
      <c r="AC42" s="86"/>
      <c r="AD42" s="86"/>
    </row>
    <row r="43" spans="1:30" s="46" customFormat="1">
      <c r="A43" s="100"/>
      <c r="B43" s="118"/>
      <c r="C43" s="118"/>
      <c r="D43" s="65"/>
      <c r="E43" s="65"/>
      <c r="F43" s="75"/>
      <c r="G43" s="66"/>
      <c r="H43" s="67"/>
      <c r="I43" s="67"/>
      <c r="J43" s="68"/>
      <c r="K43" s="68"/>
      <c r="L43" s="68"/>
      <c r="M43" s="68"/>
      <c r="N43" s="123"/>
      <c r="O43" s="123"/>
      <c r="P43" s="123"/>
      <c r="Q43" s="76"/>
      <c r="R43" s="76"/>
      <c r="S43" s="77"/>
      <c r="T43" s="77"/>
      <c r="U43" s="77"/>
      <c r="V43" s="71"/>
      <c r="W43" s="66" t="s">
        <v>156</v>
      </c>
      <c r="X43" s="67"/>
      <c r="Y43" s="67">
        <v>4</v>
      </c>
      <c r="Z43" s="63">
        <v>0.05</v>
      </c>
      <c r="AA43" s="63">
        <f t="shared" si="10"/>
        <v>0.2</v>
      </c>
      <c r="AB43" s="90"/>
      <c r="AC43" s="86"/>
      <c r="AD43" s="86"/>
    </row>
    <row r="44" spans="1:30" s="46" customFormat="1">
      <c r="A44" s="100"/>
      <c r="B44" s="118"/>
      <c r="C44" s="118"/>
      <c r="D44" s="65">
        <v>8</v>
      </c>
      <c r="E44" s="65" t="s">
        <v>138</v>
      </c>
      <c r="F44" s="75" t="s">
        <v>139</v>
      </c>
      <c r="G44" s="66" t="s">
        <v>124</v>
      </c>
      <c r="H44" s="67"/>
      <c r="I44" s="67">
        <v>2</v>
      </c>
      <c r="J44" s="68" t="s">
        <v>132</v>
      </c>
      <c r="K44" s="75">
        <f>120+5</f>
        <v>125</v>
      </c>
      <c r="L44" s="75">
        <f>80+5</f>
        <v>85</v>
      </c>
      <c r="M44" s="75">
        <v>2.5</v>
      </c>
      <c r="N44" s="123">
        <v>120</v>
      </c>
      <c r="O44" s="123">
        <v>80</v>
      </c>
      <c r="P44" s="123">
        <v>2.5</v>
      </c>
      <c r="Q44" s="79">
        <v>4.8</v>
      </c>
      <c r="R44" s="78">
        <v>2.8</v>
      </c>
      <c r="S44" s="69">
        <f>K44*L44*M44*7.85/1000000</f>
        <v>0.20851562500000001</v>
      </c>
      <c r="T44" s="69">
        <f>N44*O44*P44*7.85/1000000</f>
        <v>0.18840000000000001</v>
      </c>
      <c r="U44" s="70">
        <f t="shared" ref="U44" si="15">S44-T44</f>
        <v>2.0115624999999998E-2</v>
      </c>
      <c r="V44" s="71">
        <f>(Q44*S44-R44*U44)*I44</f>
        <v>1.8891024999999999</v>
      </c>
      <c r="W44" s="66" t="s">
        <v>152</v>
      </c>
      <c r="X44" s="66" t="s">
        <v>160</v>
      </c>
      <c r="Y44" s="67">
        <v>2</v>
      </c>
      <c r="Z44" s="63">
        <v>0.04</v>
      </c>
      <c r="AA44" s="63">
        <f t="shared" si="10"/>
        <v>0.08</v>
      </c>
      <c r="AB44" s="90"/>
      <c r="AC44" s="86"/>
      <c r="AD44" s="86"/>
    </row>
    <row r="45" spans="1:30" s="46" customFormat="1">
      <c r="A45" s="100"/>
      <c r="B45" s="118"/>
      <c r="C45" s="118"/>
      <c r="D45" s="65"/>
      <c r="E45" s="65"/>
      <c r="F45" s="75"/>
      <c r="G45" s="66"/>
      <c r="H45" s="67"/>
      <c r="I45" s="67"/>
      <c r="J45" s="68"/>
      <c r="K45" s="75"/>
      <c r="L45" s="75"/>
      <c r="M45" s="75"/>
      <c r="N45" s="123"/>
      <c r="O45" s="123"/>
      <c r="P45" s="123"/>
      <c r="Q45" s="79"/>
      <c r="R45" s="78"/>
      <c r="S45" s="69"/>
      <c r="T45" s="69"/>
      <c r="U45" s="70"/>
      <c r="V45" s="71"/>
      <c r="W45" s="66" t="s">
        <v>155</v>
      </c>
      <c r="X45" s="66" t="s">
        <v>160</v>
      </c>
      <c r="Y45" s="67">
        <v>2</v>
      </c>
      <c r="Z45" s="63">
        <v>0.04</v>
      </c>
      <c r="AA45" s="63">
        <f t="shared" ref="AA45:AA46" si="16">Y45*Z45</f>
        <v>0.08</v>
      </c>
      <c r="AB45" s="90"/>
      <c r="AC45" s="86"/>
      <c r="AD45" s="86"/>
    </row>
    <row r="46" spans="1:30" s="46" customFormat="1">
      <c r="A46" s="100"/>
      <c r="B46" s="118"/>
      <c r="C46" s="118"/>
      <c r="D46" s="65"/>
      <c r="E46" s="65"/>
      <c r="F46" s="75"/>
      <c r="G46" s="66"/>
      <c r="H46" s="67"/>
      <c r="I46" s="67"/>
      <c r="J46" s="68"/>
      <c r="K46" s="75"/>
      <c r="L46" s="75"/>
      <c r="M46" s="75"/>
      <c r="N46" s="123"/>
      <c r="O46" s="123"/>
      <c r="P46" s="123"/>
      <c r="Q46" s="79"/>
      <c r="R46" s="78"/>
      <c r="S46" s="69"/>
      <c r="T46" s="69"/>
      <c r="U46" s="70"/>
      <c r="V46" s="71"/>
      <c r="W46" s="66" t="s">
        <v>236</v>
      </c>
      <c r="X46" s="66" t="s">
        <v>160</v>
      </c>
      <c r="Y46" s="67">
        <v>2</v>
      </c>
      <c r="Z46" s="63">
        <v>0.04</v>
      </c>
      <c r="AA46" s="63">
        <f t="shared" si="16"/>
        <v>0.08</v>
      </c>
      <c r="AB46" s="90"/>
      <c r="AC46" s="86"/>
      <c r="AD46" s="86"/>
    </row>
    <row r="47" spans="1:30" s="46" customFormat="1">
      <c r="A47" s="100"/>
      <c r="B47" s="118"/>
      <c r="C47" s="118"/>
      <c r="D47" s="65">
        <v>9</v>
      </c>
      <c r="E47" s="65" t="s">
        <v>176</v>
      </c>
      <c r="F47" s="73" t="s">
        <v>177</v>
      </c>
      <c r="G47" s="73" t="s">
        <v>124</v>
      </c>
      <c r="H47" s="74"/>
      <c r="I47" s="67">
        <v>1</v>
      </c>
      <c r="J47" s="68" t="s">
        <v>178</v>
      </c>
      <c r="K47" s="75">
        <f>135+3.2</f>
        <v>138.19999999999999</v>
      </c>
      <c r="L47" s="75">
        <f>65+3.2</f>
        <v>68.2</v>
      </c>
      <c r="M47" s="75">
        <v>1.6</v>
      </c>
      <c r="N47" s="123">
        <v>135</v>
      </c>
      <c r="O47" s="123">
        <v>65</v>
      </c>
      <c r="P47" s="123">
        <v>1.6</v>
      </c>
      <c r="Q47" s="63">
        <v>5.23</v>
      </c>
      <c r="R47" s="63">
        <v>2.8</v>
      </c>
      <c r="S47" s="69">
        <f>K47*L47*M47*7.85/1000000</f>
        <v>0.1183810144</v>
      </c>
      <c r="T47" s="69">
        <f>N47*O47*P47*7.85/1000000</f>
        <v>0.11021400000000001</v>
      </c>
      <c r="U47" s="70">
        <f t="shared" ref="U47" si="17">S47-T47</f>
        <v>8.1670143999999917E-3</v>
      </c>
      <c r="V47" s="71">
        <f>(Q47*S47-R47*U47)*I47</f>
        <v>0.59626506499200005</v>
      </c>
      <c r="W47" s="66" t="s">
        <v>159</v>
      </c>
      <c r="X47" s="66" t="s">
        <v>160</v>
      </c>
      <c r="Y47" s="67">
        <v>1</v>
      </c>
      <c r="Z47" s="63">
        <v>0.04</v>
      </c>
      <c r="AA47" s="63">
        <f t="shared" si="10"/>
        <v>0.04</v>
      </c>
      <c r="AB47" s="90"/>
      <c r="AC47" s="86"/>
      <c r="AD47" s="86"/>
    </row>
    <row r="48" spans="1:30" s="46" customFormat="1">
      <c r="A48" s="100"/>
      <c r="B48" s="118"/>
      <c r="C48" s="118"/>
      <c r="D48" s="65"/>
      <c r="E48" s="65"/>
      <c r="F48" s="73"/>
      <c r="G48" s="73"/>
      <c r="H48" s="74"/>
      <c r="I48" s="67"/>
      <c r="J48" s="68"/>
      <c r="K48" s="68"/>
      <c r="L48" s="68"/>
      <c r="M48" s="68"/>
      <c r="N48" s="123"/>
      <c r="O48" s="123"/>
      <c r="P48" s="123"/>
      <c r="Q48" s="78"/>
      <c r="R48" s="78"/>
      <c r="S48" s="75"/>
      <c r="T48" s="75"/>
      <c r="U48" s="75"/>
      <c r="V48" s="71"/>
      <c r="W48" s="66" t="s">
        <v>238</v>
      </c>
      <c r="X48" s="66" t="s">
        <v>160</v>
      </c>
      <c r="Y48" s="67">
        <v>1</v>
      </c>
      <c r="Z48" s="63">
        <v>0.04</v>
      </c>
      <c r="AA48" s="63">
        <f t="shared" si="10"/>
        <v>0.04</v>
      </c>
      <c r="AB48" s="90"/>
      <c r="AC48" s="86"/>
      <c r="AD48" s="86"/>
    </row>
    <row r="49" spans="1:30" s="46" customFormat="1">
      <c r="A49" s="100"/>
      <c r="B49" s="118"/>
      <c r="C49" s="118"/>
      <c r="D49" s="65"/>
      <c r="E49" s="65"/>
      <c r="F49" s="73"/>
      <c r="G49" s="73"/>
      <c r="H49" s="74"/>
      <c r="I49" s="67"/>
      <c r="J49" s="68"/>
      <c r="K49" s="68"/>
      <c r="L49" s="68"/>
      <c r="M49" s="68"/>
      <c r="N49" s="123"/>
      <c r="O49" s="123"/>
      <c r="P49" s="123"/>
      <c r="Q49" s="78"/>
      <c r="R49" s="78"/>
      <c r="S49" s="75"/>
      <c r="T49" s="75"/>
      <c r="U49" s="75"/>
      <c r="V49" s="71"/>
      <c r="W49" s="66" t="s">
        <v>239</v>
      </c>
      <c r="X49" s="66" t="s">
        <v>160</v>
      </c>
      <c r="Y49" s="67">
        <v>1</v>
      </c>
      <c r="Z49" s="63">
        <v>0.04</v>
      </c>
      <c r="AA49" s="63">
        <f t="shared" ref="AA49" si="18">Y49*Z49</f>
        <v>0.04</v>
      </c>
      <c r="AB49" s="90"/>
      <c r="AC49" s="86"/>
      <c r="AD49" s="86"/>
    </row>
    <row r="50" spans="1:30" s="46" customFormat="1">
      <c r="A50" s="100"/>
      <c r="B50" s="118"/>
      <c r="C50" s="118"/>
      <c r="D50" s="65">
        <v>10</v>
      </c>
      <c r="E50" s="65" t="s">
        <v>127</v>
      </c>
      <c r="F50" s="73" t="s">
        <v>141</v>
      </c>
      <c r="G50" s="73" t="s">
        <v>128</v>
      </c>
      <c r="H50" s="74"/>
      <c r="I50" s="67">
        <v>2</v>
      </c>
      <c r="J50" s="68" t="s">
        <v>132</v>
      </c>
      <c r="K50" s="75">
        <f>120+5</f>
        <v>125</v>
      </c>
      <c r="L50" s="75">
        <f>80+5</f>
        <v>85</v>
      </c>
      <c r="M50" s="75">
        <v>2.5</v>
      </c>
      <c r="N50" s="123">
        <v>120</v>
      </c>
      <c r="O50" s="123">
        <v>80</v>
      </c>
      <c r="P50" s="123">
        <v>2.5</v>
      </c>
      <c r="Q50" s="79">
        <v>4.8</v>
      </c>
      <c r="R50" s="78">
        <v>2.8</v>
      </c>
      <c r="S50" s="69">
        <f>K50*L50*M50*7.85/1000000</f>
        <v>0.20851562500000001</v>
      </c>
      <c r="T50" s="69">
        <f>N50*O50*P50*7.85/1000000</f>
        <v>0.18840000000000001</v>
      </c>
      <c r="U50" s="70">
        <f t="shared" ref="U50:U51" si="19">S50-T50</f>
        <v>2.0115624999999998E-2</v>
      </c>
      <c r="V50" s="71">
        <f>(Q50*S50-R50*U50)*I50</f>
        <v>1.8891024999999999</v>
      </c>
      <c r="W50" s="66"/>
      <c r="X50" s="66"/>
      <c r="Y50" s="67"/>
      <c r="Z50" s="63"/>
      <c r="AA50" s="63">
        <f t="shared" si="10"/>
        <v>0</v>
      </c>
      <c r="AB50" s="90"/>
      <c r="AC50" s="86"/>
      <c r="AD50" s="86"/>
    </row>
    <row r="51" spans="1:30" s="46" customFormat="1">
      <c r="A51" s="100"/>
      <c r="B51" s="118"/>
      <c r="C51" s="118"/>
      <c r="D51" s="65">
        <v>11</v>
      </c>
      <c r="E51" s="65" t="s">
        <v>179</v>
      </c>
      <c r="F51" s="75" t="s">
        <v>180</v>
      </c>
      <c r="G51" s="66" t="s">
        <v>124</v>
      </c>
      <c r="H51" s="67"/>
      <c r="I51" s="67">
        <v>1</v>
      </c>
      <c r="J51" s="68" t="s">
        <v>178</v>
      </c>
      <c r="K51" s="75">
        <f>430+3.2</f>
        <v>433.2</v>
      </c>
      <c r="L51" s="75">
        <f>150+3.2</f>
        <v>153.19999999999999</v>
      </c>
      <c r="M51" s="75">
        <v>1.6</v>
      </c>
      <c r="N51" s="123">
        <v>430</v>
      </c>
      <c r="O51" s="123">
        <v>150</v>
      </c>
      <c r="P51" s="123">
        <v>1.6</v>
      </c>
      <c r="Q51" s="63">
        <v>5.23</v>
      </c>
      <c r="R51" s="63">
        <v>2.8</v>
      </c>
      <c r="S51" s="69">
        <f>K51*L51*M51*7.85/1000000</f>
        <v>0.83355997439999996</v>
      </c>
      <c r="T51" s="69">
        <f>N51*O51*P51*7.85/1000000</f>
        <v>0.81011999999999995</v>
      </c>
      <c r="U51" s="70">
        <f t="shared" si="19"/>
        <v>2.3439974400000008E-2</v>
      </c>
      <c r="V51" s="71">
        <f>(Q51*S51-R51*U51)*I51</f>
        <v>4.2938867377919996</v>
      </c>
      <c r="W51" s="66" t="s">
        <v>152</v>
      </c>
      <c r="X51" s="66" t="s">
        <v>153</v>
      </c>
      <c r="Y51" s="67">
        <v>1</v>
      </c>
      <c r="Z51" s="63">
        <v>0.25</v>
      </c>
      <c r="AA51" s="63">
        <f t="shared" si="10"/>
        <v>0.25</v>
      </c>
      <c r="AB51" s="90"/>
      <c r="AC51" s="86"/>
      <c r="AD51" s="86"/>
    </row>
    <row r="52" spans="1:30" s="46" customFormat="1">
      <c r="A52" s="100"/>
      <c r="B52" s="118"/>
      <c r="C52" s="118"/>
      <c r="D52" s="65"/>
      <c r="E52" s="65"/>
      <c r="F52" s="75"/>
      <c r="G52" s="66"/>
      <c r="H52" s="67"/>
      <c r="I52" s="67"/>
      <c r="J52" s="68"/>
      <c r="K52" s="68"/>
      <c r="L52" s="68"/>
      <c r="M52" s="68"/>
      <c r="N52" s="123"/>
      <c r="O52" s="123"/>
      <c r="P52" s="123"/>
      <c r="Q52" s="78"/>
      <c r="R52" s="78"/>
      <c r="S52" s="75"/>
      <c r="T52" s="75"/>
      <c r="U52" s="70"/>
      <c r="V52" s="71"/>
      <c r="W52" s="66" t="s">
        <v>155</v>
      </c>
      <c r="X52" s="66" t="s">
        <v>153</v>
      </c>
      <c r="Y52" s="67">
        <v>1</v>
      </c>
      <c r="Z52" s="63">
        <v>0.25</v>
      </c>
      <c r="AA52" s="63">
        <f t="shared" si="10"/>
        <v>0.25</v>
      </c>
      <c r="AB52" s="90"/>
      <c r="AC52" s="86"/>
      <c r="AD52" s="86"/>
    </row>
    <row r="53" spans="1:30" s="46" customFormat="1">
      <c r="A53" s="100"/>
      <c r="B53" s="118"/>
      <c r="C53" s="118"/>
      <c r="D53" s="65"/>
      <c r="E53" s="65"/>
      <c r="F53" s="75"/>
      <c r="G53" s="66"/>
      <c r="H53" s="67"/>
      <c r="I53" s="67"/>
      <c r="J53" s="68"/>
      <c r="K53" s="68"/>
      <c r="L53" s="68"/>
      <c r="M53" s="68"/>
      <c r="N53" s="123"/>
      <c r="O53" s="123"/>
      <c r="P53" s="123"/>
      <c r="Q53" s="78"/>
      <c r="R53" s="78"/>
      <c r="S53" s="75"/>
      <c r="T53" s="75"/>
      <c r="U53" s="70"/>
      <c r="V53" s="71"/>
      <c r="W53" s="66" t="s">
        <v>236</v>
      </c>
      <c r="X53" s="66" t="s">
        <v>158</v>
      </c>
      <c r="Y53" s="67">
        <v>1</v>
      </c>
      <c r="Z53" s="63">
        <v>0.15</v>
      </c>
      <c r="AA53" s="63">
        <f t="shared" si="10"/>
        <v>0.15</v>
      </c>
      <c r="AB53" s="90"/>
      <c r="AC53" s="86"/>
      <c r="AD53" s="86"/>
    </row>
    <row r="54" spans="1:30" s="46" customFormat="1">
      <c r="A54" s="100"/>
      <c r="B54" s="118"/>
      <c r="C54" s="118"/>
      <c r="D54" s="65">
        <v>12</v>
      </c>
      <c r="E54" s="65" t="s">
        <v>181</v>
      </c>
      <c r="F54" s="75" t="s">
        <v>182</v>
      </c>
      <c r="G54" s="73" t="s">
        <v>124</v>
      </c>
      <c r="H54" s="74"/>
      <c r="I54" s="67">
        <v>1</v>
      </c>
      <c r="J54" s="68" t="s">
        <v>178</v>
      </c>
      <c r="K54" s="67">
        <f>420+3.2</f>
        <v>423.2</v>
      </c>
      <c r="L54" s="67">
        <f>85+3.2</f>
        <v>88.2</v>
      </c>
      <c r="M54" s="67">
        <v>1.6</v>
      </c>
      <c r="N54" s="123">
        <v>420</v>
      </c>
      <c r="O54" s="123">
        <v>85</v>
      </c>
      <c r="P54" s="123">
        <v>1.6</v>
      </c>
      <c r="Q54" s="63">
        <v>5.23</v>
      </c>
      <c r="R54" s="63">
        <v>2.8</v>
      </c>
      <c r="S54" s="69">
        <f>K54*L54*M54*7.85/1000000</f>
        <v>0.46881757439999994</v>
      </c>
      <c r="T54" s="69">
        <f>N54*O54*P54*7.85/1000000</f>
        <v>0.44839200000000001</v>
      </c>
      <c r="U54" s="70">
        <f t="shared" ref="U54" si="20">S54-T54</f>
        <v>2.0425574399999924E-2</v>
      </c>
      <c r="V54" s="71">
        <f>(Q54*S54-R54*U54)*I54</f>
        <v>2.3947243057920002</v>
      </c>
      <c r="W54" s="66" t="s">
        <v>183</v>
      </c>
      <c r="X54" s="66" t="s">
        <v>240</v>
      </c>
      <c r="Y54" s="67">
        <v>1</v>
      </c>
      <c r="Z54" s="63">
        <v>0.2</v>
      </c>
      <c r="AA54" s="63">
        <f t="shared" si="10"/>
        <v>0.2</v>
      </c>
      <c r="AB54" s="90"/>
      <c r="AC54" s="86"/>
      <c r="AD54" s="86"/>
    </row>
    <row r="55" spans="1:30" s="46" customFormat="1">
      <c r="A55" s="100"/>
      <c r="B55" s="118"/>
      <c r="C55" s="118"/>
      <c r="D55" s="65"/>
      <c r="E55" s="65"/>
      <c r="F55" s="75"/>
      <c r="G55" s="73"/>
      <c r="H55" s="74"/>
      <c r="I55" s="67"/>
      <c r="J55" s="68"/>
      <c r="K55" s="67"/>
      <c r="L55" s="67"/>
      <c r="M55" s="67"/>
      <c r="N55" s="123"/>
      <c r="O55" s="123"/>
      <c r="P55" s="123"/>
      <c r="Q55" s="63"/>
      <c r="R55" s="63"/>
      <c r="S55" s="69"/>
      <c r="T55" s="69"/>
      <c r="U55" s="70"/>
      <c r="V55" s="71"/>
      <c r="W55" s="66" t="s">
        <v>155</v>
      </c>
      <c r="X55" s="66" t="s">
        <v>240</v>
      </c>
      <c r="Y55" s="67">
        <v>1</v>
      </c>
      <c r="Z55" s="63">
        <v>0.2</v>
      </c>
      <c r="AA55" s="63">
        <f t="shared" ref="AA55" si="21">Y55*Z55</f>
        <v>0.2</v>
      </c>
      <c r="AB55" s="90"/>
      <c r="AC55" s="86"/>
      <c r="AD55" s="86"/>
    </row>
    <row r="56" spans="1:30" s="46" customFormat="1">
      <c r="A56" s="100"/>
      <c r="B56" s="118"/>
      <c r="C56" s="118"/>
      <c r="D56" s="65">
        <v>13</v>
      </c>
      <c r="E56" s="65" t="s">
        <v>184</v>
      </c>
      <c r="F56" s="75" t="s">
        <v>185</v>
      </c>
      <c r="G56" s="73" t="s">
        <v>123</v>
      </c>
      <c r="H56" s="74"/>
      <c r="I56" s="67">
        <v>1</v>
      </c>
      <c r="J56" s="68" t="s">
        <v>135</v>
      </c>
      <c r="K56" s="68">
        <v>362</v>
      </c>
      <c r="L56" s="68">
        <v>20</v>
      </c>
      <c r="M56" s="68">
        <v>2</v>
      </c>
      <c r="N56" s="123">
        <v>360</v>
      </c>
      <c r="O56" s="123">
        <v>20</v>
      </c>
      <c r="P56" s="123">
        <v>2</v>
      </c>
      <c r="Q56" s="76">
        <v>4.5999999999999996</v>
      </c>
      <c r="R56" s="76">
        <v>2.65</v>
      </c>
      <c r="S56" s="75">
        <f>(L56-M56)*M56*0.02466*K56/1000</f>
        <v>0.32136912000000006</v>
      </c>
      <c r="T56" s="75">
        <f>(O56-P56)*P56*0.02466*N56/1000</f>
        <v>0.31959360000000003</v>
      </c>
      <c r="U56" s="70">
        <f t="shared" ref="U56:U57" si="22">S56-T56</f>
        <v>1.7755200000000304E-3</v>
      </c>
      <c r="V56" s="71">
        <f>(Q56*S56-R56*U56)*I56</f>
        <v>1.473592824</v>
      </c>
      <c r="W56" s="66" t="s">
        <v>150</v>
      </c>
      <c r="X56" s="66"/>
      <c r="Y56" s="67">
        <v>1</v>
      </c>
      <c r="Z56" s="63">
        <v>0.08</v>
      </c>
      <c r="AA56" s="63">
        <f t="shared" si="10"/>
        <v>0.08</v>
      </c>
      <c r="AB56" s="90"/>
      <c r="AC56" s="86"/>
      <c r="AD56" s="86"/>
    </row>
    <row r="57" spans="1:30" s="46" customFormat="1">
      <c r="A57" s="100"/>
      <c r="B57" s="118"/>
      <c r="C57" s="118"/>
      <c r="D57" s="65">
        <v>14</v>
      </c>
      <c r="E57" s="65" t="s">
        <v>186</v>
      </c>
      <c r="F57" s="75" t="s">
        <v>188</v>
      </c>
      <c r="G57" s="75" t="s">
        <v>189</v>
      </c>
      <c r="H57" s="67" t="s">
        <v>190</v>
      </c>
      <c r="I57" s="67">
        <v>2</v>
      </c>
      <c r="J57" s="75" t="s">
        <v>132</v>
      </c>
      <c r="K57" s="68">
        <v>22</v>
      </c>
      <c r="L57" s="68">
        <v>25.8</v>
      </c>
      <c r="M57" s="67">
        <v>2</v>
      </c>
      <c r="N57" s="123">
        <v>20</v>
      </c>
      <c r="O57" s="123">
        <v>25.8</v>
      </c>
      <c r="P57" s="123">
        <v>2</v>
      </c>
      <c r="Q57" s="67">
        <v>5</v>
      </c>
      <c r="R57" s="76">
        <v>2.65</v>
      </c>
      <c r="S57" s="75">
        <f>(L57-M57)*M57*0.02466*K57/1000</f>
        <v>2.5823952000000004E-2</v>
      </c>
      <c r="T57" s="75">
        <f>(O57-P57)*P57*0.02466*N57/1000</f>
        <v>2.3476320000000005E-2</v>
      </c>
      <c r="U57" s="70">
        <f t="shared" si="22"/>
        <v>2.3476319999999988E-3</v>
      </c>
      <c r="V57" s="71">
        <f>(Q57*S57-R57*U57)*I57</f>
        <v>0.24579707040000007</v>
      </c>
      <c r="W57" s="66" t="s">
        <v>241</v>
      </c>
      <c r="X57" s="66"/>
      <c r="Y57" s="67">
        <v>1</v>
      </c>
      <c r="Z57" s="63">
        <v>0.1</v>
      </c>
      <c r="AA57" s="63">
        <v>0.2</v>
      </c>
      <c r="AB57" s="90"/>
      <c r="AC57" s="86"/>
      <c r="AD57" s="86"/>
    </row>
    <row r="58" spans="1:30" s="46" customFormat="1">
      <c r="A58" s="100"/>
      <c r="B58" s="118"/>
      <c r="C58" s="118"/>
      <c r="D58" s="65">
        <v>15</v>
      </c>
      <c r="E58" s="65" t="s">
        <v>187</v>
      </c>
      <c r="F58" s="75" t="s">
        <v>192</v>
      </c>
      <c r="G58" s="75" t="s">
        <v>131</v>
      </c>
      <c r="H58" s="67"/>
      <c r="I58" s="67">
        <v>1</v>
      </c>
      <c r="J58" s="75" t="s">
        <v>132</v>
      </c>
      <c r="K58" s="75">
        <v>350</v>
      </c>
      <c r="L58" s="75">
        <v>6</v>
      </c>
      <c r="M58" s="68"/>
      <c r="N58" s="123">
        <v>350</v>
      </c>
      <c r="O58" s="123">
        <v>6</v>
      </c>
      <c r="P58" s="123"/>
      <c r="Q58" s="76">
        <f>9/1.13</f>
        <v>7.9646017699115053</v>
      </c>
      <c r="R58" s="76"/>
      <c r="S58" s="77">
        <f>L58*L58*0.00617*K58/1000</f>
        <v>7.7742000000000006E-2</v>
      </c>
      <c r="T58" s="77"/>
      <c r="U58" s="77"/>
      <c r="V58" s="71">
        <f>(Q58*S58-R58*U58)*I58</f>
        <v>0.61918407079646032</v>
      </c>
      <c r="W58" s="66" t="s">
        <v>166</v>
      </c>
      <c r="X58" s="66"/>
      <c r="Y58" s="67">
        <f>4*2.5+2*3*1+6*1.5+4*0.5+4*1+4*0.5+4*3*1+2*3*1</f>
        <v>51</v>
      </c>
      <c r="Z58" s="63">
        <v>0.05</v>
      </c>
      <c r="AA58" s="63">
        <f t="shared" ref="AA58" si="23">Y58*Z58</f>
        <v>2.5500000000000003</v>
      </c>
      <c r="AB58" s="90"/>
      <c r="AC58" s="86"/>
      <c r="AD58" s="86"/>
    </row>
    <row r="59" spans="1:30">
      <c r="A59" s="100"/>
      <c r="B59" s="118"/>
      <c r="C59" s="118"/>
      <c r="D59" s="47"/>
      <c r="E59" s="47"/>
      <c r="F59" s="49"/>
      <c r="G59" s="49"/>
      <c r="H59" s="48"/>
      <c r="I59" s="48"/>
      <c r="J59" s="49"/>
      <c r="K59" s="49"/>
      <c r="L59" s="49"/>
      <c r="M59" s="49"/>
      <c r="N59" s="123"/>
      <c r="O59" s="123"/>
      <c r="P59" s="123"/>
      <c r="Q59" s="50"/>
      <c r="R59" s="50"/>
      <c r="S59" s="51"/>
      <c r="T59" s="51"/>
      <c r="U59" s="51"/>
      <c r="V59" s="50"/>
      <c r="W59" s="43" t="s">
        <v>235</v>
      </c>
      <c r="X59" s="43"/>
      <c r="Y59" s="54">
        <v>1</v>
      </c>
      <c r="Z59" s="44">
        <v>0.5</v>
      </c>
      <c r="AA59" s="44">
        <f t="shared" ref="AA59:AA60" si="24">Y59*Z59</f>
        <v>0.5</v>
      </c>
      <c r="AB59" s="90"/>
      <c r="AC59" s="86"/>
      <c r="AD59" s="86"/>
    </row>
    <row r="60" spans="1:30">
      <c r="A60" s="100"/>
      <c r="B60" s="118"/>
      <c r="C60" s="118"/>
      <c r="D60" s="47"/>
      <c r="E60" s="47"/>
      <c r="F60" s="49"/>
      <c r="G60" s="49"/>
      <c r="H60" s="48"/>
      <c r="I60" s="48"/>
      <c r="J60" s="49"/>
      <c r="K60" s="49"/>
      <c r="L60" s="49"/>
      <c r="M60" s="49"/>
      <c r="N60" s="123"/>
      <c r="O60" s="123"/>
      <c r="P60" s="123"/>
      <c r="Q60" s="50"/>
      <c r="R60" s="50"/>
      <c r="S60" s="51"/>
      <c r="T60" s="51"/>
      <c r="U60" s="51"/>
      <c r="V60" s="50"/>
      <c r="W60" s="43" t="s">
        <v>167</v>
      </c>
      <c r="X60" s="43"/>
      <c r="Y60" s="54">
        <f>0.4745*0.359*2*0.3</f>
        <v>0.10220729999999999</v>
      </c>
      <c r="Z60" s="44">
        <v>15</v>
      </c>
      <c r="AA60" s="44">
        <f t="shared" si="24"/>
        <v>1.5331094999999999</v>
      </c>
      <c r="AB60" s="90"/>
      <c r="AC60" s="86"/>
      <c r="AD60" s="86"/>
    </row>
    <row r="61" spans="1:30" s="62" customFormat="1" ht="15" thickBot="1">
      <c r="A61" s="101"/>
      <c r="B61" s="119"/>
      <c r="C61" s="119"/>
      <c r="D61" s="55"/>
      <c r="E61" s="55"/>
      <c r="F61" s="56" t="s">
        <v>114</v>
      </c>
      <c r="G61" s="56"/>
      <c r="H61" s="57"/>
      <c r="I61" s="57"/>
      <c r="J61" s="56"/>
      <c r="K61" s="56"/>
      <c r="L61" s="56"/>
      <c r="M61" s="56"/>
      <c r="N61" s="125"/>
      <c r="O61" s="125"/>
      <c r="P61" s="125"/>
      <c r="Q61" s="58"/>
      <c r="R61" s="58"/>
      <c r="S61" s="59"/>
      <c r="T61" s="60"/>
      <c r="U61" s="60"/>
      <c r="V61" s="58">
        <f>SUM(V31:V60)</f>
        <v>22.349097905264955</v>
      </c>
      <c r="W61" s="56"/>
      <c r="X61" s="56"/>
      <c r="Y61" s="57"/>
      <c r="Z61" s="58"/>
      <c r="AA61" s="58">
        <f>SUM(AA31:AA60)</f>
        <v>7.743109500000001</v>
      </c>
      <c r="AB61" s="61">
        <f>(V61+AA61)*AB31</f>
        <v>3.0092207405264961</v>
      </c>
      <c r="AC61" s="61">
        <v>1.19</v>
      </c>
      <c r="AD61" s="61">
        <f>SUM(V61:AC61)</f>
        <v>34.29142814579145</v>
      </c>
    </row>
    <row r="62" spans="1:30" s="46" customFormat="1">
      <c r="A62" s="100">
        <v>3</v>
      </c>
      <c r="B62" s="118" t="s">
        <v>247</v>
      </c>
      <c r="C62" s="118" t="s">
        <v>248</v>
      </c>
      <c r="D62" s="80">
        <v>1</v>
      </c>
      <c r="E62" s="80" t="s">
        <v>194</v>
      </c>
      <c r="F62" s="66" t="s">
        <v>195</v>
      </c>
      <c r="G62" s="66" t="s">
        <v>124</v>
      </c>
      <c r="H62" s="67"/>
      <c r="I62" s="67">
        <v>1</v>
      </c>
      <c r="J62" s="68" t="s">
        <v>132</v>
      </c>
      <c r="K62" s="68">
        <f>170+6</f>
        <v>176</v>
      </c>
      <c r="L62" s="68">
        <f>140+6</f>
        <v>146</v>
      </c>
      <c r="M62" s="68">
        <v>3</v>
      </c>
      <c r="N62" s="123">
        <v>170</v>
      </c>
      <c r="O62" s="123">
        <v>140</v>
      </c>
      <c r="P62" s="123">
        <v>3</v>
      </c>
      <c r="Q62" s="78">
        <v>4.8</v>
      </c>
      <c r="R62" s="78">
        <v>2.8</v>
      </c>
      <c r="S62" s="69">
        <f>K62*L62*M62*7.85/1000000</f>
        <v>0.60514079999999992</v>
      </c>
      <c r="T62" s="69">
        <f>N62*O62*P62*7.85/1000000</f>
        <v>0.56049000000000004</v>
      </c>
      <c r="U62" s="70">
        <f t="shared" ref="U62" si="25">S62-T62</f>
        <v>4.4650799999999879E-2</v>
      </c>
      <c r="V62" s="71">
        <f>(Q62*S62-R62*U62)*I62</f>
        <v>2.7796535999999996</v>
      </c>
      <c r="W62" s="66" t="s">
        <v>159</v>
      </c>
      <c r="X62" s="67" t="s">
        <v>210</v>
      </c>
      <c r="Y62" s="67">
        <v>1</v>
      </c>
      <c r="Z62" s="63">
        <v>7.0000000000000007E-2</v>
      </c>
      <c r="AA62" s="63">
        <f t="shared" ref="AA62:AA94" si="26">Y62*Z62</f>
        <v>7.0000000000000007E-2</v>
      </c>
      <c r="AB62" s="89">
        <v>0.1</v>
      </c>
      <c r="AC62" s="85" t="s">
        <v>245</v>
      </c>
      <c r="AD62" s="85"/>
    </row>
    <row r="63" spans="1:30" s="46" customFormat="1">
      <c r="A63" s="100"/>
      <c r="B63" s="118"/>
      <c r="C63" s="118"/>
      <c r="D63" s="80"/>
      <c r="E63" s="80"/>
      <c r="F63" s="66"/>
      <c r="G63" s="66"/>
      <c r="H63" s="67"/>
      <c r="I63" s="67"/>
      <c r="J63" s="68"/>
      <c r="K63" s="68"/>
      <c r="L63" s="68"/>
      <c r="M63" s="68"/>
      <c r="N63" s="123"/>
      <c r="O63" s="123"/>
      <c r="P63" s="123"/>
      <c r="Q63" s="78"/>
      <c r="R63" s="78"/>
      <c r="S63" s="69"/>
      <c r="T63" s="69"/>
      <c r="U63" s="70"/>
      <c r="V63" s="71"/>
      <c r="W63" s="66" t="s">
        <v>237</v>
      </c>
      <c r="X63" s="67" t="s">
        <v>209</v>
      </c>
      <c r="Y63" s="67">
        <v>1</v>
      </c>
      <c r="Z63" s="63">
        <v>0.05</v>
      </c>
      <c r="AA63" s="63">
        <f t="shared" si="26"/>
        <v>0.05</v>
      </c>
      <c r="AB63" s="90"/>
      <c r="AC63" s="86"/>
      <c r="AD63" s="86"/>
    </row>
    <row r="64" spans="1:30" s="46" customFormat="1">
      <c r="A64" s="100"/>
      <c r="B64" s="118"/>
      <c r="C64" s="118"/>
      <c r="D64" s="65">
        <v>2</v>
      </c>
      <c r="E64" s="80" t="s">
        <v>196</v>
      </c>
      <c r="F64" s="66" t="s">
        <v>197</v>
      </c>
      <c r="G64" s="66" t="s">
        <v>124</v>
      </c>
      <c r="H64" s="67"/>
      <c r="I64" s="67">
        <v>1</v>
      </c>
      <c r="J64" s="68" t="s">
        <v>132</v>
      </c>
      <c r="K64" s="68">
        <f>170+6</f>
        <v>176</v>
      </c>
      <c r="L64" s="68">
        <f>140+6</f>
        <v>146</v>
      </c>
      <c r="M64" s="68">
        <v>3</v>
      </c>
      <c r="N64" s="123">
        <v>170</v>
      </c>
      <c r="O64" s="123">
        <v>140</v>
      </c>
      <c r="P64" s="123">
        <v>3</v>
      </c>
      <c r="Q64" s="78">
        <v>4.8</v>
      </c>
      <c r="R64" s="78">
        <v>2.8</v>
      </c>
      <c r="S64" s="69">
        <f>K64*L64*M64*7.85/1000000</f>
        <v>0.60514079999999992</v>
      </c>
      <c r="T64" s="69">
        <f>N64*O64*P64*7.85/1000000</f>
        <v>0.56049000000000004</v>
      </c>
      <c r="U64" s="70">
        <f t="shared" ref="U64" si="27">S64-T64</f>
        <v>4.4650799999999879E-2</v>
      </c>
      <c r="V64" s="71">
        <f>(Q64*S64-R64*U64)*I64</f>
        <v>2.7796535999999996</v>
      </c>
      <c r="W64" s="66" t="s">
        <v>159</v>
      </c>
      <c r="X64" s="67" t="s">
        <v>210</v>
      </c>
      <c r="Y64" s="67">
        <v>1</v>
      </c>
      <c r="Z64" s="63">
        <v>7.0000000000000007E-2</v>
      </c>
      <c r="AA64" s="63">
        <f t="shared" si="26"/>
        <v>7.0000000000000007E-2</v>
      </c>
      <c r="AB64" s="90"/>
      <c r="AC64" s="86"/>
      <c r="AD64" s="86"/>
    </row>
    <row r="65" spans="1:30" s="46" customFormat="1">
      <c r="A65" s="100"/>
      <c r="B65" s="118"/>
      <c r="C65" s="118"/>
      <c r="D65" s="65"/>
      <c r="E65" s="80"/>
      <c r="F65" s="66"/>
      <c r="G65" s="66"/>
      <c r="H65" s="67"/>
      <c r="I65" s="67"/>
      <c r="J65" s="68"/>
      <c r="K65" s="68"/>
      <c r="L65" s="68"/>
      <c r="M65" s="68"/>
      <c r="N65" s="123"/>
      <c r="O65" s="123"/>
      <c r="P65" s="123"/>
      <c r="Q65" s="63"/>
      <c r="R65" s="63"/>
      <c r="S65" s="72"/>
      <c r="T65" s="72"/>
      <c r="U65" s="72"/>
      <c r="V65" s="71"/>
      <c r="W65" s="66" t="s">
        <v>237</v>
      </c>
      <c r="X65" s="67" t="s">
        <v>209</v>
      </c>
      <c r="Y65" s="67">
        <v>1</v>
      </c>
      <c r="Z65" s="63">
        <v>0.05</v>
      </c>
      <c r="AA65" s="63">
        <f t="shared" ref="AA65" si="28">Y65*Z65</f>
        <v>0.05</v>
      </c>
      <c r="AB65" s="90"/>
      <c r="AC65" s="86"/>
      <c r="AD65" s="86"/>
    </row>
    <row r="66" spans="1:30" s="46" customFormat="1">
      <c r="A66" s="100"/>
      <c r="B66" s="118"/>
      <c r="C66" s="118"/>
      <c r="D66" s="65">
        <v>3</v>
      </c>
      <c r="E66" s="65" t="s">
        <v>198</v>
      </c>
      <c r="F66" s="66" t="s">
        <v>199</v>
      </c>
      <c r="G66" s="66" t="s">
        <v>123</v>
      </c>
      <c r="H66" s="67"/>
      <c r="I66" s="67">
        <v>1</v>
      </c>
      <c r="J66" s="68" t="s">
        <v>135</v>
      </c>
      <c r="K66" s="68">
        <f>720+30+30+2</f>
        <v>782</v>
      </c>
      <c r="L66" s="68">
        <v>8</v>
      </c>
      <c r="M66" s="68">
        <v>1</v>
      </c>
      <c r="N66" s="123">
        <f>720+30+30</f>
        <v>780</v>
      </c>
      <c r="O66" s="123">
        <v>8</v>
      </c>
      <c r="P66" s="123">
        <v>1</v>
      </c>
      <c r="Q66" s="76">
        <v>4.5999999999999996</v>
      </c>
      <c r="R66" s="76">
        <v>2.65</v>
      </c>
      <c r="S66" s="75">
        <f>(L66-M66)*M66*0.02466*K66/1000</f>
        <v>0.13498884</v>
      </c>
      <c r="T66" s="75">
        <f>(O66-P66)*P66*0.02466*N66/1000</f>
        <v>0.1346436</v>
      </c>
      <c r="U66" s="70">
        <f t="shared" ref="U66" si="29">S66-T66</f>
        <v>3.4523999999999666E-4</v>
      </c>
      <c r="V66" s="71">
        <f>(Q66*S66-R66*U66)*I66</f>
        <v>0.62003377799999992</v>
      </c>
      <c r="W66" s="66" t="s">
        <v>211</v>
      </c>
      <c r="X66" s="66"/>
      <c r="Y66" s="67">
        <v>1</v>
      </c>
      <c r="Z66" s="63">
        <v>0.08</v>
      </c>
      <c r="AA66" s="63">
        <f t="shared" si="26"/>
        <v>0.08</v>
      </c>
      <c r="AB66" s="90"/>
      <c r="AC66" s="86"/>
      <c r="AD66" s="86"/>
    </row>
    <row r="67" spans="1:30" s="46" customFormat="1">
      <c r="A67" s="100"/>
      <c r="B67" s="118"/>
      <c r="C67" s="118"/>
      <c r="D67" s="65"/>
      <c r="E67" s="65"/>
      <c r="F67" s="66"/>
      <c r="G67" s="66"/>
      <c r="H67" s="67"/>
      <c r="I67" s="67"/>
      <c r="J67" s="68"/>
      <c r="K67" s="68"/>
      <c r="L67" s="68"/>
      <c r="M67" s="68"/>
      <c r="N67" s="123"/>
      <c r="O67" s="123"/>
      <c r="P67" s="123"/>
      <c r="Q67" s="63"/>
      <c r="R67" s="63"/>
      <c r="S67" s="72"/>
      <c r="T67" s="72"/>
      <c r="U67" s="72"/>
      <c r="V67" s="71"/>
      <c r="W67" s="66" t="s">
        <v>212</v>
      </c>
      <c r="X67" s="66"/>
      <c r="Y67" s="67">
        <v>2</v>
      </c>
      <c r="Z67" s="63">
        <v>0.05</v>
      </c>
      <c r="AA67" s="63">
        <f t="shared" si="26"/>
        <v>0.1</v>
      </c>
      <c r="AB67" s="90"/>
      <c r="AC67" s="86"/>
      <c r="AD67" s="86"/>
    </row>
    <row r="68" spans="1:30" s="46" customFormat="1">
      <c r="A68" s="100"/>
      <c r="B68" s="118"/>
      <c r="C68" s="118"/>
      <c r="D68" s="65">
        <v>4</v>
      </c>
      <c r="E68" s="65" t="s">
        <v>200</v>
      </c>
      <c r="F68" s="73" t="s">
        <v>201</v>
      </c>
      <c r="G68" s="73" t="s">
        <v>124</v>
      </c>
      <c r="H68" s="74"/>
      <c r="I68" s="67">
        <v>1</v>
      </c>
      <c r="J68" s="68" t="s">
        <v>121</v>
      </c>
      <c r="K68" s="75">
        <f>144+6</f>
        <v>150</v>
      </c>
      <c r="L68" s="75">
        <f>90+6</f>
        <v>96</v>
      </c>
      <c r="M68" s="75">
        <v>3</v>
      </c>
      <c r="N68" s="123">
        <v>144</v>
      </c>
      <c r="O68" s="123">
        <v>90</v>
      </c>
      <c r="P68" s="123">
        <v>3</v>
      </c>
      <c r="Q68" s="78">
        <v>4.5999999999999996</v>
      </c>
      <c r="R68" s="78">
        <v>2.65</v>
      </c>
      <c r="S68" s="69">
        <f>K68*L68*M68*7.85/1000000</f>
        <v>0.33911999999999998</v>
      </c>
      <c r="T68" s="69">
        <f>N68*O68*P68*7.85/1000000</f>
        <v>0.30520799999999998</v>
      </c>
      <c r="U68" s="70">
        <f t="shared" ref="U68" si="30">S68-T68</f>
        <v>3.3911999999999998E-2</v>
      </c>
      <c r="V68" s="71">
        <f>(Q68*S68-R68*U68)*I68</f>
        <v>1.4700851999999998</v>
      </c>
      <c r="W68" s="66" t="s">
        <v>159</v>
      </c>
      <c r="X68" s="67" t="s">
        <v>210</v>
      </c>
      <c r="Y68" s="67">
        <v>1</v>
      </c>
      <c r="Z68" s="63">
        <v>7.0000000000000007E-2</v>
      </c>
      <c r="AA68" s="63">
        <f t="shared" ref="AA68:AA69" si="31">Y68*Z68</f>
        <v>7.0000000000000007E-2</v>
      </c>
      <c r="AB68" s="90"/>
      <c r="AC68" s="86"/>
      <c r="AD68" s="86"/>
    </row>
    <row r="69" spans="1:30" s="46" customFormat="1">
      <c r="A69" s="100"/>
      <c r="B69" s="118"/>
      <c r="C69" s="118"/>
      <c r="D69" s="65"/>
      <c r="E69" s="65"/>
      <c r="F69" s="73"/>
      <c r="G69" s="73"/>
      <c r="H69" s="74"/>
      <c r="I69" s="67"/>
      <c r="J69" s="68"/>
      <c r="K69" s="68"/>
      <c r="L69" s="68"/>
      <c r="M69" s="68"/>
      <c r="N69" s="123"/>
      <c r="O69" s="123"/>
      <c r="P69" s="123"/>
      <c r="Q69" s="78"/>
      <c r="R69" s="78"/>
      <c r="S69" s="77"/>
      <c r="T69" s="77"/>
      <c r="U69" s="77"/>
      <c r="V69" s="71"/>
      <c r="W69" s="66" t="s">
        <v>155</v>
      </c>
      <c r="X69" s="67" t="s">
        <v>210</v>
      </c>
      <c r="Y69" s="67">
        <v>1</v>
      </c>
      <c r="Z69" s="63">
        <v>7.0000000000000007E-2</v>
      </c>
      <c r="AA69" s="63">
        <f t="shared" si="31"/>
        <v>7.0000000000000007E-2</v>
      </c>
      <c r="AB69" s="90"/>
      <c r="AC69" s="86"/>
      <c r="AD69" s="86"/>
    </row>
    <row r="70" spans="1:30" s="46" customFormat="1">
      <c r="A70" s="100"/>
      <c r="B70" s="118"/>
      <c r="C70" s="118"/>
      <c r="D70" s="65">
        <v>5</v>
      </c>
      <c r="E70" s="65" t="s">
        <v>202</v>
      </c>
      <c r="F70" s="73" t="s">
        <v>203</v>
      </c>
      <c r="G70" s="73" t="s">
        <v>124</v>
      </c>
      <c r="H70" s="74"/>
      <c r="I70" s="67">
        <v>1</v>
      </c>
      <c r="J70" s="68" t="s">
        <v>132</v>
      </c>
      <c r="K70" s="75">
        <f>100+6</f>
        <v>106</v>
      </c>
      <c r="L70" s="75">
        <f>47+6</f>
        <v>53</v>
      </c>
      <c r="M70" s="75">
        <v>3</v>
      </c>
      <c r="N70" s="123">
        <v>100</v>
      </c>
      <c r="O70" s="123">
        <v>47</v>
      </c>
      <c r="P70" s="123">
        <v>3</v>
      </c>
      <c r="Q70" s="78">
        <v>4.8</v>
      </c>
      <c r="R70" s="78">
        <v>2.8</v>
      </c>
      <c r="S70" s="69">
        <f>K70*L70*M70*7.85/1000000</f>
        <v>0.1323039</v>
      </c>
      <c r="T70" s="69">
        <f>N70*O70*P70*7.85/1000000</f>
        <v>0.11068500000000001</v>
      </c>
      <c r="U70" s="70">
        <f t="shared" ref="U70" si="32">S70-T70</f>
        <v>2.1618899999999996E-2</v>
      </c>
      <c r="V70" s="71">
        <f>(Q70*S70-R70*U70)*I70</f>
        <v>0.57452579999999998</v>
      </c>
      <c r="W70" s="66" t="s">
        <v>152</v>
      </c>
      <c r="X70" s="67" t="s">
        <v>209</v>
      </c>
      <c r="Y70" s="67">
        <v>1</v>
      </c>
      <c r="Z70" s="63">
        <v>0.05</v>
      </c>
      <c r="AA70" s="63">
        <f t="shared" ref="AA70:AA71" si="33">Y70*Z70</f>
        <v>0.05</v>
      </c>
      <c r="AB70" s="90"/>
      <c r="AC70" s="86"/>
      <c r="AD70" s="86"/>
    </row>
    <row r="71" spans="1:30" s="46" customFormat="1">
      <c r="A71" s="100"/>
      <c r="B71" s="118"/>
      <c r="C71" s="118"/>
      <c r="D71" s="65"/>
      <c r="E71" s="65"/>
      <c r="F71" s="73"/>
      <c r="G71" s="73"/>
      <c r="H71" s="74"/>
      <c r="I71" s="67"/>
      <c r="J71" s="68"/>
      <c r="K71" s="68"/>
      <c r="L71" s="68"/>
      <c r="M71" s="68"/>
      <c r="N71" s="123"/>
      <c r="O71" s="123"/>
      <c r="P71" s="123"/>
      <c r="Q71" s="76"/>
      <c r="R71" s="76"/>
      <c r="S71" s="77"/>
      <c r="T71" s="77"/>
      <c r="U71" s="77"/>
      <c r="V71" s="71"/>
      <c r="W71" s="66" t="s">
        <v>155</v>
      </c>
      <c r="X71" s="67" t="s">
        <v>209</v>
      </c>
      <c r="Y71" s="67">
        <v>1</v>
      </c>
      <c r="Z71" s="63">
        <v>0.05</v>
      </c>
      <c r="AA71" s="63">
        <f t="shared" si="33"/>
        <v>0.05</v>
      </c>
      <c r="AB71" s="90"/>
      <c r="AC71" s="86"/>
      <c r="AD71" s="86"/>
    </row>
    <row r="72" spans="1:30" s="46" customFormat="1">
      <c r="A72" s="100"/>
      <c r="B72" s="118"/>
      <c r="C72" s="118"/>
      <c r="D72" s="65">
        <v>6</v>
      </c>
      <c r="E72" s="65" t="s">
        <v>204</v>
      </c>
      <c r="F72" s="73" t="s">
        <v>205</v>
      </c>
      <c r="G72" s="73" t="s">
        <v>124</v>
      </c>
      <c r="H72" s="67"/>
      <c r="I72" s="67">
        <v>1</v>
      </c>
      <c r="J72" s="68" t="s">
        <v>132</v>
      </c>
      <c r="K72" s="75">
        <f>100+6</f>
        <v>106</v>
      </c>
      <c r="L72" s="75">
        <f>60+6</f>
        <v>66</v>
      </c>
      <c r="M72" s="75">
        <v>3</v>
      </c>
      <c r="N72" s="123">
        <v>100</v>
      </c>
      <c r="O72" s="123">
        <v>60</v>
      </c>
      <c r="P72" s="123">
        <v>3</v>
      </c>
      <c r="Q72" s="78">
        <v>4.8</v>
      </c>
      <c r="R72" s="78">
        <v>2.8</v>
      </c>
      <c r="S72" s="69">
        <f>K72*L72*M72*7.85/1000000</f>
        <v>0.16475579999999998</v>
      </c>
      <c r="T72" s="69">
        <f>N72*O72*P72*7.85/1000000</f>
        <v>0.14130000000000001</v>
      </c>
      <c r="U72" s="70">
        <f t="shared" ref="U72" si="34">S72-T72</f>
        <v>2.3455799999999971E-2</v>
      </c>
      <c r="V72" s="71">
        <f>(Q72*S72-R72*U72)*I72</f>
        <v>0.7251515999999999</v>
      </c>
      <c r="W72" s="66" t="s">
        <v>159</v>
      </c>
      <c r="X72" s="67" t="s">
        <v>209</v>
      </c>
      <c r="Y72" s="67">
        <v>1</v>
      </c>
      <c r="Z72" s="63">
        <v>0.05</v>
      </c>
      <c r="AA72" s="63">
        <f t="shared" ref="AA72:AA76" si="35">Y72*Z72</f>
        <v>0.05</v>
      </c>
      <c r="AB72" s="90"/>
      <c r="AC72" s="86"/>
      <c r="AD72" s="86"/>
    </row>
    <row r="73" spans="1:30" s="46" customFormat="1">
      <c r="A73" s="100"/>
      <c r="B73" s="118"/>
      <c r="C73" s="118"/>
      <c r="D73" s="65"/>
      <c r="E73" s="65"/>
      <c r="F73" s="73"/>
      <c r="G73" s="73"/>
      <c r="H73" s="67"/>
      <c r="I73" s="67"/>
      <c r="J73" s="68"/>
      <c r="K73" s="68"/>
      <c r="L73" s="68"/>
      <c r="M73" s="68"/>
      <c r="N73" s="123"/>
      <c r="O73" s="123"/>
      <c r="P73" s="123"/>
      <c r="Q73" s="76"/>
      <c r="R73" s="76"/>
      <c r="S73" s="77"/>
      <c r="T73" s="77"/>
      <c r="U73" s="77"/>
      <c r="V73" s="71"/>
      <c r="W73" s="66" t="s">
        <v>155</v>
      </c>
      <c r="X73" s="67" t="s">
        <v>209</v>
      </c>
      <c r="Y73" s="67">
        <v>1</v>
      </c>
      <c r="Z73" s="63">
        <v>0.05</v>
      </c>
      <c r="AA73" s="63">
        <f t="shared" si="35"/>
        <v>0.05</v>
      </c>
      <c r="AB73" s="90"/>
      <c r="AC73" s="86"/>
      <c r="AD73" s="86"/>
    </row>
    <row r="74" spans="1:30" s="46" customFormat="1">
      <c r="A74" s="100"/>
      <c r="B74" s="118"/>
      <c r="C74" s="118"/>
      <c r="D74" s="65">
        <v>7</v>
      </c>
      <c r="E74" s="65" t="s">
        <v>242</v>
      </c>
      <c r="F74" s="75" t="s">
        <v>206</v>
      </c>
      <c r="G74" s="66" t="s">
        <v>123</v>
      </c>
      <c r="H74" s="67"/>
      <c r="I74" s="67">
        <v>2</v>
      </c>
      <c r="J74" s="68" t="s">
        <v>135</v>
      </c>
      <c r="K74" s="66">
        <f>400+2</f>
        <v>402</v>
      </c>
      <c r="L74" s="68">
        <v>19</v>
      </c>
      <c r="M74" s="68">
        <v>2</v>
      </c>
      <c r="N74" s="123">
        <v>400</v>
      </c>
      <c r="O74" s="123">
        <v>19</v>
      </c>
      <c r="P74" s="123">
        <v>2</v>
      </c>
      <c r="Q74" s="76">
        <v>4.5999999999999996</v>
      </c>
      <c r="R74" s="76">
        <v>2.65</v>
      </c>
      <c r="S74" s="75">
        <f>(L74-M74)*M74*0.02466*K74/1000</f>
        <v>0.33705288</v>
      </c>
      <c r="T74" s="75">
        <f>(O74-P74)*P74*0.02466*N74/1000</f>
        <v>0.33537600000000001</v>
      </c>
      <c r="U74" s="70">
        <f t="shared" ref="U74" si="36">S74-T74</f>
        <v>1.6768799999999917E-3</v>
      </c>
      <c r="V74" s="71">
        <f>(Q74*S74-R74*U74)*I74</f>
        <v>3.0919990319999999</v>
      </c>
      <c r="W74" s="66" t="s">
        <v>211</v>
      </c>
      <c r="X74" s="66"/>
      <c r="Y74" s="67">
        <v>1</v>
      </c>
      <c r="Z74" s="63">
        <v>0.08</v>
      </c>
      <c r="AA74" s="63">
        <f t="shared" si="35"/>
        <v>0.08</v>
      </c>
      <c r="AB74" s="90"/>
      <c r="AC74" s="86"/>
      <c r="AD74" s="86"/>
    </row>
    <row r="75" spans="1:30" s="46" customFormat="1">
      <c r="A75" s="100"/>
      <c r="B75" s="118"/>
      <c r="C75" s="118"/>
      <c r="D75" s="65"/>
      <c r="E75" s="65"/>
      <c r="F75" s="75"/>
      <c r="G75" s="66"/>
      <c r="H75" s="67"/>
      <c r="I75" s="67"/>
      <c r="J75" s="68"/>
      <c r="K75" s="68"/>
      <c r="L75" s="68"/>
      <c r="M75" s="68"/>
      <c r="N75" s="123"/>
      <c r="O75" s="123"/>
      <c r="P75" s="123"/>
      <c r="Q75" s="76"/>
      <c r="R75" s="76"/>
      <c r="S75" s="77"/>
      <c r="T75" s="77"/>
      <c r="U75" s="77"/>
      <c r="V75" s="71"/>
      <c r="W75" s="66" t="s">
        <v>212</v>
      </c>
      <c r="X75" s="66"/>
      <c r="Y75" s="67">
        <v>1</v>
      </c>
      <c r="Z75" s="63">
        <v>0.05</v>
      </c>
      <c r="AA75" s="63">
        <f t="shared" si="35"/>
        <v>0.05</v>
      </c>
      <c r="AB75" s="90"/>
      <c r="AC75" s="86"/>
      <c r="AD75" s="86"/>
    </row>
    <row r="76" spans="1:30" s="46" customFormat="1">
      <c r="A76" s="100"/>
      <c r="B76" s="118"/>
      <c r="C76" s="118"/>
      <c r="D76" s="65"/>
      <c r="E76" s="65"/>
      <c r="F76" s="75"/>
      <c r="G76" s="66"/>
      <c r="H76" s="67"/>
      <c r="I76" s="67"/>
      <c r="J76" s="68"/>
      <c r="K76" s="68"/>
      <c r="L76" s="68"/>
      <c r="M76" s="68"/>
      <c r="N76" s="123"/>
      <c r="O76" s="123"/>
      <c r="P76" s="123"/>
      <c r="Q76" s="76"/>
      <c r="R76" s="76"/>
      <c r="S76" s="77"/>
      <c r="T76" s="77"/>
      <c r="U76" s="77"/>
      <c r="V76" s="71"/>
      <c r="W76" s="66" t="s">
        <v>243</v>
      </c>
      <c r="X76" s="66" t="s">
        <v>162</v>
      </c>
      <c r="Y76" s="67">
        <v>1</v>
      </c>
      <c r="Z76" s="63">
        <v>0.03</v>
      </c>
      <c r="AA76" s="63">
        <f t="shared" si="35"/>
        <v>0.03</v>
      </c>
      <c r="AB76" s="90"/>
      <c r="AC76" s="86"/>
      <c r="AD76" s="86"/>
    </row>
    <row r="77" spans="1:30" s="46" customFormat="1">
      <c r="A77" s="100"/>
      <c r="B77" s="118"/>
      <c r="C77" s="118"/>
      <c r="D77" s="65">
        <v>8</v>
      </c>
      <c r="E77" s="65" t="s">
        <v>207</v>
      </c>
      <c r="F77" s="75" t="s">
        <v>208</v>
      </c>
      <c r="G77" s="66" t="s">
        <v>123</v>
      </c>
      <c r="H77" s="67"/>
      <c r="I77" s="67">
        <v>1</v>
      </c>
      <c r="J77" s="68" t="s">
        <v>135</v>
      </c>
      <c r="K77" s="68">
        <f>1800+2</f>
        <v>1802</v>
      </c>
      <c r="L77" s="68">
        <v>25</v>
      </c>
      <c r="M77" s="68">
        <v>2</v>
      </c>
      <c r="N77" s="123">
        <f>1800</f>
        <v>1800</v>
      </c>
      <c r="O77" s="123">
        <v>25</v>
      </c>
      <c r="P77" s="123">
        <v>2</v>
      </c>
      <c r="Q77" s="76">
        <v>4.5999999999999996</v>
      </c>
      <c r="R77" s="76">
        <v>2.65</v>
      </c>
      <c r="S77" s="75">
        <f>(L77-M77)*M77*0.02466*K77/1000</f>
        <v>2.0441167199999999</v>
      </c>
      <c r="T77" s="75">
        <f>(O77-P77)*P77*0.02466*N77/1000</f>
        <v>2.0418479999999999</v>
      </c>
      <c r="U77" s="70">
        <f t="shared" ref="U77" si="37">S77-T77</f>
        <v>2.2687200000000018E-3</v>
      </c>
      <c r="V77" s="71">
        <f>(Q77*S77-R77*U77)*I77</f>
        <v>9.3969248039999993</v>
      </c>
      <c r="W77" s="66" t="s">
        <v>211</v>
      </c>
      <c r="X77" s="66"/>
      <c r="Y77" s="67">
        <v>1</v>
      </c>
      <c r="Z77" s="63">
        <v>0.08</v>
      </c>
      <c r="AA77" s="63">
        <f t="shared" ref="AA77:AA81" si="38">Y77*Z77</f>
        <v>0.08</v>
      </c>
      <c r="AB77" s="90"/>
      <c r="AC77" s="86"/>
      <c r="AD77" s="86"/>
    </row>
    <row r="78" spans="1:30" s="46" customFormat="1">
      <c r="A78" s="100"/>
      <c r="B78" s="118"/>
      <c r="C78" s="118"/>
      <c r="D78" s="65"/>
      <c r="E78" s="65"/>
      <c r="F78" s="75"/>
      <c r="G78" s="66"/>
      <c r="H78" s="67"/>
      <c r="I78" s="67"/>
      <c r="J78" s="68"/>
      <c r="K78" s="68"/>
      <c r="L78" s="68"/>
      <c r="M78" s="68"/>
      <c r="N78" s="123"/>
      <c r="O78" s="123"/>
      <c r="P78" s="123"/>
      <c r="Q78" s="76"/>
      <c r="R78" s="76"/>
      <c r="S78" s="77"/>
      <c r="T78" s="77"/>
      <c r="U78" s="77"/>
      <c r="V78" s="71"/>
      <c r="W78" s="66" t="s">
        <v>212</v>
      </c>
      <c r="X78" s="66"/>
      <c r="Y78" s="67">
        <v>2</v>
      </c>
      <c r="Z78" s="63">
        <v>0.05</v>
      </c>
      <c r="AA78" s="63">
        <f t="shared" si="38"/>
        <v>0.1</v>
      </c>
      <c r="AB78" s="90"/>
      <c r="AC78" s="86"/>
      <c r="AD78" s="86"/>
    </row>
    <row r="79" spans="1:30" s="46" customFormat="1">
      <c r="A79" s="100"/>
      <c r="B79" s="118"/>
      <c r="C79" s="118"/>
      <c r="D79" s="65"/>
      <c r="E79" s="65"/>
      <c r="F79" s="75"/>
      <c r="G79" s="66"/>
      <c r="H79" s="67"/>
      <c r="I79" s="67"/>
      <c r="J79" s="68"/>
      <c r="K79" s="68"/>
      <c r="L79" s="68"/>
      <c r="M79" s="68"/>
      <c r="N79" s="123"/>
      <c r="O79" s="123"/>
      <c r="P79" s="123"/>
      <c r="Q79" s="76"/>
      <c r="R79" s="76"/>
      <c r="S79" s="77"/>
      <c r="T79" s="77"/>
      <c r="U79" s="77"/>
      <c r="V79" s="71"/>
      <c r="W79" s="66" t="s">
        <v>237</v>
      </c>
      <c r="X79" s="66" t="s">
        <v>162</v>
      </c>
      <c r="Y79" s="67">
        <v>4</v>
      </c>
      <c r="Z79" s="63">
        <v>0.03</v>
      </c>
      <c r="AA79" s="63">
        <f t="shared" si="38"/>
        <v>0.12</v>
      </c>
      <c r="AB79" s="90"/>
      <c r="AC79" s="86"/>
      <c r="AD79" s="86"/>
    </row>
    <row r="80" spans="1:30" s="46" customFormat="1">
      <c r="A80" s="100"/>
      <c r="B80" s="118"/>
      <c r="C80" s="118"/>
      <c r="D80" s="65">
        <v>9</v>
      </c>
      <c r="E80" s="65" t="s">
        <v>136</v>
      </c>
      <c r="F80" s="75" t="s">
        <v>137</v>
      </c>
      <c r="G80" s="66" t="s">
        <v>123</v>
      </c>
      <c r="H80" s="67"/>
      <c r="I80" s="67">
        <v>4</v>
      </c>
      <c r="J80" s="68" t="s">
        <v>135</v>
      </c>
      <c r="K80" s="68">
        <v>55</v>
      </c>
      <c r="L80" s="68">
        <v>19</v>
      </c>
      <c r="M80" s="68">
        <v>1.5</v>
      </c>
      <c r="N80" s="123">
        <v>55</v>
      </c>
      <c r="O80" s="123">
        <v>19</v>
      </c>
      <c r="P80" s="123">
        <v>1.5</v>
      </c>
      <c r="Q80" s="78">
        <v>5.25</v>
      </c>
      <c r="R80" s="76">
        <v>2.65</v>
      </c>
      <c r="S80" s="75">
        <f>(L80-M80)*M80*0.02466*K80/1000</f>
        <v>3.5602875000000006E-2</v>
      </c>
      <c r="T80" s="75">
        <f>(O80-P80)*P80*0.02466*N80/1000</f>
        <v>3.5602875000000006E-2</v>
      </c>
      <c r="U80" s="70">
        <f t="shared" ref="U80" si="39">S80-T80</f>
        <v>0</v>
      </c>
      <c r="V80" s="71">
        <f>(Q80*S80-R80*U80)*I80</f>
        <v>0.74766037500000015</v>
      </c>
      <c r="W80" s="66" t="s">
        <v>150</v>
      </c>
      <c r="X80" s="67"/>
      <c r="Y80" s="67">
        <v>4</v>
      </c>
      <c r="Z80" s="63">
        <v>0.08</v>
      </c>
      <c r="AA80" s="63">
        <f t="shared" si="38"/>
        <v>0.32</v>
      </c>
      <c r="AB80" s="90"/>
      <c r="AC80" s="86"/>
      <c r="AD80" s="86"/>
    </row>
    <row r="81" spans="1:30" s="46" customFormat="1">
      <c r="A81" s="100"/>
      <c r="B81" s="118"/>
      <c r="C81" s="118"/>
      <c r="D81" s="65"/>
      <c r="E81" s="65"/>
      <c r="F81" s="75"/>
      <c r="G81" s="66"/>
      <c r="H81" s="67"/>
      <c r="I81" s="67"/>
      <c r="J81" s="68"/>
      <c r="K81" s="68"/>
      <c r="L81" s="68"/>
      <c r="M81" s="68"/>
      <c r="N81" s="123"/>
      <c r="O81" s="123"/>
      <c r="P81" s="123"/>
      <c r="Q81" s="76"/>
      <c r="R81" s="76"/>
      <c r="S81" s="77"/>
      <c r="T81" s="77"/>
      <c r="U81" s="77"/>
      <c r="V81" s="71"/>
      <c r="W81" s="66" t="s">
        <v>156</v>
      </c>
      <c r="X81" s="67"/>
      <c r="Y81" s="67">
        <v>8</v>
      </c>
      <c r="Z81" s="63">
        <v>0.05</v>
      </c>
      <c r="AA81" s="63">
        <f t="shared" si="38"/>
        <v>0.4</v>
      </c>
      <c r="AB81" s="90"/>
      <c r="AC81" s="86"/>
      <c r="AD81" s="86"/>
    </row>
    <row r="82" spans="1:30" s="46" customFormat="1">
      <c r="A82" s="100"/>
      <c r="B82" s="118"/>
      <c r="C82" s="118"/>
      <c r="D82" s="65">
        <v>10</v>
      </c>
      <c r="E82" s="65" t="s">
        <v>213</v>
      </c>
      <c r="F82" s="75" t="s">
        <v>214</v>
      </c>
      <c r="G82" s="66" t="s">
        <v>215</v>
      </c>
      <c r="H82" s="67"/>
      <c r="I82" s="67">
        <v>1</v>
      </c>
      <c r="J82" s="68" t="s">
        <v>132</v>
      </c>
      <c r="K82" s="68">
        <v>532</v>
      </c>
      <c r="L82" s="68">
        <v>50</v>
      </c>
      <c r="M82" s="68">
        <v>1.5</v>
      </c>
      <c r="N82" s="123">
        <v>530</v>
      </c>
      <c r="O82" s="123">
        <v>50</v>
      </c>
      <c r="P82" s="123">
        <v>1.5</v>
      </c>
      <c r="Q82" s="78">
        <v>5</v>
      </c>
      <c r="R82" s="78">
        <v>2.65</v>
      </c>
      <c r="S82" s="75">
        <f>4*M82*(L82-M82)*7.85/1000*K82/1000</f>
        <v>1.2152741999999999</v>
      </c>
      <c r="T82" s="75">
        <f>4*1.5*(50-1.5)*7.85/1000*0.53</f>
        <v>1.2107055</v>
      </c>
      <c r="U82" s="75">
        <f>S82-T82</f>
        <v>4.5686999999998701E-3</v>
      </c>
      <c r="V82" s="71">
        <f>(Q82*S82-R82*U82)*I82</f>
        <v>6.0642639449999995</v>
      </c>
      <c r="W82" s="66" t="s">
        <v>150</v>
      </c>
      <c r="X82" s="67"/>
      <c r="Y82" s="67">
        <v>4</v>
      </c>
      <c r="Z82" s="63">
        <v>0.1</v>
      </c>
      <c r="AA82" s="63">
        <f t="shared" ref="AA82:AA83" si="40">Y82*Z82</f>
        <v>0.4</v>
      </c>
      <c r="AB82" s="90"/>
      <c r="AC82" s="86"/>
      <c r="AD82" s="86"/>
    </row>
    <row r="83" spans="1:30" s="46" customFormat="1">
      <c r="A83" s="100"/>
      <c r="B83" s="118"/>
      <c r="C83" s="118"/>
      <c r="D83" s="65"/>
      <c r="E83" s="65"/>
      <c r="F83" s="75"/>
      <c r="G83" s="66"/>
      <c r="H83" s="67"/>
      <c r="I83" s="67"/>
      <c r="J83" s="68"/>
      <c r="K83" s="68"/>
      <c r="L83" s="68"/>
      <c r="M83" s="68"/>
      <c r="N83" s="123"/>
      <c r="O83" s="123"/>
      <c r="P83" s="123"/>
      <c r="Q83" s="78"/>
      <c r="R83" s="78"/>
      <c r="S83" s="75"/>
      <c r="T83" s="75"/>
      <c r="U83" s="75"/>
      <c r="V83" s="71"/>
      <c r="W83" s="66" t="s">
        <v>244</v>
      </c>
      <c r="X83" s="67" t="s">
        <v>209</v>
      </c>
      <c r="Y83" s="67">
        <v>2</v>
      </c>
      <c r="Z83" s="63">
        <v>0.05</v>
      </c>
      <c r="AA83" s="63">
        <f t="shared" si="40"/>
        <v>0.1</v>
      </c>
      <c r="AB83" s="90"/>
      <c r="AC83" s="86"/>
      <c r="AD83" s="86"/>
    </row>
    <row r="84" spans="1:30" s="46" customFormat="1">
      <c r="A84" s="100"/>
      <c r="B84" s="118"/>
      <c r="C84" s="118"/>
      <c r="D84" s="65">
        <v>11</v>
      </c>
      <c r="E84" s="65" t="s">
        <v>216</v>
      </c>
      <c r="F84" s="73" t="s">
        <v>218</v>
      </c>
      <c r="G84" s="73" t="s">
        <v>131</v>
      </c>
      <c r="H84" s="74"/>
      <c r="I84" s="67">
        <v>1</v>
      </c>
      <c r="J84" s="68" t="s">
        <v>132</v>
      </c>
      <c r="K84" s="66">
        <f>720+35+35</f>
        <v>790</v>
      </c>
      <c r="L84" s="68">
        <v>5</v>
      </c>
      <c r="M84" s="68"/>
      <c r="N84" s="123">
        <f>720+35+35</f>
        <v>790</v>
      </c>
      <c r="O84" s="123">
        <v>5</v>
      </c>
      <c r="P84" s="123"/>
      <c r="Q84" s="76">
        <f>9/1.13</f>
        <v>7.9646017699115053</v>
      </c>
      <c r="R84" s="76"/>
      <c r="S84" s="77">
        <f>L84*L84*0.00617*K84/1000</f>
        <v>0.12185750000000001</v>
      </c>
      <c r="T84" s="77"/>
      <c r="U84" s="77"/>
      <c r="V84" s="71">
        <f>(Q84*S84-R84*U84)*I84</f>
        <v>0.97054646017699131</v>
      </c>
      <c r="W84" s="66"/>
      <c r="X84" s="66"/>
      <c r="Y84" s="67"/>
      <c r="Z84" s="63"/>
      <c r="AA84" s="63">
        <f t="shared" si="26"/>
        <v>0</v>
      </c>
      <c r="AB84" s="90"/>
      <c r="AC84" s="86"/>
      <c r="AD84" s="86"/>
    </row>
    <row r="85" spans="1:30" s="46" customFormat="1">
      <c r="A85" s="100"/>
      <c r="B85" s="118"/>
      <c r="C85" s="118"/>
      <c r="D85" s="65">
        <v>12</v>
      </c>
      <c r="E85" s="65" t="s">
        <v>219</v>
      </c>
      <c r="F85" s="73" t="s">
        <v>220</v>
      </c>
      <c r="G85" s="73" t="s">
        <v>131</v>
      </c>
      <c r="H85" s="74"/>
      <c r="I85" s="67">
        <v>1</v>
      </c>
      <c r="J85" s="68" t="s">
        <v>132</v>
      </c>
      <c r="K85" s="68">
        <f>720+30+30</f>
        <v>780</v>
      </c>
      <c r="L85" s="68">
        <v>5</v>
      </c>
      <c r="M85" s="68"/>
      <c r="N85" s="123">
        <f>720+30+30</f>
        <v>780</v>
      </c>
      <c r="O85" s="123">
        <v>5</v>
      </c>
      <c r="P85" s="123"/>
      <c r="Q85" s="76">
        <f>9/1.13</f>
        <v>7.9646017699115053</v>
      </c>
      <c r="R85" s="76"/>
      <c r="S85" s="77">
        <f>L85*L85*0.00617*K85/1000</f>
        <v>0.12031499999999999</v>
      </c>
      <c r="T85" s="77"/>
      <c r="U85" s="77"/>
      <c r="V85" s="71">
        <f>(Q85*S85-R85*U85)*I85</f>
        <v>0.95826106194690264</v>
      </c>
      <c r="W85" s="66"/>
      <c r="X85" s="66"/>
      <c r="Y85" s="67"/>
      <c r="Z85" s="63"/>
      <c r="AA85" s="63">
        <f t="shared" si="26"/>
        <v>0</v>
      </c>
      <c r="AB85" s="90"/>
      <c r="AC85" s="86"/>
      <c r="AD85" s="86"/>
    </row>
    <row r="86" spans="1:30" s="46" customFormat="1">
      <c r="A86" s="100"/>
      <c r="B86" s="118"/>
      <c r="C86" s="118"/>
      <c r="D86" s="65">
        <v>13</v>
      </c>
      <c r="E86" s="65" t="s">
        <v>221</v>
      </c>
      <c r="F86" s="73" t="s">
        <v>217</v>
      </c>
      <c r="G86" s="73" t="s">
        <v>123</v>
      </c>
      <c r="H86" s="74"/>
      <c r="I86" s="67">
        <v>1</v>
      </c>
      <c r="J86" s="68" t="s">
        <v>135</v>
      </c>
      <c r="K86" s="68">
        <f>780+2</f>
        <v>782</v>
      </c>
      <c r="L86" s="68">
        <v>19</v>
      </c>
      <c r="M86" s="68">
        <v>2</v>
      </c>
      <c r="N86" s="123">
        <f>780</f>
        <v>780</v>
      </c>
      <c r="O86" s="123">
        <v>19</v>
      </c>
      <c r="P86" s="123">
        <v>2</v>
      </c>
      <c r="Q86" s="76">
        <v>4.5999999999999996</v>
      </c>
      <c r="R86" s="76">
        <v>2.65</v>
      </c>
      <c r="S86" s="75">
        <f>(L86-M86)*M86*0.02466*K86/1000</f>
        <v>0.65566008000000009</v>
      </c>
      <c r="T86" s="75">
        <f>(O86-P86)*P86*0.02466*N86/1000</f>
        <v>0.65398319999999999</v>
      </c>
      <c r="U86" s="70">
        <f t="shared" ref="U86:U87" si="41">S86-T86</f>
        <v>1.6768800000001027E-3</v>
      </c>
      <c r="V86" s="71">
        <f>(Q86*S86-R86*U86)*I86</f>
        <v>3.0115926359999996</v>
      </c>
      <c r="W86" s="66" t="s">
        <v>150</v>
      </c>
      <c r="X86" s="67"/>
      <c r="Y86" s="67">
        <v>1</v>
      </c>
      <c r="Z86" s="63">
        <v>0.08</v>
      </c>
      <c r="AA86" s="63">
        <f t="shared" si="26"/>
        <v>0.08</v>
      </c>
      <c r="AB86" s="90"/>
      <c r="AC86" s="86"/>
      <c r="AD86" s="86"/>
    </row>
    <row r="87" spans="1:30" s="46" customFormat="1">
      <c r="A87" s="100"/>
      <c r="B87" s="118"/>
      <c r="C87" s="118"/>
      <c r="D87" s="65">
        <v>14</v>
      </c>
      <c r="E87" s="65" t="s">
        <v>222</v>
      </c>
      <c r="F87" s="75" t="s">
        <v>223</v>
      </c>
      <c r="G87" s="66" t="s">
        <v>124</v>
      </c>
      <c r="H87" s="67"/>
      <c r="I87" s="67">
        <v>1</v>
      </c>
      <c r="J87" s="68" t="s">
        <v>132</v>
      </c>
      <c r="K87" s="75">
        <f>100+6</f>
        <v>106</v>
      </c>
      <c r="L87" s="75">
        <f>60+6</f>
        <v>66</v>
      </c>
      <c r="M87" s="75">
        <v>3</v>
      </c>
      <c r="N87" s="123">
        <v>100</v>
      </c>
      <c r="O87" s="123">
        <v>60</v>
      </c>
      <c r="P87" s="123">
        <v>3</v>
      </c>
      <c r="Q87" s="78">
        <v>4.8</v>
      </c>
      <c r="R87" s="78">
        <v>2.8</v>
      </c>
      <c r="S87" s="69">
        <f>K87*L87*M87*7.85/1000000</f>
        <v>0.16475579999999998</v>
      </c>
      <c r="T87" s="69">
        <f>N87*O87*P87*7.85/1000000</f>
        <v>0.14130000000000001</v>
      </c>
      <c r="U87" s="70">
        <f t="shared" si="41"/>
        <v>2.3455799999999971E-2</v>
      </c>
      <c r="V87" s="71">
        <f>(Q87*S87-R87*U87)*I87</f>
        <v>0.7251515999999999</v>
      </c>
      <c r="W87" s="66" t="s">
        <v>159</v>
      </c>
      <c r="X87" s="67" t="s">
        <v>209</v>
      </c>
      <c r="Y87" s="67">
        <v>1</v>
      </c>
      <c r="Z87" s="63">
        <v>0.05</v>
      </c>
      <c r="AA87" s="63">
        <f t="shared" si="26"/>
        <v>0.05</v>
      </c>
      <c r="AB87" s="90"/>
      <c r="AC87" s="86"/>
      <c r="AD87" s="86"/>
    </row>
    <row r="88" spans="1:30" s="46" customFormat="1">
      <c r="A88" s="100"/>
      <c r="B88" s="118"/>
      <c r="C88" s="118"/>
      <c r="D88" s="65"/>
      <c r="E88" s="65"/>
      <c r="F88" s="75"/>
      <c r="G88" s="66"/>
      <c r="H88" s="67"/>
      <c r="I88" s="67"/>
      <c r="J88" s="68"/>
      <c r="K88" s="68"/>
      <c r="L88" s="68"/>
      <c r="M88" s="68"/>
      <c r="N88" s="123"/>
      <c r="O88" s="123"/>
      <c r="P88" s="123"/>
      <c r="Q88" s="78"/>
      <c r="R88" s="78"/>
      <c r="S88" s="75"/>
      <c r="T88" s="75"/>
      <c r="U88" s="70"/>
      <c r="V88" s="71"/>
      <c r="W88" s="66" t="s">
        <v>155</v>
      </c>
      <c r="X88" s="67" t="s">
        <v>209</v>
      </c>
      <c r="Y88" s="67">
        <v>1</v>
      </c>
      <c r="Z88" s="63">
        <v>0.05</v>
      </c>
      <c r="AA88" s="63">
        <f t="shared" si="26"/>
        <v>0.05</v>
      </c>
      <c r="AB88" s="90"/>
      <c r="AC88" s="86"/>
      <c r="AD88" s="86"/>
    </row>
    <row r="89" spans="1:30" s="46" customFormat="1">
      <c r="A89" s="100"/>
      <c r="B89" s="118"/>
      <c r="C89" s="118"/>
      <c r="D89" s="65">
        <v>15</v>
      </c>
      <c r="E89" s="65" t="s">
        <v>224</v>
      </c>
      <c r="F89" s="75" t="s">
        <v>225</v>
      </c>
      <c r="G89" s="66" t="s">
        <v>124</v>
      </c>
      <c r="H89" s="67"/>
      <c r="I89" s="67">
        <v>1</v>
      </c>
      <c r="J89" s="68" t="s">
        <v>132</v>
      </c>
      <c r="K89" s="75">
        <f>100+6</f>
        <v>106</v>
      </c>
      <c r="L89" s="75">
        <f>47+6</f>
        <v>53</v>
      </c>
      <c r="M89" s="75">
        <v>3</v>
      </c>
      <c r="N89" s="123">
        <v>100</v>
      </c>
      <c r="O89" s="123">
        <v>47</v>
      </c>
      <c r="P89" s="123">
        <v>3</v>
      </c>
      <c r="Q89" s="78">
        <v>4.8</v>
      </c>
      <c r="R89" s="78">
        <v>2.8</v>
      </c>
      <c r="S89" s="69">
        <f>K89*L89*M89*7.85/1000000</f>
        <v>0.1323039</v>
      </c>
      <c r="T89" s="69">
        <f>N89*O89*P89*7.85/1000000</f>
        <v>0.11068500000000001</v>
      </c>
      <c r="U89" s="70">
        <f t="shared" ref="U89" si="42">S89-T89</f>
        <v>2.1618899999999996E-2</v>
      </c>
      <c r="V89" s="71">
        <f>(Q89*S89-R89*U89)*I89</f>
        <v>0.57452579999999998</v>
      </c>
      <c r="W89" s="66" t="s">
        <v>152</v>
      </c>
      <c r="X89" s="67" t="s">
        <v>209</v>
      </c>
      <c r="Y89" s="67">
        <v>1</v>
      </c>
      <c r="Z89" s="63">
        <v>0.05</v>
      </c>
      <c r="AA89" s="63">
        <f t="shared" si="26"/>
        <v>0.05</v>
      </c>
      <c r="AB89" s="90"/>
      <c r="AC89" s="86"/>
      <c r="AD89" s="86"/>
    </row>
    <row r="90" spans="1:30" s="46" customFormat="1">
      <c r="A90" s="100"/>
      <c r="B90" s="118"/>
      <c r="C90" s="118"/>
      <c r="D90" s="65"/>
      <c r="E90" s="65"/>
      <c r="F90" s="75"/>
      <c r="G90" s="66"/>
      <c r="H90" s="67"/>
      <c r="I90" s="67"/>
      <c r="J90" s="68"/>
      <c r="K90" s="68"/>
      <c r="L90" s="68"/>
      <c r="M90" s="68"/>
      <c r="N90" s="123"/>
      <c r="O90" s="123"/>
      <c r="P90" s="123"/>
      <c r="Q90" s="78"/>
      <c r="R90" s="78"/>
      <c r="S90" s="75"/>
      <c r="T90" s="75"/>
      <c r="U90" s="70"/>
      <c r="V90" s="71"/>
      <c r="W90" s="66" t="s">
        <v>155</v>
      </c>
      <c r="X90" s="67" t="s">
        <v>209</v>
      </c>
      <c r="Y90" s="67">
        <v>1</v>
      </c>
      <c r="Z90" s="63">
        <v>0.05</v>
      </c>
      <c r="AA90" s="63">
        <f t="shared" si="26"/>
        <v>0.05</v>
      </c>
      <c r="AB90" s="90"/>
      <c r="AC90" s="86"/>
      <c r="AD90" s="86"/>
    </row>
    <row r="91" spans="1:30" s="46" customFormat="1">
      <c r="A91" s="100"/>
      <c r="B91" s="118"/>
      <c r="C91" s="118"/>
      <c r="D91" s="65">
        <v>16</v>
      </c>
      <c r="E91" s="65" t="s">
        <v>226</v>
      </c>
      <c r="F91" s="75" t="s">
        <v>227</v>
      </c>
      <c r="G91" s="66" t="s">
        <v>124</v>
      </c>
      <c r="H91" s="67"/>
      <c r="I91" s="67">
        <v>1</v>
      </c>
      <c r="J91" s="68" t="s">
        <v>121</v>
      </c>
      <c r="K91" s="75">
        <f>144+6</f>
        <v>150</v>
      </c>
      <c r="L91" s="75">
        <f>90+6</f>
        <v>96</v>
      </c>
      <c r="M91" s="75">
        <v>3</v>
      </c>
      <c r="N91" s="123">
        <v>144</v>
      </c>
      <c r="O91" s="123">
        <v>90</v>
      </c>
      <c r="P91" s="123">
        <v>3</v>
      </c>
      <c r="Q91" s="78">
        <v>4.5999999999999996</v>
      </c>
      <c r="R91" s="78">
        <v>2.65</v>
      </c>
      <c r="S91" s="69">
        <f>K91*L91*M91*7.85/1000000</f>
        <v>0.33911999999999998</v>
      </c>
      <c r="T91" s="69">
        <f>N91*O91*P91*7.85/1000000</f>
        <v>0.30520799999999998</v>
      </c>
      <c r="U91" s="70">
        <f t="shared" ref="U91" si="43">S91-T91</f>
        <v>3.3911999999999998E-2</v>
      </c>
      <c r="V91" s="71">
        <f>(Q91*S91-R91*U91)*I91</f>
        <v>1.4700851999999998</v>
      </c>
      <c r="W91" s="66" t="s">
        <v>159</v>
      </c>
      <c r="X91" s="67" t="s">
        <v>210</v>
      </c>
      <c r="Y91" s="67">
        <v>1</v>
      </c>
      <c r="Z91" s="63">
        <v>7.0000000000000007E-2</v>
      </c>
      <c r="AA91" s="63">
        <f t="shared" si="26"/>
        <v>7.0000000000000007E-2</v>
      </c>
      <c r="AB91" s="90"/>
      <c r="AC91" s="86"/>
      <c r="AD91" s="86"/>
    </row>
    <row r="92" spans="1:30" s="46" customFormat="1">
      <c r="A92" s="100"/>
      <c r="B92" s="118"/>
      <c r="C92" s="118"/>
      <c r="D92" s="65"/>
      <c r="E92" s="65"/>
      <c r="F92" s="75"/>
      <c r="G92" s="66"/>
      <c r="H92" s="67"/>
      <c r="I92" s="67"/>
      <c r="J92" s="68"/>
      <c r="K92" s="68"/>
      <c r="L92" s="68"/>
      <c r="M92" s="68"/>
      <c r="N92" s="123"/>
      <c r="O92" s="123"/>
      <c r="P92" s="123"/>
      <c r="Q92" s="78"/>
      <c r="R92" s="78"/>
      <c r="S92" s="75"/>
      <c r="T92" s="75"/>
      <c r="U92" s="70"/>
      <c r="V92" s="71"/>
      <c r="W92" s="66" t="s">
        <v>155</v>
      </c>
      <c r="X92" s="67" t="s">
        <v>210</v>
      </c>
      <c r="Y92" s="67">
        <v>1</v>
      </c>
      <c r="Z92" s="63">
        <v>7.0000000000000007E-2</v>
      </c>
      <c r="AA92" s="63">
        <f t="shared" si="26"/>
        <v>7.0000000000000007E-2</v>
      </c>
      <c r="AB92" s="90"/>
      <c r="AC92" s="86"/>
      <c r="AD92" s="86"/>
    </row>
    <row r="93" spans="1:30">
      <c r="A93" s="100"/>
      <c r="B93" s="118"/>
      <c r="C93" s="118"/>
      <c r="D93" s="47"/>
      <c r="E93" s="47"/>
      <c r="F93" s="49"/>
      <c r="G93" s="49"/>
      <c r="H93" s="48"/>
      <c r="I93" s="48"/>
      <c r="J93" s="49"/>
      <c r="K93" s="49"/>
      <c r="L93" s="49"/>
      <c r="M93" s="49"/>
      <c r="N93" s="123"/>
      <c r="O93" s="123"/>
      <c r="P93" s="123"/>
      <c r="Q93" s="50"/>
      <c r="R93" s="50"/>
      <c r="S93" s="51"/>
      <c r="T93" s="51"/>
      <c r="U93" s="51"/>
      <c r="V93" s="50"/>
      <c r="W93" s="43" t="s">
        <v>166</v>
      </c>
      <c r="X93" s="43"/>
      <c r="Y93" s="41">
        <f>4*3*1+4*1.5+8*2+4*1+8*2+8*2+4*2+12*2</f>
        <v>102</v>
      </c>
      <c r="Z93" s="44">
        <v>0.05</v>
      </c>
      <c r="AA93" s="44">
        <f t="shared" si="26"/>
        <v>5.1000000000000005</v>
      </c>
      <c r="AB93" s="90"/>
      <c r="AC93" s="86"/>
      <c r="AD93" s="86"/>
    </row>
    <row r="94" spans="1:30">
      <c r="A94" s="100"/>
      <c r="B94" s="118"/>
      <c r="C94" s="118"/>
      <c r="D94" s="47"/>
      <c r="E94" s="47"/>
      <c r="F94" s="49"/>
      <c r="G94" s="49"/>
      <c r="H94" s="48"/>
      <c r="I94" s="48"/>
      <c r="J94" s="49"/>
      <c r="K94" s="49"/>
      <c r="L94" s="49"/>
      <c r="M94" s="49"/>
      <c r="N94" s="123"/>
      <c r="O94" s="123"/>
      <c r="P94" s="123"/>
      <c r="Q94" s="50"/>
      <c r="R94" s="50"/>
      <c r="S94" s="51"/>
      <c r="T94" s="51"/>
      <c r="U94" s="51"/>
      <c r="V94" s="50"/>
      <c r="W94" s="43" t="s">
        <v>167</v>
      </c>
      <c r="X94" s="43"/>
      <c r="Y94" s="41">
        <f>(0.376+0.048+0.366)*0.505*2*0.3</f>
        <v>0.23937</v>
      </c>
      <c r="Z94" s="44">
        <v>15</v>
      </c>
      <c r="AA94" s="44">
        <f t="shared" si="26"/>
        <v>3.5905499999999999</v>
      </c>
      <c r="AB94" s="90"/>
      <c r="AC94" s="86"/>
      <c r="AD94" s="86"/>
    </row>
    <row r="95" spans="1:30" s="62" customFormat="1" ht="15" thickBot="1">
      <c r="A95" s="101"/>
      <c r="B95" s="119"/>
      <c r="C95" s="119"/>
      <c r="D95" s="55"/>
      <c r="E95" s="55"/>
      <c r="F95" s="56" t="s">
        <v>114</v>
      </c>
      <c r="G95" s="56"/>
      <c r="H95" s="57"/>
      <c r="I95" s="57"/>
      <c r="J95" s="56"/>
      <c r="K95" s="56"/>
      <c r="L95" s="56"/>
      <c r="M95" s="56"/>
      <c r="N95" s="125"/>
      <c r="O95" s="125"/>
      <c r="P95" s="125"/>
      <c r="Q95" s="58"/>
      <c r="R95" s="58"/>
      <c r="S95" s="59"/>
      <c r="T95" s="60"/>
      <c r="U95" s="60"/>
      <c r="V95" s="58">
        <f>SUM(V62:V94)</f>
        <v>35.960114492123878</v>
      </c>
      <c r="W95" s="56"/>
      <c r="X95" s="56"/>
      <c r="Y95" s="57"/>
      <c r="Z95" s="58"/>
      <c r="AA95" s="58">
        <f>SUM(AA62:AA94)</f>
        <v>11.550549999999999</v>
      </c>
      <c r="AB95" s="61">
        <f>(V95+AA95)*AB62</f>
        <v>4.751066449212388</v>
      </c>
      <c r="AC95" s="61">
        <v>7.14</v>
      </c>
      <c r="AD95" s="61">
        <f>SUM(V95:AC95)</f>
        <v>59.401730941336268</v>
      </c>
    </row>
  </sheetData>
  <mergeCells count="38">
    <mergeCell ref="C62:C95"/>
    <mergeCell ref="AB62:AB94"/>
    <mergeCell ref="AC62:AC94"/>
    <mergeCell ref="AD62:AD94"/>
    <mergeCell ref="A31:A61"/>
    <mergeCell ref="B31:B61"/>
    <mergeCell ref="C31:C61"/>
    <mergeCell ref="AB31:AB60"/>
    <mergeCell ref="AC31:AC60"/>
    <mergeCell ref="AD31:AD60"/>
    <mergeCell ref="A62:A95"/>
    <mergeCell ref="B62:B95"/>
    <mergeCell ref="A4:A30"/>
    <mergeCell ref="B4:B30"/>
    <mergeCell ref="C4:C30"/>
    <mergeCell ref="A1:AA1"/>
    <mergeCell ref="A2:A3"/>
    <mergeCell ref="B2:B3"/>
    <mergeCell ref="C2:C3"/>
    <mergeCell ref="F2:F3"/>
    <mergeCell ref="I2:I3"/>
    <mergeCell ref="J2:J3"/>
    <mergeCell ref="Q2:R2"/>
    <mergeCell ref="S2:U2"/>
    <mergeCell ref="H2:H3"/>
    <mergeCell ref="D2:D3"/>
    <mergeCell ref="E2:E3"/>
    <mergeCell ref="G2:G3"/>
    <mergeCell ref="W2:Z2"/>
    <mergeCell ref="K2:M2"/>
    <mergeCell ref="N2:P2"/>
    <mergeCell ref="AC2:AC3"/>
    <mergeCell ref="AC4:AC29"/>
    <mergeCell ref="AD2:AD3"/>
    <mergeCell ref="AD4:AD29"/>
    <mergeCell ref="V2:V3"/>
    <mergeCell ref="AB2:AB3"/>
    <mergeCell ref="AB4:AB29"/>
  </mergeCells>
  <phoneticPr fontId="6" type="noConversion"/>
  <conditionalFormatting sqref="E1:E1048576">
    <cfRule type="duplicateValues" dxfId="0" priority="1"/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21年</vt:lpstr>
      <vt:lpstr>补差价核算</vt:lpstr>
      <vt:lpstr>成本核算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吴英格</cp:lastModifiedBy>
  <dcterms:created xsi:type="dcterms:W3CDTF">2021-11-23T00:33:00Z</dcterms:created>
  <dcterms:modified xsi:type="dcterms:W3CDTF">2022-11-10T12:28:57Z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