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H6座椅靠背放倒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损益表!$A$1:$H$61</definedName>
    <definedName name="_xlnm.Print_Area" localSheetId="8">项目投资!$A$1:$C$35</definedName>
  </definedNames>
  <calcPr calcId="162913" concurrentCalc="0"/>
</workbook>
</file>

<file path=xl/calcChain.xml><?xml version="1.0" encoding="utf-8"?>
<calcChain xmlns="http://schemas.openxmlformats.org/spreadsheetml/2006/main">
  <c r="H31" i="50" l="1"/>
  <c r="D39" i="50"/>
  <c r="E47" i="43"/>
  <c r="E47" i="58"/>
  <c r="E22" i="58"/>
  <c r="D36" i="50"/>
  <c r="E45" i="43"/>
  <c r="E45" i="58"/>
  <c r="E20" i="58"/>
  <c r="D37" i="50"/>
  <c r="E44" i="43"/>
  <c r="E44" i="58"/>
  <c r="E19" i="58"/>
  <c r="D33" i="50"/>
  <c r="E43" i="43"/>
  <c r="E43" i="58"/>
  <c r="E17" i="58"/>
  <c r="E23" i="58"/>
  <c r="H3" i="50"/>
  <c r="D11" i="50"/>
  <c r="C47" i="43"/>
  <c r="C47" i="58"/>
  <c r="C22" i="58"/>
  <c r="H17" i="50"/>
  <c r="D25" i="50"/>
  <c r="D47" i="43"/>
  <c r="D47" i="58"/>
  <c r="D22" i="58"/>
  <c r="H44" i="50"/>
  <c r="D52" i="50"/>
  <c r="F47" i="43"/>
  <c r="F47" i="58"/>
  <c r="F22" i="58"/>
  <c r="H57" i="50"/>
  <c r="D65" i="50"/>
  <c r="G47" i="43"/>
  <c r="G47" i="58"/>
  <c r="G22" i="58"/>
  <c r="H70" i="50"/>
  <c r="D78" i="50"/>
  <c r="H47" i="43"/>
  <c r="H47" i="58"/>
  <c r="H22" i="58"/>
  <c r="H83" i="50"/>
  <c r="D91" i="50"/>
  <c r="I47" i="43"/>
  <c r="I47" i="58"/>
  <c r="I22" i="58"/>
  <c r="H96" i="50"/>
  <c r="D104" i="50"/>
  <c r="J47" i="43"/>
  <c r="J47" i="58"/>
  <c r="J22" i="58"/>
  <c r="K22" i="58"/>
  <c r="D8" i="50"/>
  <c r="C45" i="43"/>
  <c r="C45" i="58"/>
  <c r="C20" i="58"/>
  <c r="D22" i="50"/>
  <c r="D45" i="43"/>
  <c r="D45" i="58"/>
  <c r="D20" i="58"/>
  <c r="D49" i="50"/>
  <c r="F45" i="43"/>
  <c r="F45" i="58"/>
  <c r="F20" i="58"/>
  <c r="D62" i="50"/>
  <c r="G45" i="43"/>
  <c r="G45" i="58"/>
  <c r="G20" i="58"/>
  <c r="D75" i="50"/>
  <c r="H45" i="43"/>
  <c r="H45" i="58"/>
  <c r="H20" i="58"/>
  <c r="D88" i="50"/>
  <c r="I45" i="43"/>
  <c r="I45" i="58"/>
  <c r="I20" i="58"/>
  <c r="D101" i="50"/>
  <c r="J45" i="43"/>
  <c r="J45" i="58"/>
  <c r="J20" i="58"/>
  <c r="K20" i="58"/>
  <c r="D9" i="50"/>
  <c r="C44" i="43"/>
  <c r="C44" i="58"/>
  <c r="C19" i="58"/>
  <c r="D23" i="50"/>
  <c r="D44" i="43"/>
  <c r="D44" i="58"/>
  <c r="D19" i="58"/>
  <c r="D50" i="50"/>
  <c r="F44" i="43"/>
  <c r="F44" i="58"/>
  <c r="F19" i="58"/>
  <c r="D63" i="50"/>
  <c r="G44" i="43"/>
  <c r="G44" i="58"/>
  <c r="G19" i="58"/>
  <c r="D76" i="50"/>
  <c r="H44" i="43"/>
  <c r="H44" i="58"/>
  <c r="H19" i="58"/>
  <c r="D89" i="50"/>
  <c r="I44" i="43"/>
  <c r="I44" i="58"/>
  <c r="I19" i="58"/>
  <c r="D102" i="50"/>
  <c r="J44" i="43"/>
  <c r="J44" i="58"/>
  <c r="J19" i="58"/>
  <c r="K19" i="58"/>
  <c r="D5" i="50"/>
  <c r="C43" i="43"/>
  <c r="C43" i="58"/>
  <c r="C17" i="58"/>
  <c r="D19" i="50"/>
  <c r="D43" i="43"/>
  <c r="D43" i="58"/>
  <c r="D17" i="58"/>
  <c r="D46" i="50"/>
  <c r="F43" i="43"/>
  <c r="F43" i="58"/>
  <c r="F17" i="58"/>
  <c r="D59" i="50"/>
  <c r="G43" i="43"/>
  <c r="G43" i="58"/>
  <c r="G17" i="58"/>
  <c r="D72" i="50"/>
  <c r="H43" i="43"/>
  <c r="H43" i="58"/>
  <c r="H17" i="58"/>
  <c r="D85" i="50"/>
  <c r="I43" i="43"/>
  <c r="I43" i="58"/>
  <c r="I17" i="58"/>
  <c r="D98" i="50"/>
  <c r="J43" i="43"/>
  <c r="J43" i="58"/>
  <c r="J17" i="58"/>
  <c r="K17" i="58"/>
  <c r="K23" i="58"/>
  <c r="E20" i="2"/>
  <c r="H3" i="2"/>
  <c r="G3" i="2"/>
  <c r="G4" i="2"/>
  <c r="G5" i="2"/>
  <c r="G6" i="2"/>
  <c r="G7" i="2"/>
  <c r="D4" i="50"/>
  <c r="C36" i="43"/>
  <c r="C36" i="57"/>
  <c r="C11" i="57"/>
  <c r="D18" i="50"/>
  <c r="D36" i="43"/>
  <c r="D36" i="57"/>
  <c r="D11" i="57"/>
  <c r="D32" i="50"/>
  <c r="E36" i="43"/>
  <c r="E36" i="57"/>
  <c r="E11" i="57"/>
  <c r="D45" i="50"/>
  <c r="F36" i="43"/>
  <c r="F36" i="57"/>
  <c r="F11" i="57"/>
  <c r="D58" i="50"/>
  <c r="G36" i="43"/>
  <c r="G36" i="57"/>
  <c r="G11" i="57"/>
  <c r="D71" i="50"/>
  <c r="H36" i="43"/>
  <c r="H36" i="57"/>
  <c r="H11" i="57"/>
  <c r="D84" i="50"/>
  <c r="I36" i="43"/>
  <c r="I36" i="57"/>
  <c r="I11" i="57"/>
  <c r="D97" i="50"/>
  <c r="J36" i="43"/>
  <c r="J36" i="57"/>
  <c r="J11" i="57"/>
  <c r="K11" i="57"/>
  <c r="G8" i="2"/>
  <c r="D6" i="50"/>
  <c r="C37" i="43"/>
  <c r="C37" i="57"/>
  <c r="C12" i="57"/>
  <c r="D20" i="50"/>
  <c r="D37" i="43"/>
  <c r="D37" i="57"/>
  <c r="D12" i="57"/>
  <c r="D34" i="50"/>
  <c r="E37" i="43"/>
  <c r="E37" i="57"/>
  <c r="E12" i="57"/>
  <c r="D47" i="50"/>
  <c r="F37" i="43"/>
  <c r="F37" i="57"/>
  <c r="F12" i="57"/>
  <c r="D60" i="50"/>
  <c r="G37" i="43"/>
  <c r="G37" i="57"/>
  <c r="G12" i="57"/>
  <c r="D73" i="50"/>
  <c r="H37" i="43"/>
  <c r="H37" i="57"/>
  <c r="H12" i="57"/>
  <c r="D86" i="50"/>
  <c r="I37" i="43"/>
  <c r="I37" i="57"/>
  <c r="I12" i="57"/>
  <c r="D99" i="50"/>
  <c r="J37" i="43"/>
  <c r="J37" i="57"/>
  <c r="J12" i="57"/>
  <c r="K12" i="57"/>
  <c r="G9" i="2"/>
  <c r="D10" i="50"/>
  <c r="C38" i="43"/>
  <c r="C38" i="57"/>
  <c r="C13" i="57"/>
  <c r="D24" i="50"/>
  <c r="D38" i="43"/>
  <c r="D38" i="57"/>
  <c r="D13" i="57"/>
  <c r="D38" i="50"/>
  <c r="E38" i="43"/>
  <c r="E38" i="57"/>
  <c r="E13" i="57"/>
  <c r="D51" i="50"/>
  <c r="F38" i="43"/>
  <c r="F38" i="57"/>
  <c r="F13" i="57"/>
  <c r="D64" i="50"/>
  <c r="G38" i="43"/>
  <c r="G38" i="57"/>
  <c r="G13" i="57"/>
  <c r="D77" i="50"/>
  <c r="H38" i="43"/>
  <c r="H38" i="57"/>
  <c r="H13" i="57"/>
  <c r="D90" i="50"/>
  <c r="I38" i="43"/>
  <c r="I38" i="57"/>
  <c r="I13" i="57"/>
  <c r="D103" i="50"/>
  <c r="J38" i="43"/>
  <c r="J38" i="57"/>
  <c r="J13" i="57"/>
  <c r="K13" i="57"/>
  <c r="G10" i="2"/>
  <c r="C14" i="57"/>
  <c r="D14" i="57"/>
  <c r="E14" i="57"/>
  <c r="F14" i="57"/>
  <c r="G14" i="57"/>
  <c r="H14" i="57"/>
  <c r="I14" i="57"/>
  <c r="J14" i="57"/>
  <c r="K14" i="57"/>
  <c r="G11" i="2"/>
  <c r="C15" i="57"/>
  <c r="D15" i="57"/>
  <c r="E15" i="57"/>
  <c r="F15" i="57"/>
  <c r="G15" i="57"/>
  <c r="H15" i="57"/>
  <c r="I15" i="57"/>
  <c r="J15" i="57"/>
  <c r="K15" i="57"/>
  <c r="G12" i="2"/>
  <c r="K16" i="57"/>
  <c r="G13" i="2"/>
  <c r="C43" i="57"/>
  <c r="C17" i="57"/>
  <c r="D43" i="57"/>
  <c r="D17" i="57"/>
  <c r="E43" i="57"/>
  <c r="E17" i="57"/>
  <c r="F43" i="57"/>
  <c r="F17" i="57"/>
  <c r="G43" i="57"/>
  <c r="G17" i="57"/>
  <c r="H43" i="57"/>
  <c r="H17" i="57"/>
  <c r="I43" i="57"/>
  <c r="I17" i="57"/>
  <c r="J43" i="57"/>
  <c r="J17" i="57"/>
  <c r="K17" i="57"/>
  <c r="G14" i="2"/>
  <c r="C44" i="57"/>
  <c r="C19" i="57"/>
  <c r="D44" i="57"/>
  <c r="D19" i="57"/>
  <c r="E44" i="57"/>
  <c r="E19" i="57"/>
  <c r="F44" i="57"/>
  <c r="F19" i="57"/>
  <c r="G44" i="57"/>
  <c r="G19" i="57"/>
  <c r="H44" i="57"/>
  <c r="H19" i="57"/>
  <c r="I44" i="57"/>
  <c r="I19" i="57"/>
  <c r="J44" i="57"/>
  <c r="J19" i="57"/>
  <c r="K19" i="57"/>
  <c r="G16" i="2"/>
  <c r="C45" i="57"/>
  <c r="C20" i="57"/>
  <c r="D45" i="57"/>
  <c r="D20" i="57"/>
  <c r="E45" i="57"/>
  <c r="E20" i="57"/>
  <c r="F45" i="57"/>
  <c r="F20" i="57"/>
  <c r="G45" i="57"/>
  <c r="G20" i="57"/>
  <c r="H45" i="57"/>
  <c r="H20" i="57"/>
  <c r="I45" i="57"/>
  <c r="I20" i="57"/>
  <c r="J45" i="57"/>
  <c r="J20" i="57"/>
  <c r="K20" i="57"/>
  <c r="G17" i="2"/>
  <c r="G18" i="2"/>
  <c r="C47" i="57"/>
  <c r="C22" i="57"/>
  <c r="D47" i="57"/>
  <c r="D22" i="57"/>
  <c r="E47" i="57"/>
  <c r="E22" i="57"/>
  <c r="F47" i="57"/>
  <c r="F22" i="57"/>
  <c r="G47" i="57"/>
  <c r="G22" i="57"/>
  <c r="H47" i="57"/>
  <c r="H22" i="57"/>
  <c r="I47" i="57"/>
  <c r="I22" i="57"/>
  <c r="J47" i="57"/>
  <c r="J22" i="57"/>
  <c r="K22" i="57"/>
  <c r="G19" i="2"/>
  <c r="K23" i="57"/>
  <c r="G20" i="2"/>
  <c r="K24" i="57"/>
  <c r="G21" i="2"/>
  <c r="K25" i="57"/>
  <c r="G22" i="2"/>
  <c r="K26" i="57"/>
  <c r="G23" i="2"/>
  <c r="K27" i="57"/>
  <c r="G24" i="2"/>
  <c r="F3" i="2"/>
  <c r="F4" i="2"/>
  <c r="F5" i="2"/>
  <c r="F6" i="2"/>
  <c r="F7" i="2"/>
  <c r="C36" i="59"/>
  <c r="C11" i="59"/>
  <c r="D36" i="59"/>
  <c r="D11" i="59"/>
  <c r="E36" i="59"/>
  <c r="E11" i="59"/>
  <c r="F36" i="59"/>
  <c r="F11" i="59"/>
  <c r="G36" i="59"/>
  <c r="G11" i="59"/>
  <c r="H36" i="59"/>
  <c r="H11" i="59"/>
  <c r="I36" i="59"/>
  <c r="I11" i="59"/>
  <c r="J36" i="59"/>
  <c r="J11" i="59"/>
  <c r="K11" i="59"/>
  <c r="F8" i="2"/>
  <c r="C37" i="59"/>
  <c r="C12" i="59"/>
  <c r="D37" i="59"/>
  <c r="D12" i="59"/>
  <c r="E37" i="59"/>
  <c r="E12" i="59"/>
  <c r="F37" i="59"/>
  <c r="F12" i="59"/>
  <c r="G37" i="59"/>
  <c r="G12" i="59"/>
  <c r="H37" i="59"/>
  <c r="H12" i="59"/>
  <c r="I37" i="59"/>
  <c r="I12" i="59"/>
  <c r="J37" i="59"/>
  <c r="J12" i="59"/>
  <c r="K12" i="59"/>
  <c r="F9" i="2"/>
  <c r="C38" i="59"/>
  <c r="C13" i="59"/>
  <c r="D38" i="59"/>
  <c r="D13" i="59"/>
  <c r="E38" i="59"/>
  <c r="E13" i="59"/>
  <c r="F38" i="59"/>
  <c r="F13" i="59"/>
  <c r="G38" i="59"/>
  <c r="G13" i="59"/>
  <c r="H38" i="59"/>
  <c r="H13" i="59"/>
  <c r="I38" i="59"/>
  <c r="I13" i="59"/>
  <c r="J38" i="59"/>
  <c r="J13" i="59"/>
  <c r="K13" i="59"/>
  <c r="F10" i="2"/>
  <c r="C14" i="59"/>
  <c r="D14" i="59"/>
  <c r="E14" i="59"/>
  <c r="F14" i="59"/>
  <c r="G14" i="59"/>
  <c r="H14" i="59"/>
  <c r="I14" i="59"/>
  <c r="J14" i="59"/>
  <c r="K14" i="59"/>
  <c r="F11" i="2"/>
  <c r="C15" i="59"/>
  <c r="D15" i="59"/>
  <c r="E15" i="59"/>
  <c r="F15" i="59"/>
  <c r="G15" i="59"/>
  <c r="H15" i="59"/>
  <c r="I15" i="59"/>
  <c r="J15" i="59"/>
  <c r="K15" i="59"/>
  <c r="F12" i="2"/>
  <c r="K16" i="59"/>
  <c r="F13" i="2"/>
  <c r="C43" i="59"/>
  <c r="C17" i="59"/>
  <c r="D43" i="59"/>
  <c r="D17" i="59"/>
  <c r="E43" i="59"/>
  <c r="E17" i="59"/>
  <c r="F43" i="59"/>
  <c r="F17" i="59"/>
  <c r="G43" i="59"/>
  <c r="G17" i="59"/>
  <c r="H43" i="59"/>
  <c r="H17" i="59"/>
  <c r="I43" i="59"/>
  <c r="I17" i="59"/>
  <c r="J43" i="59"/>
  <c r="J17" i="59"/>
  <c r="K17" i="59"/>
  <c r="F14" i="2"/>
  <c r="C44" i="59"/>
  <c r="C19" i="59"/>
  <c r="D44" i="59"/>
  <c r="D19" i="59"/>
  <c r="E44" i="59"/>
  <c r="E19" i="59"/>
  <c r="F44" i="59"/>
  <c r="F19" i="59"/>
  <c r="G44" i="59"/>
  <c r="G19" i="59"/>
  <c r="H44" i="59"/>
  <c r="H19" i="59"/>
  <c r="I44" i="59"/>
  <c r="I19" i="59"/>
  <c r="J44" i="59"/>
  <c r="J19" i="59"/>
  <c r="K19" i="59"/>
  <c r="F16" i="2"/>
  <c r="C45" i="59"/>
  <c r="C20" i="59"/>
  <c r="D45" i="59"/>
  <c r="D20" i="59"/>
  <c r="E45" i="59"/>
  <c r="E20" i="59"/>
  <c r="F45" i="59"/>
  <c r="F20" i="59"/>
  <c r="G45" i="59"/>
  <c r="G20" i="59"/>
  <c r="H45" i="59"/>
  <c r="H20" i="59"/>
  <c r="I45" i="59"/>
  <c r="I20" i="59"/>
  <c r="J45" i="59"/>
  <c r="J20" i="59"/>
  <c r="K20" i="59"/>
  <c r="F17" i="2"/>
  <c r="F18" i="2"/>
  <c r="C47" i="59"/>
  <c r="C22" i="59"/>
  <c r="D47" i="59"/>
  <c r="D22" i="59"/>
  <c r="E47" i="59"/>
  <c r="E22" i="59"/>
  <c r="F47" i="59"/>
  <c r="F22" i="59"/>
  <c r="G47" i="59"/>
  <c r="G22" i="59"/>
  <c r="H47" i="59"/>
  <c r="H22" i="59"/>
  <c r="I47" i="59"/>
  <c r="I22" i="59"/>
  <c r="J47" i="59"/>
  <c r="J22" i="59"/>
  <c r="K22" i="59"/>
  <c r="F19" i="2"/>
  <c r="K23" i="59"/>
  <c r="F20" i="2"/>
  <c r="K24" i="59"/>
  <c r="F21" i="2"/>
  <c r="K25" i="59"/>
  <c r="F22" i="2"/>
  <c r="C23" i="59"/>
  <c r="C24" i="59"/>
  <c r="C25" i="59"/>
  <c r="C26" i="59"/>
  <c r="D23" i="59"/>
  <c r="D24" i="59"/>
  <c r="D25" i="59"/>
  <c r="D26" i="59"/>
  <c r="E23" i="59"/>
  <c r="E24" i="59"/>
  <c r="E25" i="59"/>
  <c r="E26" i="59"/>
  <c r="F23" i="59"/>
  <c r="F24" i="59"/>
  <c r="F25" i="59"/>
  <c r="F26" i="59"/>
  <c r="G23" i="59"/>
  <c r="G24" i="59"/>
  <c r="G25" i="59"/>
  <c r="G26" i="59"/>
  <c r="H23" i="59"/>
  <c r="H24" i="59"/>
  <c r="H25" i="59"/>
  <c r="H26" i="59"/>
  <c r="I23" i="59"/>
  <c r="I24" i="59"/>
  <c r="I25" i="59"/>
  <c r="I26" i="59"/>
  <c r="J23" i="59"/>
  <c r="J24" i="59"/>
  <c r="J25" i="59"/>
  <c r="J26" i="59"/>
  <c r="K26" i="59"/>
  <c r="F23" i="2"/>
  <c r="K27" i="59"/>
  <c r="F24" i="2"/>
  <c r="E3" i="2"/>
  <c r="E4" i="2"/>
  <c r="E5" i="2"/>
  <c r="E6" i="2"/>
  <c r="E7" i="2"/>
  <c r="C36" i="58"/>
  <c r="C11" i="58"/>
  <c r="D36" i="58"/>
  <c r="D11" i="58"/>
  <c r="E36" i="58"/>
  <c r="E11" i="58"/>
  <c r="F36" i="58"/>
  <c r="F11" i="58"/>
  <c r="G36" i="58"/>
  <c r="G11" i="58"/>
  <c r="H36" i="58"/>
  <c r="H11" i="58"/>
  <c r="I36" i="58"/>
  <c r="I11" i="58"/>
  <c r="J36" i="58"/>
  <c r="J11" i="58"/>
  <c r="K11" i="58"/>
  <c r="E8" i="2"/>
  <c r="C37" i="58"/>
  <c r="C12" i="58"/>
  <c r="D37" i="58"/>
  <c r="D12" i="58"/>
  <c r="E37" i="58"/>
  <c r="E12" i="58"/>
  <c r="F37" i="58"/>
  <c r="F12" i="58"/>
  <c r="G37" i="58"/>
  <c r="G12" i="58"/>
  <c r="H37" i="58"/>
  <c r="H12" i="58"/>
  <c r="I37" i="58"/>
  <c r="I12" i="58"/>
  <c r="J37" i="58"/>
  <c r="J12" i="58"/>
  <c r="K12" i="58"/>
  <c r="E9" i="2"/>
  <c r="C38" i="58"/>
  <c r="C13" i="58"/>
  <c r="D38" i="58"/>
  <c r="D13" i="58"/>
  <c r="E38" i="58"/>
  <c r="E13" i="58"/>
  <c r="F38" i="58"/>
  <c r="F13" i="58"/>
  <c r="G38" i="58"/>
  <c r="G13" i="58"/>
  <c r="H38" i="58"/>
  <c r="H13" i="58"/>
  <c r="I38" i="58"/>
  <c r="I13" i="58"/>
  <c r="J38" i="58"/>
  <c r="J13" i="58"/>
  <c r="K13" i="58"/>
  <c r="E10" i="2"/>
  <c r="C14" i="58"/>
  <c r="D14" i="58"/>
  <c r="E14" i="58"/>
  <c r="F14" i="58"/>
  <c r="G14" i="58"/>
  <c r="H14" i="58"/>
  <c r="I14" i="58"/>
  <c r="J14" i="58"/>
  <c r="K14" i="58"/>
  <c r="E11" i="2"/>
  <c r="C15" i="58"/>
  <c r="D15" i="58"/>
  <c r="E15" i="58"/>
  <c r="F15" i="58"/>
  <c r="G15" i="58"/>
  <c r="H15" i="58"/>
  <c r="I15" i="58"/>
  <c r="J15" i="58"/>
  <c r="K15" i="58"/>
  <c r="E12" i="2"/>
  <c r="K16" i="58"/>
  <c r="E13" i="2"/>
  <c r="E14" i="2"/>
  <c r="E16" i="2"/>
  <c r="E17" i="2"/>
  <c r="E18" i="2"/>
  <c r="E19" i="2"/>
  <c r="K24" i="58"/>
  <c r="E21" i="2"/>
  <c r="K25" i="58"/>
  <c r="E22" i="2"/>
  <c r="C23" i="58"/>
  <c r="C24" i="58"/>
  <c r="C25" i="58"/>
  <c r="C26" i="58"/>
  <c r="D23" i="58"/>
  <c r="D24" i="58"/>
  <c r="D25" i="58"/>
  <c r="D26" i="58"/>
  <c r="E24" i="58"/>
  <c r="E25" i="58"/>
  <c r="E26" i="58"/>
  <c r="F23" i="58"/>
  <c r="F24" i="58"/>
  <c r="F25" i="58"/>
  <c r="F26" i="58"/>
  <c r="G23" i="58"/>
  <c r="G24" i="58"/>
  <c r="G25" i="58"/>
  <c r="G26" i="58"/>
  <c r="H23" i="58"/>
  <c r="H24" i="58"/>
  <c r="H25" i="58"/>
  <c r="H26" i="58"/>
  <c r="I23" i="58"/>
  <c r="I24" i="58"/>
  <c r="I25" i="58"/>
  <c r="I26" i="58"/>
  <c r="J23" i="58"/>
  <c r="J24" i="58"/>
  <c r="J25" i="58"/>
  <c r="J26" i="58"/>
  <c r="K26" i="58"/>
  <c r="E23" i="2"/>
  <c r="K27" i="58"/>
  <c r="E24" i="2"/>
  <c r="D29" i="2"/>
  <c r="E29" i="2"/>
  <c r="F29" i="2"/>
  <c r="G29" i="2"/>
  <c r="D30" i="2"/>
  <c r="E30" i="2"/>
  <c r="F30" i="2"/>
  <c r="G30" i="2"/>
  <c r="D31" i="2"/>
  <c r="E31" i="2"/>
  <c r="F31" i="2"/>
  <c r="G31" i="2"/>
  <c r="D32" i="2"/>
  <c r="E32" i="2"/>
  <c r="F32" i="2"/>
  <c r="G32" i="2"/>
  <c r="C36" i="56"/>
  <c r="C11" i="56"/>
  <c r="D36" i="56"/>
  <c r="D11" i="56"/>
  <c r="E36" i="56"/>
  <c r="E11" i="56"/>
  <c r="F36" i="56"/>
  <c r="F11" i="56"/>
  <c r="G36" i="56"/>
  <c r="G11" i="56"/>
  <c r="H36" i="56"/>
  <c r="H11" i="56"/>
  <c r="I36" i="56"/>
  <c r="I11" i="56"/>
  <c r="J36" i="56"/>
  <c r="J11" i="56"/>
  <c r="K11" i="56"/>
  <c r="D8" i="2"/>
  <c r="D34" i="2"/>
  <c r="E34" i="2"/>
  <c r="F34" i="2"/>
  <c r="G34" i="2"/>
  <c r="C37" i="56"/>
  <c r="C12" i="56"/>
  <c r="D37" i="56"/>
  <c r="D12" i="56"/>
  <c r="E37" i="56"/>
  <c r="E12" i="56"/>
  <c r="F37" i="56"/>
  <c r="F12" i="56"/>
  <c r="G37" i="56"/>
  <c r="G12" i="56"/>
  <c r="H37" i="56"/>
  <c r="H12" i="56"/>
  <c r="I37" i="56"/>
  <c r="I12" i="56"/>
  <c r="J37" i="56"/>
  <c r="J12" i="56"/>
  <c r="K12" i="56"/>
  <c r="D9" i="2"/>
  <c r="D35" i="2"/>
  <c r="E35" i="2"/>
  <c r="F35" i="2"/>
  <c r="G35" i="2"/>
  <c r="C38" i="56"/>
  <c r="C13" i="56"/>
  <c r="D38" i="56"/>
  <c r="D13" i="56"/>
  <c r="E38" i="56"/>
  <c r="E13" i="56"/>
  <c r="F38" i="56"/>
  <c r="F13" i="56"/>
  <c r="G38" i="56"/>
  <c r="G13" i="56"/>
  <c r="H38" i="56"/>
  <c r="H13" i="56"/>
  <c r="I38" i="56"/>
  <c r="I13" i="56"/>
  <c r="J38" i="56"/>
  <c r="J13" i="56"/>
  <c r="K13" i="56"/>
  <c r="D10" i="2"/>
  <c r="D36" i="2"/>
  <c r="E36" i="2"/>
  <c r="F36" i="2"/>
  <c r="G36" i="2"/>
  <c r="C14" i="56"/>
  <c r="C15" i="56"/>
  <c r="D14" i="56"/>
  <c r="D15" i="56"/>
  <c r="E14" i="56"/>
  <c r="E15" i="56"/>
  <c r="F14" i="56"/>
  <c r="F15" i="56"/>
  <c r="G14" i="56"/>
  <c r="G15" i="56"/>
  <c r="H14" i="56"/>
  <c r="H15" i="56"/>
  <c r="I14" i="56"/>
  <c r="I15" i="56"/>
  <c r="J14" i="56"/>
  <c r="J15" i="56"/>
  <c r="K15" i="56"/>
  <c r="D12" i="2"/>
  <c r="D38" i="2"/>
  <c r="E38" i="2"/>
  <c r="F38" i="2"/>
  <c r="G38" i="2"/>
  <c r="C47" i="56"/>
  <c r="C22" i="56"/>
  <c r="D47" i="56"/>
  <c r="D22" i="56"/>
  <c r="E47" i="56"/>
  <c r="E22" i="56"/>
  <c r="F47" i="56"/>
  <c r="F22" i="56"/>
  <c r="G47" i="56"/>
  <c r="G22" i="56"/>
  <c r="H47" i="56"/>
  <c r="H22" i="56"/>
  <c r="I47" i="56"/>
  <c r="I22" i="56"/>
  <c r="J47" i="56"/>
  <c r="J22" i="56"/>
  <c r="K22" i="56"/>
  <c r="C45" i="56"/>
  <c r="C20" i="56"/>
  <c r="D45" i="56"/>
  <c r="D20" i="56"/>
  <c r="E45" i="56"/>
  <c r="E20" i="56"/>
  <c r="F45" i="56"/>
  <c r="F20" i="56"/>
  <c r="G45" i="56"/>
  <c r="G20" i="56"/>
  <c r="H45" i="56"/>
  <c r="H20" i="56"/>
  <c r="I45" i="56"/>
  <c r="I20" i="56"/>
  <c r="J45" i="56"/>
  <c r="J20" i="56"/>
  <c r="K20" i="56"/>
  <c r="C44" i="56"/>
  <c r="C19" i="56"/>
  <c r="D44" i="56"/>
  <c r="D19" i="56"/>
  <c r="E44" i="56"/>
  <c r="E19" i="56"/>
  <c r="F44" i="56"/>
  <c r="F19" i="56"/>
  <c r="G44" i="56"/>
  <c r="G19" i="56"/>
  <c r="H44" i="56"/>
  <c r="H19" i="56"/>
  <c r="I44" i="56"/>
  <c r="I19" i="56"/>
  <c r="J44" i="56"/>
  <c r="J19" i="56"/>
  <c r="K19" i="56"/>
  <c r="C43" i="56"/>
  <c r="C17" i="56"/>
  <c r="D43" i="56"/>
  <c r="D17" i="56"/>
  <c r="E43" i="56"/>
  <c r="E17" i="56"/>
  <c r="F43" i="56"/>
  <c r="F17" i="56"/>
  <c r="G43" i="56"/>
  <c r="G17" i="56"/>
  <c r="H43" i="56"/>
  <c r="H17" i="56"/>
  <c r="I43" i="56"/>
  <c r="I17" i="56"/>
  <c r="J43" i="56"/>
  <c r="J17" i="56"/>
  <c r="K17" i="56"/>
  <c r="K23" i="56"/>
  <c r="D20" i="2"/>
  <c r="D39" i="2"/>
  <c r="E39" i="2"/>
  <c r="F39" i="2"/>
  <c r="G39" i="2"/>
  <c r="D9" i="57"/>
  <c r="E9" i="57"/>
  <c r="F9" i="57"/>
  <c r="G9" i="57"/>
  <c r="H9" i="57"/>
  <c r="I9" i="57"/>
  <c r="J9" i="57"/>
  <c r="D10" i="57"/>
  <c r="E10" i="57"/>
  <c r="F10" i="57"/>
  <c r="G10" i="57"/>
  <c r="H10" i="57"/>
  <c r="I10" i="57"/>
  <c r="J10" i="57"/>
  <c r="D16" i="57"/>
  <c r="E16" i="57"/>
  <c r="F16" i="57"/>
  <c r="G16" i="57"/>
  <c r="H16" i="57"/>
  <c r="I16" i="57"/>
  <c r="J16" i="57"/>
  <c r="K6" i="57"/>
  <c r="D18" i="57"/>
  <c r="E18" i="57"/>
  <c r="F18" i="57"/>
  <c r="G18" i="57"/>
  <c r="H18" i="57"/>
  <c r="I18" i="57"/>
  <c r="J18" i="57"/>
  <c r="D21" i="57"/>
  <c r="E21" i="57"/>
  <c r="F21" i="57"/>
  <c r="G21" i="57"/>
  <c r="H21" i="57"/>
  <c r="I21" i="57"/>
  <c r="J21" i="57"/>
  <c r="D23" i="57"/>
  <c r="E23" i="57"/>
  <c r="F23" i="57"/>
  <c r="G23" i="57"/>
  <c r="H23" i="57"/>
  <c r="I23" i="57"/>
  <c r="J23" i="57"/>
  <c r="D24" i="57"/>
  <c r="E24" i="57"/>
  <c r="F24" i="57"/>
  <c r="G24" i="57"/>
  <c r="H24" i="57"/>
  <c r="I24" i="57"/>
  <c r="J24" i="57"/>
  <c r="D25" i="57"/>
  <c r="E25" i="57"/>
  <c r="F25" i="57"/>
  <c r="G25" i="57"/>
  <c r="H25" i="57"/>
  <c r="I25" i="57"/>
  <c r="J25" i="57"/>
  <c r="D26" i="57"/>
  <c r="E26" i="57"/>
  <c r="F26" i="57"/>
  <c r="G26" i="57"/>
  <c r="H26" i="57"/>
  <c r="I26" i="57"/>
  <c r="J26" i="57"/>
  <c r="D27" i="57"/>
  <c r="E27" i="57"/>
  <c r="F27" i="57"/>
  <c r="G27" i="57"/>
  <c r="H27" i="57"/>
  <c r="I27" i="57"/>
  <c r="J27" i="57"/>
  <c r="D7" i="57"/>
  <c r="E7" i="57"/>
  <c r="F7" i="57"/>
  <c r="G7" i="57"/>
  <c r="H7" i="57"/>
  <c r="I7" i="57"/>
  <c r="J7" i="57"/>
  <c r="D9" i="59"/>
  <c r="E9" i="59"/>
  <c r="F9" i="59"/>
  <c r="G9" i="59"/>
  <c r="H9" i="59"/>
  <c r="I9" i="59"/>
  <c r="J9" i="59"/>
  <c r="D10" i="59"/>
  <c r="E10" i="59"/>
  <c r="F10" i="59"/>
  <c r="G10" i="59"/>
  <c r="H10" i="59"/>
  <c r="I10" i="59"/>
  <c r="J10" i="59"/>
  <c r="D16" i="59"/>
  <c r="E16" i="59"/>
  <c r="F16" i="59"/>
  <c r="G16" i="59"/>
  <c r="H16" i="59"/>
  <c r="I16" i="59"/>
  <c r="J16" i="59"/>
  <c r="D18" i="59"/>
  <c r="E18" i="59"/>
  <c r="F18" i="59"/>
  <c r="G18" i="59"/>
  <c r="H18" i="59"/>
  <c r="I18" i="59"/>
  <c r="J18" i="59"/>
  <c r="D21" i="59"/>
  <c r="E21" i="59"/>
  <c r="F21" i="59"/>
  <c r="G21" i="59"/>
  <c r="H21" i="59"/>
  <c r="I21" i="59"/>
  <c r="J21" i="59"/>
  <c r="D27" i="59"/>
  <c r="E27" i="59"/>
  <c r="F27" i="59"/>
  <c r="G27" i="59"/>
  <c r="H27" i="59"/>
  <c r="I27" i="59"/>
  <c r="J27" i="59"/>
  <c r="D7" i="59"/>
  <c r="E7" i="59"/>
  <c r="F7" i="59"/>
  <c r="G7" i="59"/>
  <c r="H7" i="59"/>
  <c r="I7" i="59"/>
  <c r="J7" i="59"/>
  <c r="D8" i="57"/>
  <c r="E8" i="57"/>
  <c r="F8" i="57"/>
  <c r="G8" i="57"/>
  <c r="H8" i="57"/>
  <c r="I8" i="57"/>
  <c r="J8" i="57"/>
  <c r="C8" i="57"/>
  <c r="D8" i="59"/>
  <c r="E8" i="59"/>
  <c r="F8" i="59"/>
  <c r="G8" i="59"/>
  <c r="H8" i="59"/>
  <c r="I8" i="59"/>
  <c r="J8" i="59"/>
  <c r="C8" i="59"/>
  <c r="D34" i="56"/>
  <c r="E34" i="56"/>
  <c r="F34" i="56"/>
  <c r="G34" i="56"/>
  <c r="H34" i="56"/>
  <c r="I34" i="56"/>
  <c r="J34" i="56"/>
  <c r="C17" i="55"/>
  <c r="D17" i="55"/>
  <c r="E17" i="55"/>
  <c r="F17" i="55"/>
  <c r="G17" i="55"/>
  <c r="H17" i="55"/>
  <c r="I17" i="55"/>
  <c r="J17" i="55"/>
  <c r="D33" i="56"/>
  <c r="D33" i="58"/>
  <c r="D10" i="58"/>
  <c r="E33" i="56"/>
  <c r="E33" i="58"/>
  <c r="E10" i="58"/>
  <c r="F33" i="56"/>
  <c r="F33" i="58"/>
  <c r="F10" i="58"/>
  <c r="G33" i="56"/>
  <c r="G33" i="58"/>
  <c r="G10" i="58"/>
  <c r="H33" i="56"/>
  <c r="H33" i="58"/>
  <c r="H10" i="58"/>
  <c r="I33" i="56"/>
  <c r="I33" i="58"/>
  <c r="I10" i="58"/>
  <c r="J33" i="56"/>
  <c r="J33" i="58"/>
  <c r="J10" i="58"/>
  <c r="D16" i="58"/>
  <c r="E16" i="58"/>
  <c r="F16" i="58"/>
  <c r="G16" i="58"/>
  <c r="H16" i="58"/>
  <c r="I16" i="58"/>
  <c r="J16" i="58"/>
  <c r="D18" i="58"/>
  <c r="E18" i="58"/>
  <c r="F18" i="58"/>
  <c r="G18" i="58"/>
  <c r="H18" i="58"/>
  <c r="I18" i="58"/>
  <c r="J18" i="58"/>
  <c r="D21" i="58"/>
  <c r="E21" i="58"/>
  <c r="F21" i="58"/>
  <c r="G21" i="58"/>
  <c r="H21" i="58"/>
  <c r="I21" i="58"/>
  <c r="J21" i="58"/>
  <c r="D27" i="58"/>
  <c r="E27" i="58"/>
  <c r="F27" i="58"/>
  <c r="G27" i="58"/>
  <c r="H27" i="58"/>
  <c r="I27" i="58"/>
  <c r="J27" i="58"/>
  <c r="D33" i="59"/>
  <c r="D33" i="57"/>
  <c r="E33" i="59"/>
  <c r="E33" i="57"/>
  <c r="F33" i="59"/>
  <c r="F33" i="57"/>
  <c r="G33" i="59"/>
  <c r="G33" i="57"/>
  <c r="H33" i="59"/>
  <c r="H33" i="57"/>
  <c r="I33" i="59"/>
  <c r="I33" i="57"/>
  <c r="J33" i="59"/>
  <c r="J33" i="57"/>
  <c r="C33" i="56"/>
  <c r="C33" i="58"/>
  <c r="C33" i="59"/>
  <c r="C33" i="57"/>
  <c r="C10" i="57"/>
  <c r="C10" i="59"/>
  <c r="C10" i="58"/>
  <c r="D7" i="58"/>
  <c r="E7" i="58"/>
  <c r="F7" i="58"/>
  <c r="G7" i="58"/>
  <c r="H7" i="58"/>
  <c r="I7" i="58"/>
  <c r="J7" i="58"/>
  <c r="D8" i="58"/>
  <c r="E8" i="58"/>
  <c r="F8" i="58"/>
  <c r="G8" i="58"/>
  <c r="H8" i="58"/>
  <c r="I8" i="58"/>
  <c r="J8" i="58"/>
  <c r="D9" i="58"/>
  <c r="E9" i="58"/>
  <c r="F9" i="58"/>
  <c r="G9" i="58"/>
  <c r="H9" i="58"/>
  <c r="I9" i="58"/>
  <c r="J9" i="58"/>
  <c r="C8" i="58"/>
  <c r="D21" i="56"/>
  <c r="E21" i="56"/>
  <c r="F21" i="56"/>
  <c r="G21" i="56"/>
  <c r="H21" i="56"/>
  <c r="I21" i="56"/>
  <c r="J21" i="56"/>
  <c r="D23" i="56"/>
  <c r="E23" i="56"/>
  <c r="F23" i="56"/>
  <c r="G23" i="56"/>
  <c r="H23" i="56"/>
  <c r="I23" i="56"/>
  <c r="J23" i="56"/>
  <c r="D10" i="56"/>
  <c r="D24" i="56"/>
  <c r="E10" i="56"/>
  <c r="E24" i="56"/>
  <c r="F10" i="56"/>
  <c r="F24" i="56"/>
  <c r="G10" i="56"/>
  <c r="G24" i="56"/>
  <c r="H10" i="56"/>
  <c r="H24" i="56"/>
  <c r="I10" i="56"/>
  <c r="I24" i="56"/>
  <c r="J10" i="56"/>
  <c r="J24" i="56"/>
  <c r="D25" i="56"/>
  <c r="E25" i="56"/>
  <c r="F25" i="56"/>
  <c r="G25" i="56"/>
  <c r="H25" i="56"/>
  <c r="I25" i="56"/>
  <c r="J25" i="56"/>
  <c r="D26" i="56"/>
  <c r="E26" i="56"/>
  <c r="F26" i="56"/>
  <c r="G26" i="56"/>
  <c r="H26" i="56"/>
  <c r="I26" i="56"/>
  <c r="J26" i="56"/>
  <c r="D27" i="56"/>
  <c r="E27" i="56"/>
  <c r="F27" i="56"/>
  <c r="G27" i="56"/>
  <c r="H27" i="56"/>
  <c r="I27" i="56"/>
  <c r="J27" i="56"/>
  <c r="D18" i="56"/>
  <c r="E18" i="56"/>
  <c r="F18" i="56"/>
  <c r="G18" i="56"/>
  <c r="H18" i="56"/>
  <c r="I18" i="56"/>
  <c r="J18" i="56"/>
  <c r="D16" i="56"/>
  <c r="E16" i="56"/>
  <c r="F16" i="56"/>
  <c r="G16" i="56"/>
  <c r="H16" i="56"/>
  <c r="I16" i="56"/>
  <c r="J16" i="56"/>
  <c r="D32" i="57"/>
  <c r="D34" i="57"/>
  <c r="D40" i="57"/>
  <c r="D46" i="57"/>
  <c r="D48" i="57"/>
  <c r="E32" i="57"/>
  <c r="E34" i="57"/>
  <c r="E40" i="57"/>
  <c r="E46" i="57"/>
  <c r="E48" i="57"/>
  <c r="F32" i="57"/>
  <c r="F34" i="57"/>
  <c r="F40" i="57"/>
  <c r="F46" i="57"/>
  <c r="F48" i="57"/>
  <c r="G32" i="57"/>
  <c r="G34" i="57"/>
  <c r="G40" i="57"/>
  <c r="G46" i="57"/>
  <c r="G48" i="57"/>
  <c r="H32" i="57"/>
  <c r="H34" i="57"/>
  <c r="H40" i="57"/>
  <c r="H46" i="57"/>
  <c r="H48" i="57"/>
  <c r="I32" i="57"/>
  <c r="I34" i="57"/>
  <c r="I40" i="57"/>
  <c r="I46" i="57"/>
  <c r="I48" i="57"/>
  <c r="J32" i="57"/>
  <c r="J34" i="57"/>
  <c r="J40" i="57"/>
  <c r="J46" i="57"/>
  <c r="J48" i="57"/>
  <c r="D32" i="59"/>
  <c r="D34" i="59"/>
  <c r="D40" i="59"/>
  <c r="D46" i="59"/>
  <c r="D48" i="59"/>
  <c r="E32" i="59"/>
  <c r="E34" i="59"/>
  <c r="E40" i="59"/>
  <c r="E46" i="59"/>
  <c r="E48" i="59"/>
  <c r="F32" i="59"/>
  <c r="F34" i="59"/>
  <c r="F40" i="59"/>
  <c r="F46" i="59"/>
  <c r="F48" i="59"/>
  <c r="G32" i="59"/>
  <c r="G34" i="59"/>
  <c r="G40" i="59"/>
  <c r="G46" i="59"/>
  <c r="G48" i="59"/>
  <c r="H32" i="59"/>
  <c r="H34" i="59"/>
  <c r="H40" i="59"/>
  <c r="H46" i="59"/>
  <c r="H48" i="59"/>
  <c r="I32" i="59"/>
  <c r="I34" i="59"/>
  <c r="I40" i="59"/>
  <c r="I46" i="59"/>
  <c r="I48" i="59"/>
  <c r="J32" i="59"/>
  <c r="J34" i="59"/>
  <c r="J40" i="59"/>
  <c r="J46" i="59"/>
  <c r="J48" i="59"/>
  <c r="D32" i="58"/>
  <c r="D34" i="58"/>
  <c r="D40" i="58"/>
  <c r="E32" i="58"/>
  <c r="E34" i="58"/>
  <c r="E40" i="58"/>
  <c r="F32" i="58"/>
  <c r="F34" i="58"/>
  <c r="F40" i="58"/>
  <c r="G32" i="58"/>
  <c r="G34" i="58"/>
  <c r="G40" i="58"/>
  <c r="H32" i="58"/>
  <c r="H34" i="58"/>
  <c r="H40" i="58"/>
  <c r="I32" i="58"/>
  <c r="I34" i="58"/>
  <c r="I40" i="58"/>
  <c r="J32" i="58"/>
  <c r="J34" i="58"/>
  <c r="J40" i="58"/>
  <c r="D46" i="58"/>
  <c r="D48" i="58"/>
  <c r="E46" i="58"/>
  <c r="E48" i="58"/>
  <c r="F46" i="58"/>
  <c r="F48" i="58"/>
  <c r="G46" i="58"/>
  <c r="G48" i="58"/>
  <c r="H46" i="58"/>
  <c r="H48" i="58"/>
  <c r="I46" i="58"/>
  <c r="I48" i="58"/>
  <c r="J46" i="58"/>
  <c r="J48" i="58"/>
  <c r="C9" i="58"/>
  <c r="C32" i="58"/>
  <c r="C34" i="58"/>
  <c r="C40" i="58"/>
  <c r="F46" i="56"/>
  <c r="F40" i="56"/>
  <c r="F48" i="56"/>
  <c r="G46" i="56"/>
  <c r="G40" i="56"/>
  <c r="G48" i="56"/>
  <c r="H46" i="56"/>
  <c r="H40" i="56"/>
  <c r="H48" i="56"/>
  <c r="I46" i="56"/>
  <c r="I40" i="56"/>
  <c r="I48" i="56"/>
  <c r="J46" i="56"/>
  <c r="J40" i="56"/>
  <c r="J48" i="56"/>
  <c r="D40" i="56"/>
  <c r="E40" i="56"/>
  <c r="D32" i="56"/>
  <c r="E32" i="56"/>
  <c r="F32" i="56"/>
  <c r="G32" i="56"/>
  <c r="H32" i="56"/>
  <c r="I32" i="56"/>
  <c r="J32" i="56"/>
  <c r="C31" i="57"/>
  <c r="D31" i="57"/>
  <c r="E31" i="57"/>
  <c r="F31" i="57"/>
  <c r="G31" i="57"/>
  <c r="H31" i="57"/>
  <c r="I31" i="57"/>
  <c r="J31" i="57"/>
  <c r="C31" i="59"/>
  <c r="D31" i="59"/>
  <c r="E31" i="59"/>
  <c r="F31" i="59"/>
  <c r="G31" i="59"/>
  <c r="H31" i="59"/>
  <c r="I31" i="59"/>
  <c r="J31" i="59"/>
  <c r="C31" i="58"/>
  <c r="D31" i="58"/>
  <c r="E31" i="58"/>
  <c r="F31" i="58"/>
  <c r="G31" i="58"/>
  <c r="H31" i="58"/>
  <c r="I31" i="58"/>
  <c r="J31" i="58"/>
  <c r="C31" i="56"/>
  <c r="D31" i="56"/>
  <c r="E31" i="56"/>
  <c r="F31" i="56"/>
  <c r="G31" i="56"/>
  <c r="H31" i="56"/>
  <c r="I31" i="56"/>
  <c r="J31" i="56"/>
  <c r="C6" i="57"/>
  <c r="D6" i="57"/>
  <c r="E6" i="57"/>
  <c r="F6" i="57"/>
  <c r="G6" i="57"/>
  <c r="H6" i="57"/>
  <c r="I6" i="57"/>
  <c r="J6" i="57"/>
  <c r="C6" i="59"/>
  <c r="D6" i="59"/>
  <c r="E6" i="59"/>
  <c r="F6" i="59"/>
  <c r="G6" i="59"/>
  <c r="H6" i="59"/>
  <c r="I6" i="59"/>
  <c r="J6" i="59"/>
  <c r="C6" i="58"/>
  <c r="D6" i="58"/>
  <c r="E6" i="58"/>
  <c r="F6" i="58"/>
  <c r="G6" i="58"/>
  <c r="H6" i="58"/>
  <c r="I6" i="58"/>
  <c r="J6" i="58"/>
  <c r="C7" i="58"/>
  <c r="C3" i="57"/>
  <c r="D3" i="57"/>
  <c r="E3" i="57"/>
  <c r="F3" i="57"/>
  <c r="G3" i="57"/>
  <c r="H3" i="57"/>
  <c r="I3" i="57"/>
  <c r="J3" i="57"/>
  <c r="C4" i="57"/>
  <c r="D4" i="57"/>
  <c r="E4" i="57"/>
  <c r="F4" i="57"/>
  <c r="G4" i="57"/>
  <c r="H4" i="57"/>
  <c r="I4" i="57"/>
  <c r="J4" i="57"/>
  <c r="C3" i="59"/>
  <c r="D3" i="59"/>
  <c r="E3" i="59"/>
  <c r="F3" i="59"/>
  <c r="G3" i="59"/>
  <c r="H3" i="59"/>
  <c r="I3" i="59"/>
  <c r="J3" i="59"/>
  <c r="C4" i="59"/>
  <c r="D4" i="59"/>
  <c r="E4" i="59"/>
  <c r="F4" i="59"/>
  <c r="G4" i="59"/>
  <c r="H4" i="59"/>
  <c r="I4" i="59"/>
  <c r="J4" i="59"/>
  <c r="C3" i="58"/>
  <c r="D3" i="58"/>
  <c r="E3" i="58"/>
  <c r="F3" i="58"/>
  <c r="G3" i="58"/>
  <c r="H3" i="58"/>
  <c r="I3" i="58"/>
  <c r="J3" i="58"/>
  <c r="C4" i="58"/>
  <c r="D4" i="58"/>
  <c r="E4" i="58"/>
  <c r="F4" i="58"/>
  <c r="G4" i="58"/>
  <c r="H4" i="58"/>
  <c r="I4" i="58"/>
  <c r="J4" i="58"/>
  <c r="C10" i="56"/>
  <c r="K7" i="56"/>
  <c r="D9" i="56"/>
  <c r="E9" i="56"/>
  <c r="F9" i="56"/>
  <c r="G9" i="56"/>
  <c r="H9" i="56"/>
  <c r="I9" i="56"/>
  <c r="J9" i="56"/>
  <c r="D8" i="56"/>
  <c r="E8" i="56"/>
  <c r="F8" i="56"/>
  <c r="G8" i="56"/>
  <c r="H8" i="56"/>
  <c r="I8" i="56"/>
  <c r="J8" i="56"/>
  <c r="D7" i="56"/>
  <c r="E7" i="56"/>
  <c r="F7" i="56"/>
  <c r="G7" i="56"/>
  <c r="H7" i="56"/>
  <c r="I7" i="56"/>
  <c r="J7" i="56"/>
  <c r="C6" i="56"/>
  <c r="D6" i="56"/>
  <c r="E6" i="56"/>
  <c r="F6" i="56"/>
  <c r="G6" i="56"/>
  <c r="H6" i="56"/>
  <c r="I6" i="56"/>
  <c r="J6" i="56"/>
  <c r="C3" i="56"/>
  <c r="D3" i="56"/>
  <c r="E3" i="56"/>
  <c r="F3" i="56"/>
  <c r="G3" i="56"/>
  <c r="H3" i="56"/>
  <c r="I3" i="56"/>
  <c r="J3" i="56"/>
  <c r="C4" i="56"/>
  <c r="D4" i="56"/>
  <c r="E4" i="56"/>
  <c r="F4" i="56"/>
  <c r="G4" i="56"/>
  <c r="H4" i="56"/>
  <c r="I4" i="56"/>
  <c r="J4" i="56"/>
  <c r="C7" i="56"/>
  <c r="C8" i="56"/>
  <c r="C9" i="56"/>
  <c r="C22" i="43"/>
  <c r="C20" i="43"/>
  <c r="C19" i="43"/>
  <c r="C17" i="43"/>
  <c r="C23" i="43"/>
  <c r="E12" i="53"/>
  <c r="F12" i="53"/>
  <c r="G12" i="53"/>
  <c r="H12" i="53"/>
  <c r="I12" i="53"/>
  <c r="J12" i="53"/>
  <c r="K12" i="53"/>
  <c r="D18" i="55"/>
  <c r="E18" i="55"/>
  <c r="F18" i="55"/>
  <c r="G18" i="55"/>
  <c r="H18" i="55"/>
  <c r="I18" i="55"/>
  <c r="J18" i="55"/>
  <c r="D19" i="55"/>
  <c r="E19" i="55"/>
  <c r="F19" i="55"/>
  <c r="G19" i="55"/>
  <c r="H19" i="55"/>
  <c r="I19" i="55"/>
  <c r="J19" i="55"/>
  <c r="D12" i="53"/>
  <c r="C18" i="55"/>
  <c r="C19" i="55"/>
  <c r="E10" i="43"/>
  <c r="F10" i="43"/>
  <c r="G10" i="43"/>
  <c r="H10" i="43"/>
  <c r="I10" i="43"/>
  <c r="J10" i="43"/>
  <c r="D10" i="43"/>
  <c r="C10" i="43"/>
  <c r="D34" i="43"/>
  <c r="D40" i="43"/>
  <c r="D48" i="43"/>
  <c r="E34" i="43"/>
  <c r="E40" i="43"/>
  <c r="E48" i="43"/>
  <c r="F34" i="43"/>
  <c r="F40" i="43"/>
  <c r="F48" i="43"/>
  <c r="G34" i="43"/>
  <c r="G40" i="43"/>
  <c r="G48" i="43"/>
  <c r="H34" i="43"/>
  <c r="H40" i="43"/>
  <c r="H48" i="43"/>
  <c r="I34" i="43"/>
  <c r="I40" i="43"/>
  <c r="I48" i="43"/>
  <c r="J34" i="43"/>
  <c r="J40" i="43"/>
  <c r="J48" i="43"/>
  <c r="D46" i="43"/>
  <c r="E46" i="43"/>
  <c r="F46" i="43"/>
  <c r="G46" i="43"/>
  <c r="H46" i="43"/>
  <c r="I46" i="43"/>
  <c r="J46" i="43"/>
  <c r="D32" i="43"/>
  <c r="E32" i="43"/>
  <c r="F32" i="43"/>
  <c r="G32" i="43"/>
  <c r="H32" i="43"/>
  <c r="I32" i="43"/>
  <c r="J32" i="43"/>
  <c r="D31" i="43"/>
  <c r="E31" i="43"/>
  <c r="F31" i="43"/>
  <c r="G31" i="43"/>
  <c r="H31" i="43"/>
  <c r="I31" i="43"/>
  <c r="J31" i="43"/>
  <c r="D9" i="43"/>
  <c r="E9" i="43"/>
  <c r="F9" i="43"/>
  <c r="G9" i="43"/>
  <c r="H9" i="43"/>
  <c r="I9" i="43"/>
  <c r="J9" i="43"/>
  <c r="D11" i="43"/>
  <c r="E11" i="43"/>
  <c r="F11" i="43"/>
  <c r="G11" i="43"/>
  <c r="H11" i="43"/>
  <c r="I11" i="43"/>
  <c r="J11" i="43"/>
  <c r="D12" i="43"/>
  <c r="E12" i="43"/>
  <c r="F12" i="43"/>
  <c r="G12" i="43"/>
  <c r="H12" i="43"/>
  <c r="I12" i="43"/>
  <c r="J12" i="43"/>
  <c r="D13" i="43"/>
  <c r="E13" i="43"/>
  <c r="F13" i="43"/>
  <c r="G13" i="43"/>
  <c r="H13" i="43"/>
  <c r="I13" i="43"/>
  <c r="J13" i="43"/>
  <c r="D14" i="43"/>
  <c r="E14" i="43"/>
  <c r="F14" i="43"/>
  <c r="G14" i="43"/>
  <c r="H14" i="43"/>
  <c r="I14" i="43"/>
  <c r="J14" i="43"/>
  <c r="D15" i="43"/>
  <c r="E15" i="43"/>
  <c r="F15" i="43"/>
  <c r="G15" i="43"/>
  <c r="H15" i="43"/>
  <c r="I15" i="43"/>
  <c r="J15" i="43"/>
  <c r="D16" i="43"/>
  <c r="E16" i="43"/>
  <c r="F16" i="43"/>
  <c r="G16" i="43"/>
  <c r="H16" i="43"/>
  <c r="I16" i="43"/>
  <c r="J16" i="43"/>
  <c r="K6" i="43"/>
  <c r="D18" i="43"/>
  <c r="D17" i="43"/>
  <c r="E18" i="43"/>
  <c r="E17" i="43"/>
  <c r="F18" i="43"/>
  <c r="F17" i="43"/>
  <c r="G18" i="43"/>
  <c r="G17" i="43"/>
  <c r="H18" i="43"/>
  <c r="H17" i="43"/>
  <c r="I18" i="43"/>
  <c r="I17" i="43"/>
  <c r="J18" i="43"/>
  <c r="J17" i="43"/>
  <c r="D19" i="43"/>
  <c r="E19" i="43"/>
  <c r="F19" i="43"/>
  <c r="G19" i="43"/>
  <c r="H19" i="43"/>
  <c r="I19" i="43"/>
  <c r="J19" i="43"/>
  <c r="D20" i="43"/>
  <c r="E20" i="43"/>
  <c r="F20" i="43"/>
  <c r="G20" i="43"/>
  <c r="H20" i="43"/>
  <c r="I20" i="43"/>
  <c r="J20" i="43"/>
  <c r="D21" i="43"/>
  <c r="E21" i="43"/>
  <c r="F21" i="43"/>
  <c r="G21" i="43"/>
  <c r="H21" i="43"/>
  <c r="I21" i="43"/>
  <c r="J21" i="43"/>
  <c r="D22" i="43"/>
  <c r="E22" i="43"/>
  <c r="F22" i="43"/>
  <c r="G22" i="43"/>
  <c r="H22" i="43"/>
  <c r="I22" i="43"/>
  <c r="J22" i="43"/>
  <c r="D23" i="43"/>
  <c r="E23" i="43"/>
  <c r="F23" i="43"/>
  <c r="G23" i="43"/>
  <c r="H23" i="43"/>
  <c r="I23" i="43"/>
  <c r="J23" i="43"/>
  <c r="D24" i="43"/>
  <c r="E24" i="43"/>
  <c r="F24" i="43"/>
  <c r="G24" i="43"/>
  <c r="H24" i="43"/>
  <c r="I24" i="43"/>
  <c r="J24" i="43"/>
  <c r="D25" i="43"/>
  <c r="E25" i="43"/>
  <c r="F25" i="43"/>
  <c r="G25" i="43"/>
  <c r="H25" i="43"/>
  <c r="I25" i="43"/>
  <c r="J25" i="43"/>
  <c r="D26" i="43"/>
  <c r="E26" i="43"/>
  <c r="F26" i="43"/>
  <c r="G26" i="43"/>
  <c r="H26" i="43"/>
  <c r="I26" i="43"/>
  <c r="J26" i="43"/>
  <c r="D27" i="43"/>
  <c r="E27" i="43"/>
  <c r="F27" i="43"/>
  <c r="G27" i="43"/>
  <c r="H27" i="43"/>
  <c r="I27" i="43"/>
  <c r="J27" i="43"/>
  <c r="D7" i="43"/>
  <c r="E7" i="43"/>
  <c r="F7" i="43"/>
  <c r="G7" i="43"/>
  <c r="H7" i="43"/>
  <c r="I7" i="43"/>
  <c r="J7" i="43"/>
  <c r="D6" i="43"/>
  <c r="E6" i="43"/>
  <c r="F6" i="43"/>
  <c r="G6" i="43"/>
  <c r="H6" i="43"/>
  <c r="I6" i="43"/>
  <c r="J6" i="43"/>
  <c r="D3" i="43"/>
  <c r="E3" i="43"/>
  <c r="F3" i="43"/>
  <c r="G3" i="43"/>
  <c r="H3" i="43"/>
  <c r="I3" i="43"/>
  <c r="J3" i="43"/>
  <c r="D4" i="43"/>
  <c r="E4" i="43"/>
  <c r="F4" i="43"/>
  <c r="G4" i="43"/>
  <c r="H4" i="43"/>
  <c r="I4" i="43"/>
  <c r="J4" i="43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6" i="50"/>
  <c r="F20" i="53"/>
  <c r="G20" i="53"/>
  <c r="H20" i="53"/>
  <c r="I20" i="53"/>
  <c r="F21" i="53"/>
  <c r="G21" i="53"/>
  <c r="H21" i="53"/>
  <c r="I21" i="53"/>
  <c r="F22" i="53"/>
  <c r="G22" i="53"/>
  <c r="H22" i="53"/>
  <c r="I22" i="53"/>
  <c r="F23" i="53"/>
  <c r="G23" i="53"/>
  <c r="H23" i="53"/>
  <c r="I23" i="53"/>
  <c r="F24" i="53"/>
  <c r="G24" i="53"/>
  <c r="H24" i="53"/>
  <c r="I24" i="53"/>
  <c r="F25" i="53"/>
  <c r="G25" i="53"/>
  <c r="H25" i="53"/>
  <c r="I25" i="53"/>
  <c r="F26" i="53"/>
  <c r="G26" i="53"/>
  <c r="H26" i="53"/>
  <c r="I26" i="53"/>
  <c r="F27" i="53"/>
  <c r="G27" i="53"/>
  <c r="H27" i="53"/>
  <c r="I27" i="53"/>
  <c r="O9" i="55"/>
  <c r="O10" i="55"/>
  <c r="O11" i="55"/>
  <c r="N9" i="55"/>
  <c r="N10" i="55"/>
  <c r="N11" i="55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G27" i="51"/>
  <c r="H27" i="51"/>
  <c r="D27" i="51"/>
  <c r="G26" i="51"/>
  <c r="H26" i="51"/>
  <c r="E26" i="51"/>
  <c r="F26" i="51"/>
  <c r="D26" i="51"/>
  <c r="D100" i="50"/>
  <c r="D111" i="50"/>
  <c r="D115" i="50"/>
  <c r="D112" i="50"/>
  <c r="D113" i="50"/>
  <c r="D114" i="50"/>
  <c r="D74" i="50"/>
  <c r="D61" i="50"/>
  <c r="D87" i="50"/>
  <c r="D48" i="50"/>
  <c r="D117" i="50"/>
  <c r="D110" i="50"/>
  <c r="K21" i="59"/>
  <c r="K21" i="58"/>
  <c r="K8" i="43"/>
  <c r="D15" i="55"/>
  <c r="E15" i="55"/>
  <c r="F15" i="55"/>
  <c r="G15" i="55"/>
  <c r="H15" i="55"/>
  <c r="I15" i="55"/>
  <c r="J15" i="55"/>
  <c r="K15" i="55"/>
  <c r="E7" i="50"/>
  <c r="L12" i="53"/>
  <c r="D21" i="50"/>
  <c r="D35" i="50"/>
  <c r="D7" i="50"/>
  <c r="K6" i="59"/>
  <c r="N7" i="55"/>
  <c r="N8" i="55"/>
  <c r="L10" i="55"/>
  <c r="L11" i="55"/>
  <c r="L12" i="55"/>
  <c r="L13" i="55"/>
  <c r="L14" i="55"/>
  <c r="C15" i="55"/>
  <c r="C2" i="59"/>
  <c r="C2" i="58"/>
  <c r="C2" i="57"/>
  <c r="C2" i="56"/>
  <c r="G7" i="50"/>
  <c r="C3" i="43"/>
  <c r="C4" i="43"/>
  <c r="B9" i="51"/>
  <c r="O8" i="55"/>
  <c r="O7" i="55"/>
  <c r="K6" i="56"/>
  <c r="K6" i="58"/>
  <c r="D3" i="2"/>
  <c r="C7" i="57"/>
  <c r="K7" i="57"/>
  <c r="K7" i="58"/>
  <c r="C7" i="59"/>
  <c r="K7" i="59"/>
  <c r="D4" i="2"/>
  <c r="K8" i="57"/>
  <c r="K9" i="56"/>
  <c r="D6" i="2"/>
  <c r="K8" i="56"/>
  <c r="D5" i="2"/>
  <c r="K8" i="59"/>
  <c r="K8" i="58"/>
  <c r="C9" i="57"/>
  <c r="K9" i="57"/>
  <c r="K14" i="56"/>
  <c r="K9" i="58"/>
  <c r="D16" i="2"/>
  <c r="C9" i="59"/>
  <c r="K9" i="59"/>
  <c r="C32" i="56"/>
  <c r="G42" i="2"/>
  <c r="D47" i="2"/>
  <c r="D42" i="2"/>
  <c r="C32" i="57"/>
  <c r="C32" i="59"/>
  <c r="G47" i="2"/>
  <c r="D11" i="2"/>
  <c r="G49" i="2"/>
  <c r="G43" i="2"/>
  <c r="D17" i="2"/>
  <c r="D49" i="2"/>
  <c r="D43" i="2"/>
  <c r="B5" i="51"/>
  <c r="L9" i="55"/>
  <c r="L15" i="55"/>
  <c r="G22" i="51"/>
  <c r="B27" i="51"/>
  <c r="B8" i="51"/>
  <c r="B7" i="51"/>
  <c r="C31" i="43"/>
  <c r="C32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H6" i="36"/>
  <c r="G6" i="36"/>
  <c r="E6" i="36"/>
  <c r="E5" i="36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C5" i="2"/>
  <c r="H5" i="2"/>
  <c r="C56" i="2"/>
  <c r="E10" i="36"/>
  <c r="E17" i="36"/>
  <c r="E19" i="36"/>
  <c r="D19" i="2"/>
  <c r="D51" i="2"/>
  <c r="K10" i="36"/>
  <c r="K17" i="36"/>
  <c r="K19" i="36"/>
  <c r="K22" i="43"/>
  <c r="C3" i="2"/>
  <c r="K19" i="43"/>
  <c r="C34" i="43"/>
  <c r="C40" i="43"/>
  <c r="C7" i="43"/>
  <c r="K7" i="43"/>
  <c r="B26" i="51"/>
  <c r="G5" i="36"/>
  <c r="M6" i="36"/>
  <c r="G10" i="36"/>
  <c r="J10" i="36"/>
  <c r="J17" i="36"/>
  <c r="J19" i="36"/>
  <c r="C10" i="36"/>
  <c r="C17" i="36"/>
  <c r="M15" i="36"/>
  <c r="H5" i="36"/>
  <c r="B10" i="51"/>
  <c r="M7" i="36"/>
  <c r="M12" i="36"/>
  <c r="H10" i="36"/>
  <c r="D10" i="36"/>
  <c r="D17" i="36"/>
  <c r="M5" i="36"/>
  <c r="M11" i="36"/>
  <c r="F10" i="36"/>
  <c r="I10" i="36"/>
  <c r="I17" i="36"/>
  <c r="I19" i="36"/>
  <c r="L10" i="36"/>
  <c r="M13" i="36"/>
  <c r="M14" i="36"/>
  <c r="C11" i="43"/>
  <c r="K11" i="43"/>
  <c r="C12" i="43"/>
  <c r="K12" i="43"/>
  <c r="C13" i="43"/>
  <c r="K13" i="43"/>
  <c r="K20" i="43"/>
  <c r="J26" i="51"/>
  <c r="K18" i="56"/>
  <c r="G51" i="2"/>
  <c r="K10" i="43"/>
  <c r="C7" i="2"/>
  <c r="C30" i="2"/>
  <c r="C57" i="2"/>
  <c r="C55" i="2"/>
  <c r="C9" i="43"/>
  <c r="K9" i="43"/>
  <c r="C4" i="2"/>
  <c r="C34" i="56"/>
  <c r="C40" i="56"/>
  <c r="C14" i="43"/>
  <c r="K14" i="43"/>
  <c r="G17" i="36"/>
  <c r="G19" i="36"/>
  <c r="E23" i="36"/>
  <c r="C18" i="36"/>
  <c r="D18" i="36"/>
  <c r="E18" i="36"/>
  <c r="C19" i="36"/>
  <c r="M10" i="36"/>
  <c r="D19" i="36"/>
  <c r="E22" i="36"/>
  <c r="H17" i="36"/>
  <c r="H19" i="36"/>
  <c r="K21" i="56"/>
  <c r="K21" i="57"/>
  <c r="C17" i="2"/>
  <c r="C43" i="2"/>
  <c r="C9" i="2"/>
  <c r="C35" i="2"/>
  <c r="K21" i="43"/>
  <c r="E27" i="51"/>
  <c r="F27" i="51"/>
  <c r="M17" i="36"/>
  <c r="D60" i="2"/>
  <c r="K10" i="56"/>
  <c r="D7" i="2"/>
  <c r="K18" i="59"/>
  <c r="K18" i="58"/>
  <c r="D28" i="51"/>
  <c r="F28" i="51"/>
  <c r="K18" i="57"/>
  <c r="K18" i="43"/>
  <c r="M19" i="36"/>
  <c r="C34" i="57"/>
  <c r="C40" i="57"/>
  <c r="H9" i="2"/>
  <c r="H35" i="2"/>
  <c r="I22" i="36"/>
  <c r="H17" i="2"/>
  <c r="H43" i="2"/>
  <c r="F6" i="36"/>
  <c r="F5" i="36"/>
  <c r="F17" i="36"/>
  <c r="F19" i="36"/>
  <c r="H4" i="2"/>
  <c r="L6" i="36"/>
  <c r="L5" i="36"/>
  <c r="L17" i="36"/>
  <c r="L19" i="36"/>
  <c r="I23" i="36"/>
  <c r="E46" i="56"/>
  <c r="E48" i="56"/>
  <c r="C21" i="43"/>
  <c r="C6" i="2"/>
  <c r="C18" i="58"/>
  <c r="C20" i="36"/>
  <c r="D20" i="36"/>
  <c r="E20" i="36"/>
  <c r="C16" i="2"/>
  <c r="H16" i="2"/>
  <c r="C21" i="58"/>
  <c r="C46" i="58"/>
  <c r="D18" i="2"/>
  <c r="D50" i="2"/>
  <c r="C21" i="56"/>
  <c r="C46" i="56"/>
  <c r="C48" i="56"/>
  <c r="G50" i="2"/>
  <c r="C21" i="57"/>
  <c r="C46" i="57"/>
  <c r="C21" i="59"/>
  <c r="C46" i="59"/>
  <c r="C8" i="2"/>
  <c r="C34" i="2"/>
  <c r="C10" i="2"/>
  <c r="C36" i="2"/>
  <c r="C15" i="43"/>
  <c r="I27" i="51"/>
  <c r="C19" i="2"/>
  <c r="H19" i="2"/>
  <c r="C18" i="2"/>
  <c r="C18" i="59"/>
  <c r="C18" i="43"/>
  <c r="G60" i="2"/>
  <c r="K10" i="57"/>
  <c r="C60" i="2"/>
  <c r="C18" i="57"/>
  <c r="E28" i="51"/>
  <c r="H42" i="2"/>
  <c r="C42" i="2"/>
  <c r="C49" i="2"/>
  <c r="C29" i="2"/>
  <c r="C31" i="2"/>
  <c r="C32" i="2"/>
  <c r="C51" i="2"/>
  <c r="C50" i="2"/>
  <c r="C47" i="2"/>
  <c r="F20" i="36"/>
  <c r="G20" i="36"/>
  <c r="H20" i="36"/>
  <c r="I24" i="36"/>
  <c r="H18" i="2"/>
  <c r="F18" i="36"/>
  <c r="G18" i="36"/>
  <c r="H18" i="36"/>
  <c r="E24" i="36"/>
  <c r="H10" i="2"/>
  <c r="H8" i="2"/>
  <c r="H34" i="2"/>
  <c r="H6" i="2"/>
  <c r="C16" i="43"/>
  <c r="D46" i="56"/>
  <c r="D48" i="56"/>
  <c r="C16" i="56"/>
  <c r="K16" i="56"/>
  <c r="D13" i="2"/>
  <c r="C48" i="57"/>
  <c r="C48" i="58"/>
  <c r="C11" i="2"/>
  <c r="H11" i="2"/>
  <c r="C46" i="43"/>
  <c r="C48" i="43"/>
  <c r="G41" i="2"/>
  <c r="G28" i="51"/>
  <c r="C23" i="57"/>
  <c r="C24" i="57"/>
  <c r="I20" i="36"/>
  <c r="J20" i="36"/>
  <c r="K20" i="36"/>
  <c r="L20" i="36"/>
  <c r="I18" i="36"/>
  <c r="J18" i="36"/>
  <c r="K18" i="36"/>
  <c r="L18" i="36"/>
  <c r="K10" i="58"/>
  <c r="H47" i="2"/>
  <c r="H36" i="2"/>
  <c r="H29" i="2"/>
  <c r="H51" i="2"/>
  <c r="H49" i="2"/>
  <c r="H50" i="2"/>
  <c r="K15" i="43"/>
  <c r="C16" i="57"/>
  <c r="C34" i="59"/>
  <c r="C40" i="59"/>
  <c r="C48" i="59"/>
  <c r="H28" i="51"/>
  <c r="I26" i="51"/>
  <c r="H60" i="2"/>
  <c r="G48" i="2"/>
  <c r="C25" i="57"/>
  <c r="C26" i="57"/>
  <c r="C27" i="57"/>
  <c r="K10" i="59"/>
  <c r="K16" i="43"/>
  <c r="C12" i="2"/>
  <c r="C38" i="2"/>
  <c r="C16" i="58"/>
  <c r="G53" i="2"/>
  <c r="H7" i="2"/>
  <c r="C13" i="2"/>
  <c r="C27" i="58"/>
  <c r="G52" i="2"/>
  <c r="G59" i="2"/>
  <c r="G58" i="2"/>
  <c r="C16" i="59"/>
  <c r="H12" i="2"/>
  <c r="H30" i="2"/>
  <c r="H31" i="2"/>
  <c r="H32" i="2"/>
  <c r="H13" i="2"/>
  <c r="H38" i="2"/>
  <c r="C27" i="59"/>
  <c r="K17" i="43"/>
  <c r="C24" i="43"/>
  <c r="C25" i="43"/>
  <c r="K23" i="43"/>
  <c r="K24" i="43"/>
  <c r="K25" i="43"/>
  <c r="C14" i="2"/>
  <c r="C26" i="43"/>
  <c r="K26" i="43"/>
  <c r="K27" i="43"/>
  <c r="C41" i="2"/>
  <c r="C48" i="2"/>
  <c r="C27" i="43"/>
  <c r="C20" i="2"/>
  <c r="C39" i="2"/>
  <c r="C21" i="2"/>
  <c r="C53" i="2"/>
  <c r="C22" i="2"/>
  <c r="C23" i="2"/>
  <c r="C59" i="2"/>
  <c r="C58" i="2"/>
  <c r="C52" i="2"/>
  <c r="C24" i="2"/>
  <c r="C18" i="56"/>
  <c r="C23" i="56"/>
  <c r="C24" i="56"/>
  <c r="C25" i="56"/>
  <c r="D14" i="2"/>
  <c r="C26" i="56"/>
  <c r="D48" i="2"/>
  <c r="D41" i="2"/>
  <c r="C27" i="56"/>
  <c r="K24" i="56"/>
  <c r="K25" i="56"/>
  <c r="H14" i="2"/>
  <c r="K26" i="56"/>
  <c r="H20" i="2"/>
  <c r="H41" i="2"/>
  <c r="H48" i="2"/>
  <c r="D21" i="2"/>
  <c r="D53" i="2"/>
  <c r="D22" i="2"/>
  <c r="D23" i="2"/>
  <c r="D52" i="2"/>
  <c r="K27" i="56"/>
  <c r="D24" i="2"/>
  <c r="H39" i="2"/>
  <c r="H21" i="2"/>
  <c r="H22" i="2"/>
  <c r="D59" i="2"/>
  <c r="D58" i="2"/>
  <c r="H23" i="2"/>
  <c r="H53" i="2"/>
  <c r="H24" i="2"/>
  <c r="H52" i="2"/>
  <c r="H59" i="2"/>
  <c r="H58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<sst xmlns="http://schemas.openxmlformats.org/spreadsheetml/2006/main" count="1444" uniqueCount="312">
  <si>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</si>
  <si>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</si>
  <si>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</si>
  <si>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</si>
  <si>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</si>
  <si>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</si>
  <si>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</si>
  <si>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</si>
  <si>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</si>
  <si>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</si>
  <si>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</si>
  <si>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</si>
  <si>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</si>
  <si>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</si>
  <si>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</si>
  <si>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</si>
  <si>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</si>
  <si>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</si>
  <si>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</si>
  <si>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</si>
  <si>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</si>
  <si>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</si>
  <si>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</si>
  <si>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</si>
  <si>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</si>
  <si>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</si>
  <si>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</si>
  <si>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</si>
  <si>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</si>
  <si>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</si>
  <si>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</si>
  <si>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</si>
  <si>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</si>
  <si>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</si>
  <si>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</si>
  <si>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</si>
  <si>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</si>
  <si>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</si>
  <si>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</si>
  <si>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</si>
  <si>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</si>
  <si>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</si>
  <si>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</si>
  <si>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</si>
  <si>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</si>
  <si>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</si>
  <si>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</si>
  <si>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</si>
  <si>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</si>
  <si>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</si>
  <si>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</si>
  <si>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</si>
  <si>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</si>
  <si>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</si>
  <si>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</si>
  <si>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</si>
  <si>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</si>
  <si>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</si>
  <si>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</si>
  <si>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</si>
  <si>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</si>
  <si>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</si>
  <si>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</si>
  <si>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</si>
  <si>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</si>
  <si>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</si>
  <si>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</si>
  <si>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</si>
  <si>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</si>
  <si>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</si>
  <si>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</si>
  <si>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</si>
  <si>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</si>
  <si>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</si>
  <si>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</si>
  <si>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</si>
  <si>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</si>
  <si>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</si>
  <si>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</si>
  <si>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</si>
  <si>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</si>
  <si>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</si>
  <si>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</si>
  <si>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</si>
  <si>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</si>
  <si>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</si>
  <si>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</si>
  <si>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</si>
  <si>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</si>
  <si>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</si>
  <si>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</si>
  <si>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</si>
  <si>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</si>
  <si>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</si>
  <si>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</si>
  <si>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</si>
  <si>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</si>
  <si>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</si>
  <si>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</si>
  <si>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</si>
  <si>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</si>
  <si>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</si>
  <si>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</si>
  <si>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</si>
  <si>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</si>
  <si>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</si>
  <si>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</si>
  <si>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</si>
  <si>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</si>
  <si>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</si>
  <si>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</si>
  <si>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</si>
  <si>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</si>
  <si>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</si>
  <si>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</si>
  <si>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</si>
  <si>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</si>
  <si>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</si>
  <si>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</si>
  <si>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</si>
  <si>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</si>
  <si>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</si>
  <si>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</si>
  <si>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</si>
  <si>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</si>
  <si>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</si>
  <si>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</si>
  <si>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</si>
  <si>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</si>
  <si>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</si>
  <si>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</si>
  <si>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</si>
  <si>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</si>
  <si>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</si>
  <si>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</si>
  <si>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</si>
  <si>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</si>
  <si>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</si>
  <si>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</si>
  <si>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</si>
  <si>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</si>
  <si>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</si>
  <si>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</si>
  <si>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</si>
  <si>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</si>
  <si>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</si>
  <si>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</si>
  <si>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</si>
  <si>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</si>
  <si>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</si>
  <si>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</si>
  <si>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</si>
  <si>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</si>
  <si>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</si>
  <si>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</si>
  <si>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</si>
  <si>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</si>
  <si>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</si>
  <si>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</si>
  <si>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</si>
  <si>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</si>
  <si>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</si>
  <si>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</si>
  <si>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</si>
  <si>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</si>
  <si>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</si>
  <si>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</si>
  <si>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</si>
  <si>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</si>
  <si>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</si>
  <si>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</si>
  <si>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</si>
  <si>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</si>
  <si>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</si>
  <si>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</si>
  <si>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</si>
  <si>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</si>
  <si>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</si>
  <si>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</si>
  <si>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</si>
  <si>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</si>
  <si>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</si>
  <si>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</si>
  <si>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</si>
  <si>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</si>
  <si>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</si>
  <si>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</si>
  <si>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</si>
  <si>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</si>
  <si>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</si>
  <si>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</si>
  <si>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</si>
  <si>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</si>
  <si>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</si>
  <si>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</si>
  <si>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</si>
  <si>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</si>
  <si>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</si>
  <si>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</si>
  <si>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</si>
  <si>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</si>
  <si>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</si>
  <si>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</si>
  <si>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</si>
  <si>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</si>
  <si>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</si>
  <si>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</si>
  <si>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</si>
  <si>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</si>
  <si>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</si>
  <si>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</si>
  <si>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</si>
  <si>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</si>
  <si>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</si>
  <si>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</si>
  <si>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</si>
  <si>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</si>
  <si>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</si>
  <si>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</si>
  <si>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</si>
  <si>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</si>
  <si>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</si>
  <si>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</si>
  <si>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</si>
  <si>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</si>
  <si>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</si>
  <si>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采购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</si>
  <si>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</si>
  <si>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</si>
  <si>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</si>
  <si>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</si>
  <si>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</si>
  <si>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</si>
  <si>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</si>
  <si>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如是工程车、公路用车？</t>
    <phoneticPr fontId="34" type="noConversion"/>
  </si>
  <si>
    <t>所得税(税率15%）</t>
    <phoneticPr fontId="37" type="noConversion"/>
  </si>
  <si>
    <t>财务费用按集团水平。</t>
    <phoneticPr fontId="37" type="noConversion"/>
  </si>
  <si>
    <r>
      <t xml:space="preserve">H6座椅靠背放倒项目投资收益分析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</si>
  <si>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</si>
  <si>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</si>
  <si>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</si>
  <si>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</si>
  <si>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2023年</t>
    <phoneticPr fontId="37" type="noConversion"/>
  </si>
  <si>
    <t>2027年</t>
  </si>
  <si>
    <t>2028年</t>
  </si>
  <si>
    <t>驾驶员座椅总成</t>
  </si>
  <si>
    <t>SHT0011947</t>
  </si>
  <si>
    <t>无通风加热、普通安全带、无DPD，放倒功能</t>
  </si>
  <si>
    <t>SHT0011948</t>
  </si>
  <si>
    <t>无通风带加热、普通安全带、无DPD、放倒功能</t>
  </si>
  <si>
    <t>SHT0011949</t>
  </si>
  <si>
    <t>通风加热、预紧安全带、DPD、放倒功能</t>
  </si>
  <si>
    <t>SHT0011950</t>
  </si>
  <si>
    <t>通风加热、普通安全带、无DPD、放倒功能</t>
  </si>
  <si>
    <t>副驾驶座椅总成</t>
  </si>
  <si>
    <t>SHT0011951</t>
  </si>
  <si>
    <t>无通风加热、普通安全带、放倒功能</t>
  </si>
  <si>
    <t>驾驶员底支架</t>
  </si>
  <si>
    <t>SHT0010844</t>
  </si>
  <si>
    <t>副驾驶功能座椅</t>
  </si>
  <si>
    <t>SHT0011952</t>
  </si>
  <si>
    <t>放倒功能</t>
  </si>
  <si>
    <t>副驾驶员底支架</t>
  </si>
  <si>
    <t>SHT0011878</t>
  </si>
  <si>
    <t>ZY2262</t>
    <phoneticPr fontId="37" type="noConversion"/>
  </si>
  <si>
    <t>Actors车型H6正副驾座椅放倒功能项目</t>
    <phoneticPr fontId="37" type="noConversion"/>
  </si>
  <si>
    <t>成本预估根据项目经理提供资料估算。供应商年度降价与销价降价同步。</t>
    <phoneticPr fontId="37" type="noConversion"/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</si>
  <si>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</si>
  <si>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</si>
  <si>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2023年</t>
    <phoneticPr fontId="37" type="noConversion"/>
  </si>
  <si>
    <t>2029年</t>
  </si>
  <si>
    <t>2030年</t>
  </si>
  <si>
    <t>参考产品物料号</t>
    <phoneticPr fontId="37" type="noConversion"/>
  </si>
  <si>
    <t>产品图号/物料号</t>
    <phoneticPr fontId="37" type="noConversion"/>
  </si>
  <si>
    <t>QAD号为老产品物料号，仅供参考</t>
    <phoneticPr fontId="37" type="noConversion"/>
  </si>
  <si>
    <t>供应商年降：    5 年1%</t>
    <phoneticPr fontId="37" type="noConversion"/>
  </si>
  <si>
    <t>材料成本年降汇总表</t>
    <phoneticPr fontId="37" type="noConversion"/>
  </si>
  <si>
    <t>材料成本（连降1%）</t>
    <phoneticPr fontId="37" type="noConversion"/>
  </si>
  <si>
    <t>布套指定土耳其</t>
  </si>
  <si>
    <t>成本测算按国内预计</t>
    <phoneticPr fontId="37" type="noConversion"/>
  </si>
  <si>
    <t>分总成国内，总成德国</t>
  </si>
  <si>
    <t>按国内生产测算</t>
    <phoneticPr fontId="37" type="noConversion"/>
  </si>
  <si>
    <t>按自提</t>
    <phoneticPr fontId="37" type="noConversion"/>
  </si>
  <si>
    <t>德国/土耳其</t>
  </si>
  <si>
    <t>欧元 周开票/挂账2个月</t>
  </si>
  <si>
    <t>现汇或承兑的比例</t>
  </si>
  <si>
    <t>河北</t>
  </si>
  <si>
    <t>无</t>
  </si>
  <si>
    <t>海运--纸箱</t>
  </si>
  <si>
    <t>无现场服务要求</t>
  </si>
  <si>
    <t>包含所有的主、辅料</t>
  </si>
  <si>
    <t>开发费分摊情况</t>
  </si>
  <si>
    <t>公司承担</t>
  </si>
  <si>
    <t>产品应用场景</t>
  </si>
  <si>
    <t>与国内相同</t>
  </si>
  <si>
    <t>三包周期</t>
  </si>
  <si>
    <t>36个月</t>
  </si>
  <si>
    <t>涂红色处为必填项</t>
  </si>
  <si>
    <t>综合占收入比率</t>
    <phoneticPr fontId="37" type="noConversion"/>
  </si>
  <si>
    <t>不含包装费</t>
    <phoneticPr fontId="37" type="noConversion"/>
  </si>
  <si>
    <t>福田戴姆勒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</si>
  <si>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</si>
  <si>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</si>
  <si>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</si>
  <si>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</si>
  <si>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</si>
  <si>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</si>
  <si>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</si>
  <si>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</si>
  <si>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SHT0011950</t>
    <phoneticPr fontId="37" type="noConversion"/>
  </si>
  <si>
    <t>SHT0011949</t>
    <phoneticPr fontId="37" type="noConversion"/>
  </si>
  <si>
    <t>销售价格（未税）：由营销部门提供，包括年降1%。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</si>
</sst>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3" fontId="40" fillId="8" borderId="4" xfId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5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43" fontId="46" fillId="0" borderId="1" xfId="0" applyNumberFormat="1" applyFont="1" applyFill="1" applyBorder="1" applyAlignment="1">
      <alignment horizontal="center" vertical="center"/>
    </xf>
    <xf numFmtId="9" fontId="46" fillId="0" borderId="1" xfId="3" applyFont="1" applyFill="1" applyBorder="1" applyAlignment="1">
      <alignment horizontal="center" vertical="center"/>
    </xf>
    <xf numFmtId="10" fontId="46" fillId="0" borderId="1" xfId="3" applyNumberFormat="1" applyFont="1" applyFill="1" applyBorder="1" applyAlignment="1">
      <alignment horizontal="center" vertical="center"/>
    </xf>
    <xf numFmtId="0" fontId="47" fillId="0" borderId="1" xfId="0" applyFont="1" applyBorder="1">
      <alignment vertical="center"/>
    </xf>
    <xf numFmtId="0" fontId="48" fillId="0" borderId="0" xfId="0" applyFont="1" applyAlignment="1">
      <alignment vertical="center" wrapText="1"/>
    </xf>
    <xf numFmtId="0" fontId="49" fillId="0" borderId="0" xfId="0" applyFont="1">
      <alignment vertical="center"/>
    </xf>
    <xf numFmtId="178" fontId="49" fillId="0" borderId="0" xfId="1" applyNumberFormat="1" applyFont="1">
      <alignment vertical="center"/>
    </xf>
    <xf numFmtId="0" fontId="48" fillId="0" borderId="0" xfId="0" applyFont="1" applyAlignment="1">
      <alignment vertical="center"/>
    </xf>
    <xf numFmtId="0" fontId="49" fillId="2" borderId="0" xfId="0" applyFont="1" applyFill="1">
      <alignment vertical="center"/>
    </xf>
    <xf numFmtId="10" fontId="49" fillId="7" borderId="0" xfId="0" applyNumberFormat="1" applyFont="1" applyFill="1">
      <alignment vertical="center"/>
    </xf>
    <xf numFmtId="10" fontId="49" fillId="0" borderId="0" xfId="0" applyNumberFormat="1" applyFont="1">
      <alignment vertical="center"/>
    </xf>
    <xf numFmtId="0" fontId="5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>
      <alignment vertical="center"/>
    </xf>
    <xf numFmtId="0" fontId="51" fillId="0" borderId="1" xfId="0" applyFont="1" applyBorder="1" applyAlignment="1">
      <alignment horizontal="center" vertical="center" wrapText="1"/>
    </xf>
    <xf numFmtId="0" fontId="52" fillId="0" borderId="1" xfId="1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0" fontId="52" fillId="7" borderId="1" xfId="11" applyFont="1" applyFill="1" applyBorder="1" applyAlignment="1">
      <alignment horizontal="center" vertical="center" wrapText="1"/>
    </xf>
    <xf numFmtId="0" fontId="52" fillId="2" borderId="1" xfId="1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2" fillId="0" borderId="1" xfId="11" applyFont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 readingOrder="1"/>
    </xf>
    <xf numFmtId="0" fontId="54" fillId="0" borderId="1" xfId="0" applyFont="1" applyFill="1" applyBorder="1" applyAlignment="1">
      <alignment horizontal="center" vertical="center" wrapText="1" readingOrder="1"/>
    </xf>
    <xf numFmtId="178" fontId="54" fillId="3" borderId="1" xfId="1" applyNumberFormat="1" applyFont="1" applyFill="1" applyBorder="1" applyAlignment="1">
      <alignment horizontal="center" vertical="center" wrapText="1" readingOrder="1"/>
    </xf>
    <xf numFmtId="0" fontId="54" fillId="0" borderId="0" xfId="0" applyFont="1" applyFill="1" applyAlignment="1">
      <alignment horizontal="center" vertical="center" wrapText="1"/>
    </xf>
    <xf numFmtId="178" fontId="54" fillId="3" borderId="1" xfId="0" applyNumberFormat="1" applyFont="1" applyFill="1" applyBorder="1" applyAlignment="1">
      <alignment horizontal="center" wrapText="1" readingOrder="1"/>
    </xf>
    <xf numFmtId="43" fontId="49" fillId="0" borderId="0" xfId="1" applyFont="1">
      <alignment vertical="center"/>
    </xf>
    <xf numFmtId="0" fontId="49" fillId="0" borderId="1" xfId="0" applyFont="1" applyBorder="1">
      <alignment vertical="center"/>
    </xf>
    <xf numFmtId="43" fontId="49" fillId="0" borderId="1" xfId="0" applyNumberFormat="1" applyFont="1" applyBorder="1">
      <alignment vertical="center"/>
    </xf>
    <xf numFmtId="180" fontId="49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4" fillId="3" borderId="1" xfId="0" applyFont="1" applyFill="1" applyBorder="1" applyAlignment="1">
      <alignment horizontal="center" vertical="center" wrapText="1" readingOrder="1"/>
    </xf>
    <xf numFmtId="0" fontId="49" fillId="0" borderId="1" xfId="0" applyFont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32</xdr:row>
      <xdr:rowOff>9525</xdr:rowOff>
    </xdr:from>
    <xdr:to>
      <xdr:col>10</xdr:col>
      <xdr:colOff>920216</xdr:colOff>
      <xdr:row>49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6" t="s">
        <v>265</v>
      </c>
      <c r="B1" s="237"/>
      <c r="C1" s="237"/>
    </row>
    <row r="2" spans="1:4" s="128" customFormat="1" ht="35.25" customHeight="1">
      <c r="A2" s="129" t="s">
        <v>0</v>
      </c>
      <c r="B2" s="129" t="s">
        <v>1</v>
      </c>
      <c r="C2" s="129" t="s">
        <v>2</v>
      </c>
      <c r="D2" s="130"/>
    </row>
    <row r="3" spans="1:4" s="128" customFormat="1" ht="33.75" customHeight="1">
      <c r="A3" s="131">
        <v>1</v>
      </c>
      <c r="B3" s="131" t="s">
        <v>3</v>
      </c>
      <c r="C3" s="132" t="s">
        <v>4</v>
      </c>
      <c r="D3" s="130"/>
    </row>
    <row r="4" spans="1:4" s="128" customFormat="1" ht="33.75" customHeight="1">
      <c r="A4" s="131">
        <v>2</v>
      </c>
      <c r="B4" s="131" t="s">
        <v>5</v>
      </c>
      <c r="C4" s="132" t="s">
        <v>311</v>
      </c>
    </row>
    <row r="5" spans="1:4" s="128" customFormat="1" ht="33.75" customHeight="1">
      <c r="A5" s="131">
        <v>3</v>
      </c>
      <c r="B5" s="234" t="s">
        <v>6</v>
      </c>
      <c r="C5" s="133" t="s">
        <v>266</v>
      </c>
    </row>
    <row r="6" spans="1:4" s="128" customFormat="1" ht="33.75" customHeight="1">
      <c r="A6" s="131">
        <v>4</v>
      </c>
      <c r="B6" s="235"/>
      <c r="C6" s="132" t="s">
        <v>7</v>
      </c>
    </row>
    <row r="7" spans="1:4" s="128" customFormat="1" ht="33.75" customHeight="1">
      <c r="A7" s="131">
        <v>5</v>
      </c>
      <c r="B7" s="134" t="s">
        <v>8</v>
      </c>
      <c r="C7" s="132" t="s">
        <v>267</v>
      </c>
    </row>
    <row r="8" spans="1:4" s="128" customFormat="1" ht="33.75" customHeight="1">
      <c r="A8" s="131">
        <v>6</v>
      </c>
      <c r="B8" s="234" t="s">
        <v>9</v>
      </c>
      <c r="C8" s="132" t="s">
        <v>268</v>
      </c>
    </row>
    <row r="9" spans="1:4" s="128" customFormat="1" ht="33.75" customHeight="1">
      <c r="A9" s="131">
        <v>7</v>
      </c>
      <c r="B9" s="235"/>
      <c r="C9" s="132" t="s">
        <v>10</v>
      </c>
    </row>
    <row r="10" spans="1:4" s="128" customFormat="1" ht="33.75" customHeight="1">
      <c r="A10" s="131">
        <v>8</v>
      </c>
      <c r="B10" s="235"/>
      <c r="C10" s="133" t="s">
        <v>236</v>
      </c>
    </row>
    <row r="11" spans="1:4" s="128" customFormat="1" ht="33.75" customHeight="1">
      <c r="A11" s="131">
        <v>9</v>
      </c>
      <c r="B11" s="235"/>
      <c r="C11" s="132" t="s">
        <v>11</v>
      </c>
    </row>
    <row r="12" spans="1:4" s="128" customFormat="1" ht="33.75" customHeight="1">
      <c r="A12" s="131">
        <v>10</v>
      </c>
      <c r="B12" s="134" t="s">
        <v>12</v>
      </c>
      <c r="C12" s="132" t="s">
        <v>13</v>
      </c>
    </row>
    <row r="13" spans="1:4" ht="33.75" customHeight="1"/>
    <row r="14" spans="1:4" ht="33.75" customHeight="1"/>
    <row r="15" spans="1:4" ht="33.75" customHeight="1">
      <c r="C15" s="135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60" zoomScaleNormal="60" workbookViewId="0">
      <selection activeCell="J14" sqref="J14"/>
    </sheetView>
  </sheetViews>
  <sheetFormatPr defaultColWidth="9" defaultRowHeight="20.25"/>
  <cols>
    <col min="1" max="1" width="14" style="204" customWidth="1"/>
    <col min="2" max="2" width="14.125" style="204" customWidth="1"/>
    <col min="3" max="11" width="18.25" style="204" customWidth="1"/>
    <col min="12" max="12" width="11.625" style="204" customWidth="1"/>
    <col min="13" max="13" width="4" style="204" customWidth="1"/>
    <col min="14" max="14" width="9.125" style="204" customWidth="1"/>
    <col min="15" max="16384" width="9" style="204"/>
  </cols>
  <sheetData>
    <row r="1" spans="1:15" ht="29.25" customHeight="1">
      <c r="A1" s="203" t="s">
        <v>186</v>
      </c>
      <c r="E1" s="205"/>
      <c r="F1" s="205"/>
      <c r="G1" s="205"/>
      <c r="H1" s="205"/>
      <c r="I1" s="205"/>
      <c r="J1" s="205"/>
      <c r="K1" s="205"/>
      <c r="L1" s="205"/>
    </row>
    <row r="2" spans="1:15" ht="24" customHeight="1">
      <c r="A2" s="206" t="s">
        <v>187</v>
      </c>
      <c r="E2" s="205"/>
      <c r="F2" s="205"/>
      <c r="G2" s="205"/>
      <c r="H2" s="205"/>
      <c r="I2" s="205"/>
      <c r="J2" s="205"/>
      <c r="K2" s="205"/>
      <c r="L2" s="205"/>
    </row>
    <row r="3" spans="1:15">
      <c r="C3" s="204" t="s">
        <v>188</v>
      </c>
      <c r="D3" s="207" t="s">
        <v>232</v>
      </c>
      <c r="E3" s="208">
        <v>0.01</v>
      </c>
      <c r="F3" s="209"/>
      <c r="G3" s="209"/>
      <c r="H3" s="209"/>
      <c r="K3" s="210"/>
    </row>
    <row r="4" spans="1:15">
      <c r="K4" s="211"/>
    </row>
    <row r="5" spans="1:15" ht="45" customHeight="1">
      <c r="A5" s="269" t="s">
        <v>189</v>
      </c>
      <c r="B5" s="212" t="s">
        <v>139</v>
      </c>
      <c r="C5" s="213" t="s">
        <v>245</v>
      </c>
      <c r="D5" s="213" t="s">
        <v>245</v>
      </c>
      <c r="E5" s="213" t="s">
        <v>245</v>
      </c>
      <c r="F5" s="213" t="s">
        <v>245</v>
      </c>
      <c r="G5" s="213" t="s">
        <v>254</v>
      </c>
      <c r="H5" s="213" t="s">
        <v>257</v>
      </c>
      <c r="I5" s="213" t="s">
        <v>259</v>
      </c>
      <c r="J5" s="213" t="s">
        <v>262</v>
      </c>
      <c r="K5" s="214"/>
      <c r="L5" s="268" t="s">
        <v>15</v>
      </c>
    </row>
    <row r="6" spans="1:15" ht="31.5" customHeight="1">
      <c r="A6" s="269"/>
      <c r="B6" s="212" t="s">
        <v>140</v>
      </c>
      <c r="C6" s="215" t="s">
        <v>246</v>
      </c>
      <c r="D6" s="215" t="s">
        <v>248</v>
      </c>
      <c r="E6" s="215" t="s">
        <v>309</v>
      </c>
      <c r="F6" s="215" t="s">
        <v>310</v>
      </c>
      <c r="G6" s="215" t="s">
        <v>255</v>
      </c>
      <c r="H6" s="215" t="s">
        <v>258</v>
      </c>
      <c r="I6" s="216" t="s">
        <v>260</v>
      </c>
      <c r="J6" s="216" t="s">
        <v>263</v>
      </c>
      <c r="K6" s="217"/>
      <c r="L6" s="268"/>
      <c r="N6" s="204">
        <v>100</v>
      </c>
    </row>
    <row r="7" spans="1:15" ht="32.25" customHeight="1">
      <c r="A7" s="269"/>
      <c r="B7" s="218" t="s">
        <v>190</v>
      </c>
      <c r="C7" s="213" t="s">
        <v>247</v>
      </c>
      <c r="D7" s="213" t="s">
        <v>249</v>
      </c>
      <c r="E7" s="213" t="s">
        <v>251</v>
      </c>
      <c r="F7" s="213" t="s">
        <v>253</v>
      </c>
      <c r="G7" s="213" t="s">
        <v>256</v>
      </c>
      <c r="H7" s="213"/>
      <c r="I7" s="219" t="s">
        <v>261</v>
      </c>
      <c r="J7" s="219"/>
      <c r="K7" s="217"/>
      <c r="L7" s="268"/>
      <c r="N7" s="204">
        <f>N6*(1-$E$3)</f>
        <v>99</v>
      </c>
      <c r="O7" s="204">
        <f>N7/$N$6</f>
        <v>0.99</v>
      </c>
    </row>
    <row r="8" spans="1:15" ht="60.75">
      <c r="A8" s="269"/>
      <c r="B8" s="218" t="s">
        <v>191</v>
      </c>
      <c r="C8" s="220">
        <v>1861.84</v>
      </c>
      <c r="D8" s="220">
        <v>2162.6</v>
      </c>
      <c r="E8" s="220">
        <v>2954.78</v>
      </c>
      <c r="F8" s="221">
        <v>2904.54</v>
      </c>
      <c r="G8" s="222">
        <v>1879.84</v>
      </c>
      <c r="H8" s="222">
        <v>85.92</v>
      </c>
      <c r="I8" s="222">
        <v>670.17</v>
      </c>
      <c r="J8" s="222">
        <v>76.58</v>
      </c>
      <c r="K8" s="217"/>
      <c r="L8" s="268"/>
      <c r="N8" s="204">
        <f>N7*(1-$E$3)</f>
        <v>98.01</v>
      </c>
      <c r="O8" s="204">
        <f t="shared" ref="O8:O11" si="0">N8/$N$6</f>
        <v>0.98010000000000008</v>
      </c>
    </row>
    <row r="9" spans="1:15">
      <c r="A9" s="269" t="s">
        <v>192</v>
      </c>
      <c r="B9" s="223" t="s">
        <v>242</v>
      </c>
      <c r="C9" s="224">
        <v>3500</v>
      </c>
      <c r="D9" s="224">
        <v>500</v>
      </c>
      <c r="E9" s="224">
        <v>500</v>
      </c>
      <c r="F9" s="224">
        <v>500</v>
      </c>
      <c r="G9" s="224">
        <v>500</v>
      </c>
      <c r="H9" s="224">
        <v>5500</v>
      </c>
      <c r="I9" s="224">
        <v>4500</v>
      </c>
      <c r="J9" s="224">
        <v>4500</v>
      </c>
      <c r="K9" s="225"/>
      <c r="L9" s="226">
        <f>SUM(C9:K9)</f>
        <v>20000</v>
      </c>
      <c r="N9" s="204">
        <f t="shared" ref="N9:N11" si="1">N8*(1-$E$3)</f>
        <v>97.029899999999998</v>
      </c>
      <c r="O9" s="204">
        <f t="shared" si="0"/>
        <v>0.97029900000000002</v>
      </c>
    </row>
    <row r="10" spans="1:15">
      <c r="A10" s="269"/>
      <c r="B10" s="223" t="s">
        <v>182</v>
      </c>
      <c r="C10" s="224">
        <v>35000</v>
      </c>
      <c r="D10" s="224">
        <v>5000</v>
      </c>
      <c r="E10" s="224">
        <v>5000</v>
      </c>
      <c r="F10" s="224">
        <v>5000</v>
      </c>
      <c r="G10" s="224">
        <v>5000</v>
      </c>
      <c r="H10" s="224">
        <v>55000</v>
      </c>
      <c r="I10" s="224">
        <v>45000</v>
      </c>
      <c r="J10" s="224">
        <v>45000</v>
      </c>
      <c r="K10" s="227"/>
      <c r="L10" s="226">
        <f t="shared" ref="L10:L14" si="2">SUM(C10:K10)</f>
        <v>200000</v>
      </c>
      <c r="N10" s="204">
        <f t="shared" si="1"/>
        <v>96.059601000000001</v>
      </c>
      <c r="O10" s="204">
        <f t="shared" si="0"/>
        <v>0.96059601000000006</v>
      </c>
    </row>
    <row r="11" spans="1:15">
      <c r="A11" s="269"/>
      <c r="B11" s="223" t="s">
        <v>183</v>
      </c>
      <c r="C11" s="224">
        <v>35000</v>
      </c>
      <c r="D11" s="224">
        <v>5000</v>
      </c>
      <c r="E11" s="224">
        <v>5000</v>
      </c>
      <c r="F11" s="224">
        <v>5000</v>
      </c>
      <c r="G11" s="224">
        <v>5000</v>
      </c>
      <c r="H11" s="224">
        <v>55000</v>
      </c>
      <c r="I11" s="224">
        <v>45000</v>
      </c>
      <c r="J11" s="224">
        <v>45000</v>
      </c>
      <c r="K11" s="225"/>
      <c r="L11" s="226">
        <f t="shared" si="2"/>
        <v>200000</v>
      </c>
      <c r="N11" s="204">
        <f t="shared" si="1"/>
        <v>95.099004989999997</v>
      </c>
      <c r="O11" s="204">
        <f t="shared" si="0"/>
        <v>0.95099004990000002</v>
      </c>
    </row>
    <row r="12" spans="1:15">
      <c r="A12" s="269"/>
      <c r="B12" s="223" t="s">
        <v>228</v>
      </c>
      <c r="C12" s="224">
        <v>35000</v>
      </c>
      <c r="D12" s="224">
        <v>5000</v>
      </c>
      <c r="E12" s="224">
        <v>5000</v>
      </c>
      <c r="F12" s="224">
        <v>5000</v>
      </c>
      <c r="G12" s="224">
        <v>5000</v>
      </c>
      <c r="H12" s="224">
        <v>55000</v>
      </c>
      <c r="I12" s="224">
        <v>45000</v>
      </c>
      <c r="J12" s="224">
        <v>45000</v>
      </c>
      <c r="K12" s="179"/>
      <c r="L12" s="226">
        <f t="shared" si="2"/>
        <v>200000</v>
      </c>
    </row>
    <row r="13" spans="1:15">
      <c r="A13" s="269"/>
      <c r="B13" s="223" t="s">
        <v>243</v>
      </c>
      <c r="C13" s="224">
        <v>35000</v>
      </c>
      <c r="D13" s="224">
        <v>5000</v>
      </c>
      <c r="E13" s="224">
        <v>5000</v>
      </c>
      <c r="F13" s="224">
        <v>5000</v>
      </c>
      <c r="G13" s="224">
        <v>5000</v>
      </c>
      <c r="H13" s="224">
        <v>55000</v>
      </c>
      <c r="I13" s="224">
        <v>45000</v>
      </c>
      <c r="J13" s="224">
        <v>45000</v>
      </c>
      <c r="K13" s="179"/>
      <c r="L13" s="226">
        <f t="shared" si="2"/>
        <v>200000</v>
      </c>
    </row>
    <row r="14" spans="1:15">
      <c r="A14" s="269"/>
      <c r="B14" s="223" t="s">
        <v>244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6">
        <f t="shared" si="2"/>
        <v>0</v>
      </c>
    </row>
    <row r="15" spans="1:15">
      <c r="A15" s="268" t="s">
        <v>15</v>
      </c>
      <c r="B15" s="268"/>
      <c r="C15" s="228">
        <f t="shared" ref="C15:L15" si="3">SUM(C9:C14)</f>
        <v>143500</v>
      </c>
      <c r="D15" s="228">
        <f t="shared" si="3"/>
        <v>20500</v>
      </c>
      <c r="E15" s="228">
        <f t="shared" si="3"/>
        <v>20500</v>
      </c>
      <c r="F15" s="228">
        <f t="shared" si="3"/>
        <v>20500</v>
      </c>
      <c r="G15" s="228">
        <f t="shared" si="3"/>
        <v>20500</v>
      </c>
      <c r="H15" s="228">
        <f t="shared" si="3"/>
        <v>225500</v>
      </c>
      <c r="I15" s="228">
        <f t="shared" si="3"/>
        <v>184500</v>
      </c>
      <c r="J15" s="228">
        <f t="shared" si="3"/>
        <v>184500</v>
      </c>
      <c r="K15" s="228">
        <f t="shared" si="3"/>
        <v>0</v>
      </c>
      <c r="L15" s="228">
        <f t="shared" si="3"/>
        <v>820000</v>
      </c>
    </row>
    <row r="16" spans="1:15">
      <c r="A16" s="229"/>
      <c r="B16" s="229"/>
      <c r="C16" s="229"/>
    </row>
    <row r="17" spans="2:12" ht="29.25" customHeight="1">
      <c r="B17" s="230" t="s">
        <v>301</v>
      </c>
      <c r="C17" s="231">
        <f>材料成本!D12</f>
        <v>1475.3649234997063</v>
      </c>
      <c r="D17" s="231">
        <f>材料成本!E12</f>
        <v>1841.0102834997065</v>
      </c>
      <c r="E17" s="231">
        <f>材料成本!F12</f>
        <v>2465.0500511273708</v>
      </c>
      <c r="F17" s="231">
        <f>材料成本!G12</f>
        <v>2242.8500511273701</v>
      </c>
      <c r="G17" s="231">
        <f>材料成本!H12</f>
        <v>1474.5503190362062</v>
      </c>
      <c r="H17" s="231">
        <f>材料成本!I12</f>
        <v>49.983419581760003</v>
      </c>
      <c r="I17" s="231">
        <f>材料成本!J12</f>
        <v>594.02597265781958</v>
      </c>
      <c r="J17" s="231">
        <f>材料成本!K12</f>
        <v>45.87</v>
      </c>
      <c r="K17" s="230"/>
      <c r="L17" s="230"/>
    </row>
    <row r="18" spans="2:12" ht="29.25" customHeight="1">
      <c r="B18" s="230" t="s">
        <v>302</v>
      </c>
      <c r="C18" s="231">
        <f>C8-C17</f>
        <v>386.47507650029365</v>
      </c>
      <c r="D18" s="231">
        <f t="shared" ref="D18:J18" si="4">D8-D17</f>
        <v>321.58971650029343</v>
      </c>
      <c r="E18" s="231">
        <f t="shared" si="4"/>
        <v>489.72994887262939</v>
      </c>
      <c r="F18" s="231">
        <f t="shared" si="4"/>
        <v>661.68994887262988</v>
      </c>
      <c r="G18" s="231">
        <f t="shared" si="4"/>
        <v>405.28968096379367</v>
      </c>
      <c r="H18" s="231">
        <f t="shared" si="4"/>
        <v>35.936580418239998</v>
      </c>
      <c r="I18" s="231">
        <f t="shared" si="4"/>
        <v>76.144027342180379</v>
      </c>
      <c r="J18" s="231">
        <f t="shared" si="4"/>
        <v>30.71</v>
      </c>
      <c r="K18" s="230"/>
      <c r="L18" s="230"/>
    </row>
    <row r="19" spans="2:12" ht="29.25" customHeight="1">
      <c r="B19" s="230" t="s">
        <v>303</v>
      </c>
      <c r="C19" s="232">
        <f>C18/C8</f>
        <v>0.20757695424971731</v>
      </c>
      <c r="D19" s="232">
        <f t="shared" ref="D19:J19" si="5">D18/D8</f>
        <v>0.14870513109233952</v>
      </c>
      <c r="E19" s="232">
        <f t="shared" si="5"/>
        <v>0.16574159459338067</v>
      </c>
      <c r="F19" s="232">
        <f t="shared" si="5"/>
        <v>0.22781230379772008</v>
      </c>
      <c r="G19" s="232">
        <f t="shared" si="5"/>
        <v>0.21559796629702191</v>
      </c>
      <c r="H19" s="232">
        <f t="shared" si="5"/>
        <v>0.4182562897839851</v>
      </c>
      <c r="I19" s="232">
        <f t="shared" si="5"/>
        <v>0.11361897330853422</v>
      </c>
      <c r="J19" s="232">
        <f t="shared" si="5"/>
        <v>0.40101854270044401</v>
      </c>
      <c r="K19" s="230"/>
      <c r="L19" s="230"/>
    </row>
  </sheetData>
  <mergeCells count="4">
    <mergeCell ref="A15:B15"/>
    <mergeCell ref="A5:A8"/>
    <mergeCell ref="A9:A14"/>
    <mergeCell ref="L5:L8"/>
  </mergeCells>
  <phoneticPr fontId="37" type="noConversion"/>
  <conditionalFormatting sqref="K3">
    <cfRule type="cellIs" dxfId="0" priority="1" operator="equal">
      <formula>"价值版"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15" activePane="bottomRight" state="frozen"/>
      <selection pane="topRight"/>
      <selection pane="bottomLeft"/>
      <selection pane="bottomRight" activeCell="G29" sqref="G29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7" style="5" customWidth="1"/>
    <col min="6" max="11" width="16.25" style="5" customWidth="1"/>
    <col min="12" max="12" width="17.125" style="5" customWidth="1"/>
    <col min="13" max="13" width="17.375" style="5" customWidth="1"/>
    <col min="14" max="14" width="16" style="5" customWidth="1"/>
    <col min="15" max="16384" width="9" style="5"/>
  </cols>
  <sheetData>
    <row r="1" spans="1:15" s="4" customFormat="1" ht="28.5" customHeight="1">
      <c r="A1" s="282" t="s">
        <v>6</v>
      </c>
      <c r="B1" s="282"/>
      <c r="C1" s="6"/>
      <c r="N1" s="9"/>
    </row>
    <row r="2" spans="1:15">
      <c r="A2" s="283" t="s">
        <v>193</v>
      </c>
      <c r="B2" s="283"/>
      <c r="C2" s="284"/>
      <c r="D2" s="284"/>
      <c r="E2" s="285" t="s">
        <v>275</v>
      </c>
      <c r="F2" s="286"/>
      <c r="G2" s="286"/>
      <c r="H2" s="286"/>
      <c r="I2" s="286"/>
      <c r="J2" s="286"/>
      <c r="K2" s="286"/>
      <c r="L2" s="286"/>
      <c r="M2" s="287"/>
    </row>
    <row r="3" spans="1:15" ht="24" customHeight="1">
      <c r="A3" s="272" t="s">
        <v>14</v>
      </c>
      <c r="B3" s="272" t="s">
        <v>194</v>
      </c>
      <c r="C3" s="7" t="s">
        <v>195</v>
      </c>
      <c r="D3" s="288" t="s">
        <v>265</v>
      </c>
      <c r="E3" s="288"/>
      <c r="F3" s="7" t="s">
        <v>196</v>
      </c>
      <c r="G3" s="188" t="s">
        <v>264</v>
      </c>
      <c r="H3" s="188"/>
      <c r="I3" s="188"/>
      <c r="J3" s="188"/>
      <c r="K3" s="188"/>
      <c r="L3" s="180"/>
      <c r="M3" s="289" t="s">
        <v>149</v>
      </c>
    </row>
    <row r="4" spans="1:15">
      <c r="A4" s="272"/>
      <c r="B4" s="272"/>
      <c r="C4" s="7" t="s">
        <v>139</v>
      </c>
      <c r="D4" s="166" t="str">
        <f>销量!C5</f>
        <v>驾驶员座椅总成</v>
      </c>
      <c r="E4" s="166" t="str">
        <f>销量!D5</f>
        <v>驾驶员座椅总成</v>
      </c>
      <c r="F4" s="166" t="str">
        <f>销量!E5</f>
        <v>驾驶员座椅总成</v>
      </c>
      <c r="G4" s="166" t="str">
        <f>销量!F5</f>
        <v>驾驶员座椅总成</v>
      </c>
      <c r="H4" s="166" t="str">
        <f>销量!G5</f>
        <v>副驾驶座椅总成</v>
      </c>
      <c r="I4" s="166" t="str">
        <f>销量!H5</f>
        <v>驾驶员底支架</v>
      </c>
      <c r="J4" s="166" t="str">
        <f>销量!I5</f>
        <v>副驾驶功能座椅</v>
      </c>
      <c r="K4" s="166" t="str">
        <f>销量!J5</f>
        <v>副驾驶员底支架</v>
      </c>
      <c r="L4" s="166"/>
      <c r="M4" s="290"/>
    </row>
    <row r="5" spans="1:15" ht="30">
      <c r="A5" s="272"/>
      <c r="B5" s="272"/>
      <c r="C5" s="7" t="s">
        <v>273</v>
      </c>
      <c r="D5" s="167" t="str">
        <f>销量!C6</f>
        <v>SHT0011947</v>
      </c>
      <c r="E5" s="167" t="str">
        <f>销量!D6</f>
        <v>SHT0011948</v>
      </c>
      <c r="F5" s="167" t="str">
        <f>销量!E6</f>
        <v>SHT0011950</v>
      </c>
      <c r="G5" s="167" t="str">
        <f>销量!F6</f>
        <v>SHT0011949</v>
      </c>
      <c r="H5" s="167" t="str">
        <f>销量!G6</f>
        <v>SHT0011951</v>
      </c>
      <c r="I5" s="167" t="str">
        <f>销量!H6</f>
        <v>SHT0010844</v>
      </c>
      <c r="J5" s="167" t="str">
        <f>销量!I6</f>
        <v>SHT0011952</v>
      </c>
      <c r="K5" s="167" t="str">
        <f>销量!J6</f>
        <v>SHT0011878</v>
      </c>
      <c r="L5" s="167"/>
      <c r="M5" s="291"/>
    </row>
    <row r="6" spans="1:15" s="184" customFormat="1" ht="38.25" customHeight="1">
      <c r="A6" s="187">
        <v>1</v>
      </c>
      <c r="B6" s="292"/>
      <c r="C6" s="293"/>
      <c r="D6" s="190">
        <v>1475.3649234997063</v>
      </c>
      <c r="E6" s="190">
        <v>1841.0102834997065</v>
      </c>
      <c r="F6" s="190">
        <v>2465.0500511273708</v>
      </c>
      <c r="G6" s="190">
        <v>2242.8500511273701</v>
      </c>
      <c r="H6" s="190">
        <v>1474.5503190362062</v>
      </c>
      <c r="I6" s="190">
        <v>49.983419581760003</v>
      </c>
      <c r="J6" s="190">
        <v>594.02597265781958</v>
      </c>
      <c r="K6" s="190">
        <v>45.87</v>
      </c>
      <c r="L6" s="193"/>
      <c r="M6" s="146" t="s">
        <v>274</v>
      </c>
    </row>
    <row r="7" spans="1:15" s="184" customFormat="1" ht="16.5" customHeight="1">
      <c r="A7" s="187">
        <v>2</v>
      </c>
      <c r="B7" s="292"/>
      <c r="C7" s="293"/>
      <c r="D7" s="192"/>
      <c r="E7" s="192"/>
      <c r="F7" s="192"/>
      <c r="G7" s="192"/>
      <c r="H7" s="192"/>
      <c r="I7" s="192"/>
      <c r="J7" s="192"/>
      <c r="K7" s="192"/>
      <c r="L7" s="192"/>
      <c r="M7" s="191"/>
    </row>
    <row r="8" spans="1:15" s="184" customFormat="1" ht="16.5" customHeight="1">
      <c r="A8" s="187">
        <v>3</v>
      </c>
      <c r="B8" s="292"/>
      <c r="C8" s="293"/>
      <c r="D8" s="193"/>
      <c r="E8" s="192"/>
      <c r="F8" s="193"/>
      <c r="G8" s="193"/>
      <c r="H8" s="193"/>
      <c r="I8" s="193"/>
      <c r="J8" s="193"/>
      <c r="K8" s="193"/>
      <c r="L8" s="192"/>
      <c r="M8" s="191"/>
    </row>
    <row r="9" spans="1:15" s="184" customFormat="1">
      <c r="A9" s="187">
        <v>4</v>
      </c>
      <c r="B9" s="292"/>
      <c r="C9" s="293"/>
      <c r="D9" s="193"/>
      <c r="E9" s="192"/>
      <c r="F9" s="193"/>
      <c r="G9" s="193"/>
      <c r="H9" s="193"/>
      <c r="I9" s="193"/>
      <c r="J9" s="193"/>
      <c r="K9" s="193"/>
      <c r="L9" s="192"/>
      <c r="M9" s="191"/>
    </row>
    <row r="10" spans="1:15" s="184" customFormat="1" ht="16.5" customHeight="1">
      <c r="A10" s="187">
        <v>5</v>
      </c>
      <c r="B10" s="292"/>
      <c r="C10" s="293"/>
      <c r="D10" s="193"/>
      <c r="E10" s="192"/>
      <c r="F10" s="193"/>
      <c r="G10" s="193"/>
      <c r="H10" s="193"/>
      <c r="I10" s="193"/>
      <c r="J10" s="193"/>
      <c r="K10" s="193"/>
      <c r="L10" s="192"/>
      <c r="M10" s="191"/>
      <c r="N10" s="270"/>
      <c r="O10" s="271"/>
    </row>
    <row r="11" spans="1:15" s="184" customFormat="1" ht="16.5" customHeight="1">
      <c r="A11" s="187">
        <v>6</v>
      </c>
      <c r="B11" s="292"/>
      <c r="C11" s="293"/>
      <c r="D11" s="193"/>
      <c r="E11" s="192"/>
      <c r="F11" s="193"/>
      <c r="G11" s="193"/>
      <c r="H11" s="193"/>
      <c r="I11" s="193"/>
      <c r="J11" s="193"/>
      <c r="K11" s="193"/>
      <c r="L11" s="192"/>
      <c r="M11" s="191"/>
      <c r="N11" s="270"/>
      <c r="O11" s="271"/>
    </row>
    <row r="12" spans="1:15" ht="31.5" customHeight="1">
      <c r="A12" s="274" t="s">
        <v>197</v>
      </c>
      <c r="B12" s="275"/>
      <c r="C12" s="276"/>
      <c r="D12" s="8">
        <f>SUM(D6:D11)</f>
        <v>1475.3649234997063</v>
      </c>
      <c r="E12" s="8">
        <f>SUM(E6:E11)</f>
        <v>1841.0102834997065</v>
      </c>
      <c r="F12" s="8">
        <f t="shared" ref="F12:K12" si="0">SUM(F6:F11)</f>
        <v>2465.0500511273708</v>
      </c>
      <c r="G12" s="8">
        <f t="shared" si="0"/>
        <v>2242.8500511273701</v>
      </c>
      <c r="H12" s="8">
        <f t="shared" si="0"/>
        <v>1474.5503190362062</v>
      </c>
      <c r="I12" s="8">
        <f t="shared" si="0"/>
        <v>49.983419581760003</v>
      </c>
      <c r="J12" s="8">
        <f t="shared" si="0"/>
        <v>594.02597265781958</v>
      </c>
      <c r="K12" s="8">
        <f t="shared" si="0"/>
        <v>45.87</v>
      </c>
      <c r="L12" s="8">
        <f>SUM(L6:L11)</f>
        <v>0</v>
      </c>
      <c r="M12" s="202" t="s">
        <v>299</v>
      </c>
    </row>
    <row r="13" spans="1:15">
      <c r="D13" s="151"/>
      <c r="E13" s="14"/>
      <c r="F13" s="14"/>
      <c r="G13" s="14"/>
      <c r="H13" s="14"/>
      <c r="I13" s="14"/>
      <c r="J13" s="14"/>
      <c r="K13" s="14"/>
    </row>
    <row r="14" spans="1:15">
      <c r="D14" s="14"/>
      <c r="E14" s="14"/>
      <c r="F14" s="14"/>
      <c r="G14" s="14"/>
      <c r="H14" s="14"/>
      <c r="I14" s="14"/>
      <c r="J14" s="14"/>
      <c r="K14" s="14"/>
    </row>
    <row r="15" spans="1:15">
      <c r="D15" s="14"/>
      <c r="E15" s="14"/>
      <c r="F15" s="14"/>
      <c r="G15" s="14"/>
      <c r="H15" s="14"/>
      <c r="I15" s="14"/>
      <c r="J15" s="14"/>
      <c r="K15" s="14"/>
    </row>
    <row r="17" spans="2:13" ht="27.75" customHeight="1">
      <c r="C17" s="10"/>
      <c r="D17" s="273" t="s">
        <v>276</v>
      </c>
      <c r="E17" s="273"/>
      <c r="F17" s="273"/>
      <c r="G17" s="273"/>
      <c r="H17" s="273"/>
      <c r="I17" s="273"/>
      <c r="J17" s="273"/>
      <c r="K17" s="273"/>
      <c r="L17" s="273"/>
      <c r="M17" s="273"/>
    </row>
    <row r="18" spans="2:13">
      <c r="C18" s="277" t="s">
        <v>227</v>
      </c>
      <c r="D18" s="277" t="s">
        <v>272</v>
      </c>
      <c r="E18" s="279" t="s">
        <v>277</v>
      </c>
      <c r="F18" s="280"/>
      <c r="G18" s="280"/>
      <c r="H18" s="280"/>
      <c r="I18" s="280"/>
      <c r="J18" s="280"/>
      <c r="K18" s="280"/>
      <c r="L18" s="280"/>
      <c r="M18" s="281"/>
    </row>
    <row r="19" spans="2:13">
      <c r="B19" s="14"/>
      <c r="C19" s="278"/>
      <c r="D19" s="278"/>
      <c r="E19" s="155" t="s">
        <v>269</v>
      </c>
      <c r="F19" s="186" t="s">
        <v>182</v>
      </c>
      <c r="G19" s="186" t="s">
        <v>183</v>
      </c>
      <c r="H19" s="186" t="s">
        <v>228</v>
      </c>
      <c r="I19" s="186" t="s">
        <v>243</v>
      </c>
      <c r="J19" s="186" t="s">
        <v>244</v>
      </c>
      <c r="K19" s="186" t="s">
        <v>270</v>
      </c>
      <c r="L19" s="186" t="s">
        <v>271</v>
      </c>
      <c r="M19" s="155"/>
    </row>
    <row r="20" spans="2:13">
      <c r="C20" s="189" t="s">
        <v>245</v>
      </c>
      <c r="D20" s="189" t="s">
        <v>246</v>
      </c>
      <c r="E20" s="192">
        <v>1475.3649234997063</v>
      </c>
      <c r="F20" s="157">
        <f>E20*(1-0.01)</f>
        <v>1460.6112742647092</v>
      </c>
      <c r="G20" s="157">
        <f t="shared" ref="G20:I20" si="1">F20*(1-0.01)</f>
        <v>1446.0051615220621</v>
      </c>
      <c r="H20" s="157">
        <f t="shared" si="1"/>
        <v>1431.5451099068414</v>
      </c>
      <c r="I20" s="157">
        <f t="shared" si="1"/>
        <v>1417.2296588077729</v>
      </c>
      <c r="J20" s="157"/>
      <c r="K20" s="157"/>
      <c r="L20" s="157"/>
      <c r="M20" s="157"/>
    </row>
    <row r="21" spans="2:13">
      <c r="C21" s="189" t="s">
        <v>245</v>
      </c>
      <c r="D21" s="189" t="s">
        <v>248</v>
      </c>
      <c r="E21" s="192">
        <v>1841.0102834997065</v>
      </c>
      <c r="F21" s="157">
        <f t="shared" ref="F21:I27" si="2">E21*(1-0.01)</f>
        <v>1822.6001806647093</v>
      </c>
      <c r="G21" s="157">
        <f t="shared" si="2"/>
        <v>1804.3741788580621</v>
      </c>
      <c r="H21" s="157">
        <f t="shared" si="2"/>
        <v>1786.3304370694814</v>
      </c>
      <c r="I21" s="157">
        <f t="shared" si="2"/>
        <v>1768.4671326987866</v>
      </c>
      <c r="J21" s="157"/>
      <c r="K21" s="157"/>
      <c r="L21" s="157"/>
      <c r="M21" s="157"/>
    </row>
    <row r="22" spans="2:13">
      <c r="C22" s="189" t="s">
        <v>245</v>
      </c>
      <c r="D22" s="189" t="s">
        <v>250</v>
      </c>
      <c r="E22" s="192">
        <v>2465.0500511273708</v>
      </c>
      <c r="F22" s="157">
        <f t="shared" si="2"/>
        <v>2440.3995506160973</v>
      </c>
      <c r="G22" s="157">
        <f t="shared" si="2"/>
        <v>2415.995555109936</v>
      </c>
      <c r="H22" s="157">
        <f t="shared" si="2"/>
        <v>2391.8355995588367</v>
      </c>
      <c r="I22" s="157">
        <f t="shared" si="2"/>
        <v>2367.9172435632486</v>
      </c>
      <c r="J22" s="157"/>
      <c r="K22" s="157"/>
      <c r="L22" s="157"/>
      <c r="M22" s="157"/>
    </row>
    <row r="23" spans="2:13">
      <c r="C23" s="189" t="s">
        <v>245</v>
      </c>
      <c r="D23" s="189" t="s">
        <v>252</v>
      </c>
      <c r="E23" s="192">
        <v>2242.8500511273701</v>
      </c>
      <c r="F23" s="157">
        <f t="shared" si="2"/>
        <v>2220.4215506160963</v>
      </c>
      <c r="G23" s="157">
        <f t="shared" si="2"/>
        <v>2198.2173351099354</v>
      </c>
      <c r="H23" s="157">
        <f t="shared" si="2"/>
        <v>2176.2351617588361</v>
      </c>
      <c r="I23" s="157">
        <f t="shared" si="2"/>
        <v>2154.4728101412475</v>
      </c>
      <c r="J23" s="157"/>
      <c r="K23" s="157"/>
      <c r="L23" s="157"/>
      <c r="M23" s="157"/>
    </row>
    <row r="24" spans="2:13">
      <c r="C24" s="189" t="s">
        <v>254</v>
      </c>
      <c r="D24" s="189" t="s">
        <v>255</v>
      </c>
      <c r="E24" s="192">
        <v>1474.5503190362062</v>
      </c>
      <c r="F24" s="157">
        <f t="shared" si="2"/>
        <v>1459.8048158458441</v>
      </c>
      <c r="G24" s="157">
        <f t="shared" si="2"/>
        <v>1445.2067676873858</v>
      </c>
      <c r="H24" s="157">
        <f t="shared" si="2"/>
        <v>1430.7547000105119</v>
      </c>
      <c r="I24" s="157">
        <f t="shared" si="2"/>
        <v>1416.4471530104067</v>
      </c>
      <c r="J24" s="157"/>
      <c r="K24" s="157"/>
      <c r="L24" s="157"/>
      <c r="M24" s="157"/>
    </row>
    <row r="25" spans="2:13">
      <c r="C25" s="189" t="s">
        <v>257</v>
      </c>
      <c r="D25" s="189" t="s">
        <v>258</v>
      </c>
      <c r="E25" s="192">
        <v>49.983419581760003</v>
      </c>
      <c r="F25" s="157">
        <f t="shared" si="2"/>
        <v>49.483585385942405</v>
      </c>
      <c r="G25" s="157">
        <f t="shared" si="2"/>
        <v>48.988749532082977</v>
      </c>
      <c r="H25" s="157">
        <f t="shared" si="2"/>
        <v>48.498862036762148</v>
      </c>
      <c r="I25" s="157">
        <f t="shared" si="2"/>
        <v>48.013873416394524</v>
      </c>
      <c r="J25" s="157"/>
      <c r="K25" s="157"/>
      <c r="L25" s="157"/>
      <c r="M25" s="157"/>
    </row>
    <row r="26" spans="2:13">
      <c r="C26" s="189" t="s">
        <v>259</v>
      </c>
      <c r="D26" s="189" t="s">
        <v>260</v>
      </c>
      <c r="E26" s="192">
        <v>594.02597265781958</v>
      </c>
      <c r="F26" s="157">
        <f t="shared" si="2"/>
        <v>588.08571293124135</v>
      </c>
      <c r="G26" s="157">
        <f t="shared" si="2"/>
        <v>582.20485580192894</v>
      </c>
      <c r="H26" s="157">
        <f t="shared" si="2"/>
        <v>576.38280724390961</v>
      </c>
      <c r="I26" s="157">
        <f t="shared" si="2"/>
        <v>570.61897917147053</v>
      </c>
      <c r="J26" s="157"/>
      <c r="K26" s="157"/>
      <c r="L26" s="157"/>
      <c r="M26" s="10"/>
    </row>
    <row r="27" spans="2:13">
      <c r="C27" s="189" t="s">
        <v>262</v>
      </c>
      <c r="D27" s="189" t="s">
        <v>263</v>
      </c>
      <c r="E27" s="192">
        <v>45.87</v>
      </c>
      <c r="F27" s="157">
        <f t="shared" si="2"/>
        <v>45.411299999999997</v>
      </c>
      <c r="G27" s="157">
        <f t="shared" si="2"/>
        <v>44.957186999999998</v>
      </c>
      <c r="H27" s="157">
        <f t="shared" si="2"/>
        <v>44.507615129999998</v>
      </c>
      <c r="I27" s="157">
        <f t="shared" si="2"/>
        <v>44.062538978699997</v>
      </c>
      <c r="J27" s="157"/>
      <c r="K27" s="157"/>
      <c r="L27" s="157"/>
      <c r="M27" s="10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E9" sqref="E9"/>
    </sheetView>
  </sheetViews>
  <sheetFormatPr defaultColWidth="9" defaultRowHeight="13.5"/>
  <cols>
    <col min="1" max="1" width="9" style="3"/>
    <col min="2" max="2" width="29.625" style="3" customWidth="1"/>
    <col min="3" max="3" width="21.625" style="3" customWidth="1"/>
    <col min="4" max="4" width="22" style="3" customWidth="1"/>
    <col min="5" max="16384" width="9" style="3"/>
  </cols>
  <sheetData>
    <row r="1" spans="1:5" ht="27" customHeight="1">
      <c r="A1" s="181" t="s">
        <v>14</v>
      </c>
      <c r="B1" s="181" t="s">
        <v>198</v>
      </c>
      <c r="C1" s="181" t="s">
        <v>199</v>
      </c>
      <c r="D1" s="181" t="s">
        <v>200</v>
      </c>
    </row>
    <row r="2" spans="1:5" ht="27" customHeight="1">
      <c r="A2" s="181">
        <v>1</v>
      </c>
      <c r="B2" s="195" t="s">
        <v>201</v>
      </c>
      <c r="C2" s="182" t="s">
        <v>280</v>
      </c>
      <c r="D2" s="194" t="s">
        <v>281</v>
      </c>
    </row>
    <row r="3" spans="1:5" ht="27" customHeight="1">
      <c r="A3" s="181">
        <v>2</v>
      </c>
      <c r="B3" s="195" t="s">
        <v>202</v>
      </c>
      <c r="C3" s="183" t="s">
        <v>283</v>
      </c>
      <c r="D3" s="194" t="s">
        <v>282</v>
      </c>
    </row>
    <row r="4" spans="1:5" ht="27" customHeight="1">
      <c r="A4" s="181">
        <v>3</v>
      </c>
      <c r="B4" s="195" t="s">
        <v>203</v>
      </c>
      <c r="C4" s="182" t="s">
        <v>284</v>
      </c>
      <c r="D4" s="181" t="s">
        <v>285</v>
      </c>
    </row>
    <row r="5" spans="1:5" ht="27" customHeight="1">
      <c r="A5" s="181">
        <v>4</v>
      </c>
      <c r="B5" s="195" t="s">
        <v>204</v>
      </c>
      <c r="C5" s="182" t="s">
        <v>286</v>
      </c>
      <c r="D5" s="181"/>
    </row>
    <row r="6" spans="1:5" ht="27" customHeight="1">
      <c r="A6" s="181">
        <v>5</v>
      </c>
      <c r="B6" s="195" t="s">
        <v>205</v>
      </c>
      <c r="C6" s="182" t="s">
        <v>287</v>
      </c>
      <c r="D6" s="194" t="s">
        <v>279</v>
      </c>
    </row>
    <row r="7" spans="1:5" ht="27" customHeight="1">
      <c r="A7" s="181">
        <v>6</v>
      </c>
      <c r="B7" s="181" t="s">
        <v>206</v>
      </c>
      <c r="C7" s="183" t="s">
        <v>288</v>
      </c>
      <c r="D7" s="181"/>
    </row>
    <row r="8" spans="1:5" ht="27" customHeight="1">
      <c r="A8" s="181">
        <v>7</v>
      </c>
      <c r="B8" s="195" t="s">
        <v>207</v>
      </c>
      <c r="C8" s="196" t="s">
        <v>289</v>
      </c>
      <c r="D8" s="181"/>
    </row>
    <row r="9" spans="1:5" ht="27" customHeight="1">
      <c r="A9" s="181">
        <v>8</v>
      </c>
      <c r="B9" s="181" t="s">
        <v>208</v>
      </c>
      <c r="C9" s="196"/>
      <c r="D9" s="181"/>
    </row>
    <row r="10" spans="1:5" ht="27" customHeight="1">
      <c r="A10" s="181">
        <v>9</v>
      </c>
      <c r="B10" s="181" t="s">
        <v>209</v>
      </c>
      <c r="C10" s="196" t="s">
        <v>278</v>
      </c>
      <c r="D10" s="181"/>
    </row>
    <row r="11" spans="1:5" ht="27" customHeight="1">
      <c r="A11" s="181">
        <v>10</v>
      </c>
      <c r="B11" s="181" t="s">
        <v>210</v>
      </c>
      <c r="C11" s="196"/>
      <c r="D11" s="181" t="s">
        <v>290</v>
      </c>
      <c r="E11" s="150" t="s">
        <v>226</v>
      </c>
    </row>
    <row r="12" spans="1:5" ht="27" customHeight="1">
      <c r="A12" s="181">
        <v>11</v>
      </c>
      <c r="B12" s="181" t="s">
        <v>211</v>
      </c>
      <c r="C12" s="196"/>
      <c r="D12" s="181"/>
    </row>
    <row r="13" spans="1:5" ht="27" customHeight="1">
      <c r="A13" s="181">
        <v>12</v>
      </c>
      <c r="B13" s="195" t="s">
        <v>291</v>
      </c>
      <c r="C13" s="196" t="s">
        <v>292</v>
      </c>
      <c r="D13" s="181"/>
    </row>
    <row r="14" spans="1:5" ht="27" customHeight="1">
      <c r="A14" s="181">
        <v>13</v>
      </c>
      <c r="B14" s="195" t="s">
        <v>293</v>
      </c>
      <c r="C14" s="196" t="s">
        <v>294</v>
      </c>
      <c r="D14" s="181" t="s">
        <v>234</v>
      </c>
    </row>
    <row r="15" spans="1:5" ht="27" customHeight="1">
      <c r="A15" s="181">
        <v>14</v>
      </c>
      <c r="B15" s="195" t="s">
        <v>295</v>
      </c>
      <c r="C15" s="196" t="s">
        <v>296</v>
      </c>
      <c r="D15" s="181"/>
    </row>
    <row r="16" spans="1:5" ht="29.25" customHeight="1">
      <c r="A16" s="181">
        <v>15</v>
      </c>
      <c r="B16" s="181" t="s">
        <v>125</v>
      </c>
      <c r="C16" s="181"/>
      <c r="D16" s="181"/>
    </row>
    <row r="17" spans="2:3" ht="16.5">
      <c r="B17" s="197" t="s">
        <v>297</v>
      </c>
      <c r="C17" s="198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I11" sqref="I11"/>
    </sheetView>
  </sheetViews>
  <sheetFormatPr defaultColWidth="9" defaultRowHeight="13.5"/>
  <cols>
    <col min="1" max="2" width="9" style="56"/>
    <col min="3" max="3" width="14.625" style="56" customWidth="1"/>
    <col min="4" max="4" width="12.375" style="56" customWidth="1"/>
    <col min="5" max="7" width="11.125" style="56" customWidth="1"/>
    <col min="8" max="8" width="11" style="139" customWidth="1"/>
    <col min="9" max="16384" width="9" style="56"/>
  </cols>
  <sheetData>
    <row r="1" spans="1:11" s="136" customFormat="1" ht="18.75" customHeight="1">
      <c r="F1" s="294" t="s">
        <v>212</v>
      </c>
      <c r="G1" s="294"/>
      <c r="H1" s="137"/>
    </row>
    <row r="2" spans="1:11" ht="20.25" customHeight="1">
      <c r="A2" s="300" t="s">
        <v>213</v>
      </c>
      <c r="B2" s="300"/>
      <c r="C2" s="301"/>
      <c r="D2" s="301"/>
      <c r="E2" s="301"/>
      <c r="F2" s="301"/>
      <c r="G2" s="297"/>
      <c r="H2" s="138" t="s">
        <v>220</v>
      </c>
      <c r="J2" s="154"/>
      <c r="K2" s="154"/>
    </row>
    <row r="3" spans="1:11" ht="34.5" customHeight="1">
      <c r="A3" s="300"/>
      <c r="B3" s="300"/>
      <c r="C3" s="145" t="s">
        <v>222</v>
      </c>
      <c r="D3" s="145" t="s">
        <v>221</v>
      </c>
      <c r="E3" s="146" t="s">
        <v>225</v>
      </c>
      <c r="F3" s="146" t="s">
        <v>224</v>
      </c>
      <c r="G3" s="146" t="s">
        <v>298</v>
      </c>
      <c r="H3" s="149">
        <f>销量!C8</f>
        <v>1861.84</v>
      </c>
    </row>
    <row r="4" spans="1:11">
      <c r="A4" s="295" t="s">
        <v>214</v>
      </c>
      <c r="B4" s="295"/>
      <c r="C4" s="140"/>
      <c r="D4" s="141">
        <f>$H$3*E4</f>
        <v>108.24849493956043</v>
      </c>
      <c r="E4" s="161">
        <v>5.8140600126520232E-2</v>
      </c>
      <c r="F4" s="161">
        <v>0.10179000000000001</v>
      </c>
      <c r="G4" s="142">
        <v>6.3270000000000007E-2</v>
      </c>
      <c r="I4" s="152"/>
      <c r="J4" s="57"/>
      <c r="K4" s="57"/>
    </row>
    <row r="5" spans="1:11">
      <c r="A5" s="295" t="s">
        <v>215</v>
      </c>
      <c r="B5" s="143" t="s">
        <v>216</v>
      </c>
      <c r="C5" s="140"/>
      <c r="D5" s="141">
        <f>$H$3*E5</f>
        <v>83.782799999999995</v>
      </c>
      <c r="E5" s="142">
        <v>4.4999999999999998E-2</v>
      </c>
      <c r="F5" s="161">
        <v>0.2</v>
      </c>
      <c r="G5" s="142">
        <v>0.08</v>
      </c>
      <c r="I5" s="153"/>
      <c r="J5" s="57"/>
      <c r="K5" s="57"/>
    </row>
    <row r="6" spans="1:11">
      <c r="A6" s="295"/>
      <c r="B6" s="143" t="s">
        <v>217</v>
      </c>
      <c r="C6" s="140"/>
      <c r="D6" s="141">
        <f t="shared" ref="D6" si="0">$H$3*E6</f>
        <v>33.64038959431776</v>
      </c>
      <c r="E6" s="161">
        <v>1.8068356891203199E-2</v>
      </c>
      <c r="F6" s="161">
        <v>4.0280000000000003E-2</v>
      </c>
      <c r="G6" s="142">
        <v>2.068E-2</v>
      </c>
      <c r="I6" s="152"/>
      <c r="J6" s="57"/>
      <c r="K6" s="57"/>
    </row>
    <row r="7" spans="1:11">
      <c r="A7" s="296" t="s">
        <v>218</v>
      </c>
      <c r="B7" s="297"/>
      <c r="C7" s="144"/>
      <c r="D7" s="199">
        <f>$H$3*E7</f>
        <v>225.67168453387819</v>
      </c>
      <c r="E7" s="200">
        <f>SUM(E4:E6)</f>
        <v>0.12120895701772344</v>
      </c>
      <c r="F7" s="200">
        <f>SUM(F4:F6)</f>
        <v>0.34206999999999999</v>
      </c>
      <c r="G7" s="201">
        <f>SUM(G4:G6)</f>
        <v>0.16395000000000001</v>
      </c>
      <c r="I7" s="152"/>
      <c r="J7" s="57"/>
      <c r="K7" s="57"/>
    </row>
    <row r="8" spans="1:11">
      <c r="A8" s="295" t="s">
        <v>45</v>
      </c>
      <c r="B8" s="295"/>
      <c r="C8" s="140"/>
      <c r="D8" s="141">
        <f>$H$3*E8</f>
        <v>75.522391771062516</v>
      </c>
      <c r="E8" s="162">
        <v>4.0563309291379773E-2</v>
      </c>
      <c r="F8" s="161">
        <v>2.9350000000000001E-2</v>
      </c>
      <c r="G8" s="142">
        <v>4.9200000000000001E-2</v>
      </c>
      <c r="I8" s="153"/>
      <c r="J8" s="57"/>
      <c r="K8" s="57"/>
    </row>
    <row r="9" spans="1:11">
      <c r="A9" s="298" t="s">
        <v>219</v>
      </c>
      <c r="B9" s="143" t="s">
        <v>216</v>
      </c>
      <c r="C9" s="140"/>
      <c r="D9" s="141">
        <f>$H$3*E9</f>
        <v>14.708536</v>
      </c>
      <c r="E9" s="142">
        <v>7.9000000000000008E-3</v>
      </c>
      <c r="F9" s="161">
        <v>2.1489999999999999E-2</v>
      </c>
      <c r="G9" s="142">
        <v>9.4900000000000002E-3</v>
      </c>
      <c r="I9" s="139"/>
      <c r="J9" s="57"/>
      <c r="K9" s="57"/>
    </row>
    <row r="10" spans="1:11">
      <c r="A10" s="299"/>
      <c r="B10" s="143" t="s">
        <v>217</v>
      </c>
      <c r="C10" s="140"/>
      <c r="D10" s="141">
        <f>$H$3*E10</f>
        <v>18.618400000000001</v>
      </c>
      <c r="E10" s="139">
        <v>0.01</v>
      </c>
      <c r="F10" s="161">
        <v>5.8119999999999998E-2</v>
      </c>
      <c r="G10" s="142">
        <v>5.4899999999999997E-2</v>
      </c>
      <c r="I10" s="139"/>
      <c r="J10" s="57"/>
      <c r="K10" s="57"/>
    </row>
    <row r="11" spans="1:11">
      <c r="A11" s="295" t="s">
        <v>48</v>
      </c>
      <c r="B11" s="295"/>
      <c r="C11" s="140"/>
      <c r="D11" s="141">
        <f t="shared" ref="D11" si="1">$H$3*E11</f>
        <v>39.657191999999995</v>
      </c>
      <c r="E11" s="142">
        <v>2.1299999999999999E-2</v>
      </c>
      <c r="F11" s="161">
        <v>2.1299999999999999E-2</v>
      </c>
      <c r="G11" s="142">
        <v>2.1299999999999999E-2</v>
      </c>
      <c r="I11" s="139"/>
      <c r="J11" s="57"/>
      <c r="K11" s="57"/>
    </row>
    <row r="15" spans="1:11">
      <c r="A15" s="136"/>
      <c r="B15" s="136"/>
      <c r="C15" s="136"/>
      <c r="D15" s="136"/>
      <c r="E15" s="136"/>
      <c r="F15" s="294" t="s">
        <v>212</v>
      </c>
      <c r="G15" s="294"/>
      <c r="H15" s="137"/>
    </row>
    <row r="16" spans="1:11" ht="22.5" customHeight="1">
      <c r="A16" s="300" t="s">
        <v>213</v>
      </c>
      <c r="B16" s="300"/>
      <c r="C16" s="301"/>
      <c r="D16" s="301"/>
      <c r="E16" s="301"/>
      <c r="F16" s="301"/>
      <c r="G16" s="297"/>
      <c r="H16" s="138" t="s">
        <v>220</v>
      </c>
    </row>
    <row r="17" spans="1:8" ht="27">
      <c r="A17" s="300"/>
      <c r="B17" s="300"/>
      <c r="C17" s="145" t="s">
        <v>222</v>
      </c>
      <c r="D17" s="145" t="s">
        <v>221</v>
      </c>
      <c r="E17" s="146" t="s">
        <v>225</v>
      </c>
      <c r="F17" s="146" t="s">
        <v>224</v>
      </c>
      <c r="G17" s="146" t="s">
        <v>223</v>
      </c>
      <c r="H17" s="149">
        <f>销量!D8</f>
        <v>2162.6</v>
      </c>
    </row>
    <row r="18" spans="1:8">
      <c r="A18" s="295" t="s">
        <v>214</v>
      </c>
      <c r="B18" s="295"/>
      <c r="C18" s="140"/>
      <c r="D18" s="141">
        <f>$H$17*E18</f>
        <v>125.73486183361265</v>
      </c>
      <c r="E18" s="161">
        <v>5.8140600126520232E-2</v>
      </c>
      <c r="F18" s="161">
        <v>0.10179000000000001</v>
      </c>
      <c r="G18" s="142">
        <v>6.3270000000000007E-2</v>
      </c>
    </row>
    <row r="19" spans="1:8">
      <c r="A19" s="295" t="s">
        <v>215</v>
      </c>
      <c r="B19" s="160" t="s">
        <v>216</v>
      </c>
      <c r="C19" s="140"/>
      <c r="D19" s="141">
        <f t="shared" ref="D19:D23" si="2">$H$17*E19</f>
        <v>97.316999999999993</v>
      </c>
      <c r="E19" s="142">
        <v>4.4999999999999998E-2</v>
      </c>
      <c r="F19" s="161">
        <v>0.2</v>
      </c>
      <c r="G19" s="142">
        <v>0.08</v>
      </c>
    </row>
    <row r="20" spans="1:8">
      <c r="A20" s="295"/>
      <c r="B20" s="160" t="s">
        <v>217</v>
      </c>
      <c r="C20" s="140"/>
      <c r="D20" s="141">
        <f t="shared" si="2"/>
        <v>39.074628612916037</v>
      </c>
      <c r="E20" s="161">
        <v>1.8068356891203199E-2</v>
      </c>
      <c r="F20" s="161">
        <v>4.0280000000000003E-2</v>
      </c>
      <c r="G20" s="142">
        <v>2.068E-2</v>
      </c>
    </row>
    <row r="21" spans="1:8">
      <c r="A21" s="296" t="s">
        <v>218</v>
      </c>
      <c r="B21" s="297"/>
      <c r="C21" s="144"/>
      <c r="D21" s="141">
        <f t="shared" si="2"/>
        <v>262.12649044652869</v>
      </c>
      <c r="E21" s="200">
        <f>SUM(E18:E20)</f>
        <v>0.12120895701772344</v>
      </c>
      <c r="F21" s="200">
        <f>SUM(F18:F20)</f>
        <v>0.34206999999999999</v>
      </c>
      <c r="G21" s="201">
        <f>SUM(G18:G20)</f>
        <v>0.16395000000000001</v>
      </c>
    </row>
    <row r="22" spans="1:8">
      <c r="A22" s="295" t="s">
        <v>45</v>
      </c>
      <c r="B22" s="295"/>
      <c r="C22" s="140"/>
      <c r="D22" s="141">
        <f t="shared" si="2"/>
        <v>87.722212673537896</v>
      </c>
      <c r="E22" s="162">
        <v>4.0563309291379773E-2</v>
      </c>
      <c r="F22" s="161">
        <v>2.9350000000000001E-2</v>
      </c>
      <c r="G22" s="142">
        <v>4.9200000000000001E-2</v>
      </c>
    </row>
    <row r="23" spans="1:8">
      <c r="A23" s="298" t="s">
        <v>219</v>
      </c>
      <c r="B23" s="160" t="s">
        <v>216</v>
      </c>
      <c r="C23" s="140"/>
      <c r="D23" s="141">
        <f t="shared" si="2"/>
        <v>17.084540000000001</v>
      </c>
      <c r="E23" s="142">
        <v>7.9000000000000008E-3</v>
      </c>
      <c r="F23" s="161">
        <v>2.1489999999999999E-2</v>
      </c>
      <c r="G23" s="142">
        <v>9.4900000000000002E-3</v>
      </c>
    </row>
    <row r="24" spans="1:8">
      <c r="A24" s="299"/>
      <c r="B24" s="160" t="s">
        <v>217</v>
      </c>
      <c r="C24" s="140"/>
      <c r="D24" s="141">
        <f>$H$17*E24</f>
        <v>21.626000000000001</v>
      </c>
      <c r="E24" s="139">
        <v>0.01</v>
      </c>
      <c r="F24" s="161">
        <v>5.8119999999999998E-2</v>
      </c>
      <c r="G24" s="142">
        <v>5.4899999999999997E-2</v>
      </c>
    </row>
    <row r="25" spans="1:8">
      <c r="A25" s="295" t="s">
        <v>48</v>
      </c>
      <c r="B25" s="295"/>
      <c r="C25" s="140"/>
      <c r="D25" s="141">
        <f t="shared" ref="D25" si="3">$H$17*E25</f>
        <v>46.063379999999995</v>
      </c>
      <c r="E25" s="142">
        <v>2.1299999999999999E-2</v>
      </c>
      <c r="F25" s="161">
        <v>2.1299999999999999E-2</v>
      </c>
      <c r="G25" s="142">
        <v>2.1299999999999999E-2</v>
      </c>
    </row>
    <row r="29" spans="1:8">
      <c r="A29" s="136"/>
      <c r="B29" s="136"/>
      <c r="C29" s="136"/>
      <c r="D29" s="136"/>
      <c r="E29" s="136"/>
      <c r="F29" s="294" t="s">
        <v>212</v>
      </c>
      <c r="G29" s="294"/>
      <c r="H29" s="137"/>
    </row>
    <row r="30" spans="1:8" ht="30" customHeight="1">
      <c r="A30" s="300" t="s">
        <v>213</v>
      </c>
      <c r="B30" s="300"/>
      <c r="C30" s="301"/>
      <c r="D30" s="301"/>
      <c r="E30" s="301"/>
      <c r="F30" s="301"/>
      <c r="G30" s="297"/>
      <c r="H30" s="138" t="s">
        <v>220</v>
      </c>
    </row>
    <row r="31" spans="1:8" ht="27">
      <c r="A31" s="300"/>
      <c r="B31" s="300"/>
      <c r="C31" s="145" t="s">
        <v>222</v>
      </c>
      <c r="D31" s="145" t="s">
        <v>221</v>
      </c>
      <c r="E31" s="146" t="s">
        <v>225</v>
      </c>
      <c r="F31" s="146" t="s">
        <v>224</v>
      </c>
      <c r="G31" s="146" t="s">
        <v>223</v>
      </c>
      <c r="H31" s="149">
        <f>销量!E8</f>
        <v>2954.78</v>
      </c>
    </row>
    <row r="32" spans="1:8">
      <c r="A32" s="295" t="s">
        <v>214</v>
      </c>
      <c r="B32" s="295"/>
      <c r="C32" s="140"/>
      <c r="D32" s="141">
        <f>$H$31*E32</f>
        <v>171.79268244183947</v>
      </c>
      <c r="E32" s="161">
        <v>5.8140600126520232E-2</v>
      </c>
      <c r="F32" s="161">
        <v>0.10179000000000001</v>
      </c>
      <c r="G32" s="142">
        <v>6.3270000000000007E-2</v>
      </c>
    </row>
    <row r="33" spans="1:8">
      <c r="A33" s="295" t="s">
        <v>215</v>
      </c>
      <c r="B33" s="160" t="s">
        <v>216</v>
      </c>
      <c r="C33" s="140"/>
      <c r="D33" s="141">
        <f t="shared" ref="D33:D37" si="4">$H$31*E33</f>
        <v>132.96510000000001</v>
      </c>
      <c r="E33" s="142">
        <v>4.4999999999999998E-2</v>
      </c>
      <c r="F33" s="161">
        <v>0.2</v>
      </c>
      <c r="G33" s="142">
        <v>0.08</v>
      </c>
    </row>
    <row r="34" spans="1:8">
      <c r="A34" s="295"/>
      <c r="B34" s="160" t="s">
        <v>217</v>
      </c>
      <c r="C34" s="140"/>
      <c r="D34" s="141">
        <f t="shared" si="4"/>
        <v>53.388019574989393</v>
      </c>
      <c r="E34" s="161">
        <v>1.8068356891203199E-2</v>
      </c>
      <c r="F34" s="161">
        <v>4.0280000000000003E-2</v>
      </c>
      <c r="G34" s="142">
        <v>2.068E-2</v>
      </c>
    </row>
    <row r="35" spans="1:8">
      <c r="A35" s="296" t="s">
        <v>218</v>
      </c>
      <c r="B35" s="297"/>
      <c r="C35" s="144"/>
      <c r="D35" s="141">
        <f t="shared" si="4"/>
        <v>358.1458020168289</v>
      </c>
      <c r="E35" s="200">
        <f>SUM(E32:E34)</f>
        <v>0.12120895701772344</v>
      </c>
      <c r="F35" s="200">
        <f>SUM(F32:F34)</f>
        <v>0.34206999999999999</v>
      </c>
      <c r="G35" s="201">
        <f>SUM(G32:G34)</f>
        <v>0.16395000000000001</v>
      </c>
    </row>
    <row r="36" spans="1:8">
      <c r="A36" s="295" t="s">
        <v>45</v>
      </c>
      <c r="B36" s="295"/>
      <c r="C36" s="140"/>
      <c r="D36" s="141">
        <f t="shared" si="4"/>
        <v>119.85565502798313</v>
      </c>
      <c r="E36" s="162">
        <v>4.0563309291379773E-2</v>
      </c>
      <c r="F36" s="161">
        <v>2.9350000000000001E-2</v>
      </c>
      <c r="G36" s="142">
        <v>4.9200000000000001E-2</v>
      </c>
    </row>
    <row r="37" spans="1:8">
      <c r="A37" s="298" t="s">
        <v>219</v>
      </c>
      <c r="B37" s="160" t="s">
        <v>216</v>
      </c>
      <c r="C37" s="140"/>
      <c r="D37" s="141">
        <f t="shared" si="4"/>
        <v>23.342762000000004</v>
      </c>
      <c r="E37" s="142">
        <v>7.9000000000000008E-3</v>
      </c>
      <c r="F37" s="161">
        <v>2.1489999999999999E-2</v>
      </c>
      <c r="G37" s="142">
        <v>9.4900000000000002E-3</v>
      </c>
    </row>
    <row r="38" spans="1:8">
      <c r="A38" s="299"/>
      <c r="B38" s="160" t="s">
        <v>217</v>
      </c>
      <c r="C38" s="140"/>
      <c r="D38" s="141">
        <f>$H$31*E38</f>
        <v>29.547800000000002</v>
      </c>
      <c r="E38" s="139">
        <v>0.01</v>
      </c>
      <c r="F38" s="161">
        <v>5.8119999999999998E-2</v>
      </c>
      <c r="G38" s="142">
        <v>5.4899999999999997E-2</v>
      </c>
    </row>
    <row r="39" spans="1:8">
      <c r="A39" s="295" t="s">
        <v>48</v>
      </c>
      <c r="B39" s="295"/>
      <c r="C39" s="140"/>
      <c r="D39" s="141">
        <f t="shared" ref="D39" si="5">$H$31*E39</f>
        <v>62.936814000000005</v>
      </c>
      <c r="E39" s="142">
        <v>2.1299999999999999E-2</v>
      </c>
      <c r="F39" s="161">
        <v>2.1299999999999999E-2</v>
      </c>
      <c r="G39" s="142">
        <v>2.1299999999999999E-2</v>
      </c>
    </row>
    <row r="42" spans="1:8">
      <c r="A42" s="136"/>
      <c r="B42" s="136"/>
      <c r="C42" s="136"/>
      <c r="D42" s="136"/>
      <c r="E42" s="136"/>
      <c r="F42" s="294" t="s">
        <v>212</v>
      </c>
      <c r="G42" s="294"/>
      <c r="H42" s="137"/>
    </row>
    <row r="43" spans="1:8" ht="28.5" customHeight="1">
      <c r="A43" s="300" t="s">
        <v>213</v>
      </c>
      <c r="B43" s="300"/>
      <c r="C43" s="301"/>
      <c r="D43" s="301"/>
      <c r="E43" s="301"/>
      <c r="F43" s="301"/>
      <c r="G43" s="297"/>
      <c r="H43" s="138" t="s">
        <v>220</v>
      </c>
    </row>
    <row r="44" spans="1:8" ht="27">
      <c r="A44" s="300"/>
      <c r="B44" s="300"/>
      <c r="C44" s="145" t="s">
        <v>222</v>
      </c>
      <c r="D44" s="145" t="s">
        <v>221</v>
      </c>
      <c r="E44" s="146" t="s">
        <v>225</v>
      </c>
      <c r="F44" s="146" t="s">
        <v>224</v>
      </c>
      <c r="G44" s="146" t="s">
        <v>223</v>
      </c>
      <c r="H44" s="149">
        <f>销量!F8</f>
        <v>2904.54</v>
      </c>
    </row>
    <row r="45" spans="1:8">
      <c r="A45" s="295" t="s">
        <v>214</v>
      </c>
      <c r="B45" s="295"/>
      <c r="C45" s="140"/>
      <c r="D45" s="141">
        <f>$H$44*E45</f>
        <v>168.87169869148306</v>
      </c>
      <c r="E45" s="161">
        <v>5.8140600126520232E-2</v>
      </c>
      <c r="F45" s="161">
        <v>0.10179000000000001</v>
      </c>
      <c r="G45" s="142">
        <v>6.3270000000000007E-2</v>
      </c>
    </row>
    <row r="46" spans="1:8">
      <c r="A46" s="295" t="s">
        <v>215</v>
      </c>
      <c r="B46" s="160" t="s">
        <v>216</v>
      </c>
      <c r="C46" s="140"/>
      <c r="D46" s="141">
        <f t="shared" ref="D46:D50" si="6">$H$44*E46</f>
        <v>130.70429999999999</v>
      </c>
      <c r="E46" s="142">
        <v>4.4999999999999998E-2</v>
      </c>
      <c r="F46" s="161">
        <v>0.2</v>
      </c>
      <c r="G46" s="142">
        <v>0.08</v>
      </c>
    </row>
    <row r="47" spans="1:8">
      <c r="A47" s="295"/>
      <c r="B47" s="160" t="s">
        <v>217</v>
      </c>
      <c r="C47" s="140"/>
      <c r="D47" s="141">
        <f t="shared" si="6"/>
        <v>52.480265324775338</v>
      </c>
      <c r="E47" s="161">
        <v>1.8068356891203199E-2</v>
      </c>
      <c r="F47" s="161">
        <v>4.0280000000000003E-2</v>
      </c>
      <c r="G47" s="142">
        <v>2.068E-2</v>
      </c>
    </row>
    <row r="48" spans="1:8">
      <c r="A48" s="296" t="s">
        <v>218</v>
      </c>
      <c r="B48" s="297"/>
      <c r="C48" s="144"/>
      <c r="D48" s="141">
        <f t="shared" si="6"/>
        <v>352.05626401625841</v>
      </c>
      <c r="E48" s="200">
        <f>SUM(E45:E47)</f>
        <v>0.12120895701772344</v>
      </c>
      <c r="F48" s="200">
        <f>SUM(F45:F47)</f>
        <v>0.34206999999999999</v>
      </c>
      <c r="G48" s="201">
        <f>SUM(G45:G47)</f>
        <v>0.16395000000000001</v>
      </c>
    </row>
    <row r="49" spans="1:8">
      <c r="A49" s="295" t="s">
        <v>45</v>
      </c>
      <c r="B49" s="295"/>
      <c r="C49" s="140"/>
      <c r="D49" s="141">
        <f t="shared" si="6"/>
        <v>117.8177543691842</v>
      </c>
      <c r="E49" s="162">
        <v>4.0563309291379773E-2</v>
      </c>
      <c r="F49" s="161">
        <v>2.9350000000000001E-2</v>
      </c>
      <c r="G49" s="142">
        <v>4.9200000000000001E-2</v>
      </c>
    </row>
    <row r="50" spans="1:8">
      <c r="A50" s="298" t="s">
        <v>219</v>
      </c>
      <c r="B50" s="160" t="s">
        <v>216</v>
      </c>
      <c r="C50" s="140"/>
      <c r="D50" s="141">
        <f t="shared" si="6"/>
        <v>22.945866000000002</v>
      </c>
      <c r="E50" s="142">
        <v>7.9000000000000008E-3</v>
      </c>
      <c r="F50" s="161">
        <v>2.1489999999999999E-2</v>
      </c>
      <c r="G50" s="142">
        <v>9.4900000000000002E-3</v>
      </c>
    </row>
    <row r="51" spans="1:8">
      <c r="A51" s="299"/>
      <c r="B51" s="160" t="s">
        <v>217</v>
      </c>
      <c r="C51" s="140"/>
      <c r="D51" s="141">
        <f>$H$44*E51</f>
        <v>29.045400000000001</v>
      </c>
      <c r="E51" s="139">
        <v>0.01</v>
      </c>
      <c r="F51" s="161">
        <v>5.8119999999999998E-2</v>
      </c>
      <c r="G51" s="142">
        <v>5.4899999999999997E-2</v>
      </c>
    </row>
    <row r="52" spans="1:8">
      <c r="A52" s="295" t="s">
        <v>48</v>
      </c>
      <c r="B52" s="295"/>
      <c r="C52" s="140"/>
      <c r="D52" s="141">
        <f t="shared" ref="D52" si="7">$H$44*E52</f>
        <v>61.866701999999997</v>
      </c>
      <c r="E52" s="142">
        <v>2.1299999999999999E-2</v>
      </c>
      <c r="F52" s="161">
        <v>2.1299999999999999E-2</v>
      </c>
      <c r="G52" s="142">
        <v>2.1299999999999999E-2</v>
      </c>
    </row>
    <row r="55" spans="1:8">
      <c r="A55" s="136"/>
      <c r="B55" s="136"/>
      <c r="C55" s="136"/>
      <c r="D55" s="136"/>
      <c r="E55" s="136"/>
      <c r="F55" s="294" t="s">
        <v>212</v>
      </c>
      <c r="G55" s="294"/>
      <c r="H55" s="137"/>
    </row>
    <row r="56" spans="1:8">
      <c r="A56" s="300" t="s">
        <v>213</v>
      </c>
      <c r="B56" s="300"/>
      <c r="C56" s="301"/>
      <c r="D56" s="301"/>
      <c r="E56" s="301"/>
      <c r="F56" s="301"/>
      <c r="G56" s="297"/>
      <c r="H56" s="138" t="s">
        <v>220</v>
      </c>
    </row>
    <row r="57" spans="1:8" ht="27">
      <c r="A57" s="300"/>
      <c r="B57" s="300"/>
      <c r="C57" s="145" t="s">
        <v>222</v>
      </c>
      <c r="D57" s="145" t="s">
        <v>221</v>
      </c>
      <c r="E57" s="146" t="s">
        <v>225</v>
      </c>
      <c r="F57" s="146" t="s">
        <v>224</v>
      </c>
      <c r="G57" s="146" t="s">
        <v>223</v>
      </c>
      <c r="H57" s="149">
        <f>销量!G8</f>
        <v>1879.84</v>
      </c>
    </row>
    <row r="58" spans="1:8">
      <c r="A58" s="295" t="s">
        <v>214</v>
      </c>
      <c r="B58" s="295"/>
      <c r="C58" s="140"/>
      <c r="D58" s="141">
        <f>$H$57*E58</f>
        <v>109.29502574183779</v>
      </c>
      <c r="E58" s="161">
        <v>5.8140600126520232E-2</v>
      </c>
      <c r="F58" s="161">
        <v>0.10179000000000001</v>
      </c>
      <c r="G58" s="142">
        <v>6.3270000000000007E-2</v>
      </c>
    </row>
    <row r="59" spans="1:8">
      <c r="A59" s="295" t="s">
        <v>215</v>
      </c>
      <c r="B59" s="160" t="s">
        <v>216</v>
      </c>
      <c r="C59" s="140"/>
      <c r="D59" s="141">
        <f t="shared" ref="D59:D63" si="8">$H$57*E59</f>
        <v>84.592799999999997</v>
      </c>
      <c r="E59" s="142">
        <v>4.4999999999999998E-2</v>
      </c>
      <c r="F59" s="161">
        <v>0.2</v>
      </c>
      <c r="G59" s="142">
        <v>0.08</v>
      </c>
    </row>
    <row r="60" spans="1:8">
      <c r="A60" s="295"/>
      <c r="B60" s="160" t="s">
        <v>217</v>
      </c>
      <c r="C60" s="140"/>
      <c r="D60" s="141">
        <f t="shared" si="8"/>
        <v>33.965620018359417</v>
      </c>
      <c r="E60" s="161">
        <v>1.8068356891203199E-2</v>
      </c>
      <c r="F60" s="161">
        <v>4.0280000000000003E-2</v>
      </c>
      <c r="G60" s="142">
        <v>2.068E-2</v>
      </c>
    </row>
    <row r="61" spans="1:8">
      <c r="A61" s="296" t="s">
        <v>218</v>
      </c>
      <c r="B61" s="297"/>
      <c r="C61" s="144"/>
      <c r="D61" s="141">
        <f t="shared" si="8"/>
        <v>227.85344576019722</v>
      </c>
      <c r="E61" s="200">
        <f>SUM(E58:E60)</f>
        <v>0.12120895701772344</v>
      </c>
      <c r="F61" s="200">
        <f>SUM(F58:F60)</f>
        <v>0.34206999999999999</v>
      </c>
      <c r="G61" s="201">
        <f>SUM(G58:G60)</f>
        <v>0.16395000000000001</v>
      </c>
    </row>
    <row r="62" spans="1:8">
      <c r="A62" s="295" t="s">
        <v>45</v>
      </c>
      <c r="B62" s="295"/>
      <c r="C62" s="140"/>
      <c r="D62" s="141">
        <f t="shared" si="8"/>
        <v>76.25253133830735</v>
      </c>
      <c r="E62" s="162">
        <v>4.0563309291379773E-2</v>
      </c>
      <c r="F62" s="161">
        <v>2.9350000000000001E-2</v>
      </c>
      <c r="G62" s="142">
        <v>4.9200000000000001E-2</v>
      </c>
    </row>
    <row r="63" spans="1:8">
      <c r="A63" s="298" t="s">
        <v>219</v>
      </c>
      <c r="B63" s="160" t="s">
        <v>216</v>
      </c>
      <c r="C63" s="140"/>
      <c r="D63" s="141">
        <f t="shared" si="8"/>
        <v>14.850736000000001</v>
      </c>
      <c r="E63" s="142">
        <v>7.9000000000000008E-3</v>
      </c>
      <c r="F63" s="161">
        <v>2.1489999999999999E-2</v>
      </c>
      <c r="G63" s="142">
        <v>9.4900000000000002E-3</v>
      </c>
    </row>
    <row r="64" spans="1:8">
      <c r="A64" s="299"/>
      <c r="B64" s="160" t="s">
        <v>217</v>
      </c>
      <c r="C64" s="140"/>
      <c r="D64" s="141">
        <f>$H$57*E64</f>
        <v>18.798400000000001</v>
      </c>
      <c r="E64" s="139">
        <v>0.01</v>
      </c>
      <c r="F64" s="161">
        <v>5.8119999999999998E-2</v>
      </c>
      <c r="G64" s="142">
        <v>5.4899999999999997E-2</v>
      </c>
    </row>
    <row r="65" spans="1:8">
      <c r="A65" s="295" t="s">
        <v>48</v>
      </c>
      <c r="B65" s="295"/>
      <c r="C65" s="140"/>
      <c r="D65" s="141">
        <f t="shared" ref="D65" si="9">$H$57*E65</f>
        <v>40.040591999999997</v>
      </c>
      <c r="E65" s="142">
        <v>2.1299999999999999E-2</v>
      </c>
      <c r="F65" s="161">
        <v>2.1299999999999999E-2</v>
      </c>
      <c r="G65" s="142">
        <v>2.1299999999999999E-2</v>
      </c>
    </row>
    <row r="68" spans="1:8">
      <c r="A68" s="136"/>
      <c r="B68" s="136"/>
      <c r="C68" s="136"/>
      <c r="D68" s="136"/>
      <c r="E68" s="136"/>
      <c r="F68" s="294" t="s">
        <v>212</v>
      </c>
      <c r="G68" s="294"/>
      <c r="H68" s="137"/>
    </row>
    <row r="69" spans="1:8">
      <c r="A69" s="300" t="s">
        <v>213</v>
      </c>
      <c r="B69" s="300"/>
      <c r="C69" s="301"/>
      <c r="D69" s="301"/>
      <c r="E69" s="301"/>
      <c r="F69" s="301"/>
      <c r="G69" s="297"/>
      <c r="H69" s="138" t="s">
        <v>220</v>
      </c>
    </row>
    <row r="70" spans="1:8" ht="27">
      <c r="A70" s="300"/>
      <c r="B70" s="300"/>
      <c r="C70" s="145" t="s">
        <v>222</v>
      </c>
      <c r="D70" s="145" t="s">
        <v>221</v>
      </c>
      <c r="E70" s="146" t="s">
        <v>225</v>
      </c>
      <c r="F70" s="146" t="s">
        <v>224</v>
      </c>
      <c r="G70" s="146" t="s">
        <v>223</v>
      </c>
      <c r="H70" s="149">
        <f>销量!H8</f>
        <v>85.92</v>
      </c>
    </row>
    <row r="71" spans="1:8">
      <c r="A71" s="295" t="s">
        <v>214</v>
      </c>
      <c r="B71" s="295"/>
      <c r="C71" s="140"/>
      <c r="D71" s="141">
        <f>$H$70*E71</f>
        <v>4.9954403628706183</v>
      </c>
      <c r="E71" s="161">
        <v>5.8140600126520232E-2</v>
      </c>
      <c r="F71" s="161">
        <v>0.10179000000000001</v>
      </c>
      <c r="G71" s="142">
        <v>6.3270000000000007E-2</v>
      </c>
    </row>
    <row r="72" spans="1:8">
      <c r="A72" s="295" t="s">
        <v>215</v>
      </c>
      <c r="B72" s="160" t="s">
        <v>216</v>
      </c>
      <c r="C72" s="140"/>
      <c r="D72" s="141">
        <f t="shared" ref="D72:D76" si="10">$H$70*E72</f>
        <v>3.8664000000000001</v>
      </c>
      <c r="E72" s="142">
        <v>4.4999999999999998E-2</v>
      </c>
      <c r="F72" s="161">
        <v>0.2</v>
      </c>
      <c r="G72" s="142">
        <v>0.08</v>
      </c>
    </row>
    <row r="73" spans="1:8">
      <c r="A73" s="295"/>
      <c r="B73" s="160" t="s">
        <v>217</v>
      </c>
      <c r="C73" s="140"/>
      <c r="D73" s="141">
        <f t="shared" si="10"/>
        <v>1.5524332240921788</v>
      </c>
      <c r="E73" s="161">
        <v>1.8068356891203199E-2</v>
      </c>
      <c r="F73" s="161">
        <v>4.0280000000000003E-2</v>
      </c>
      <c r="G73" s="142">
        <v>2.068E-2</v>
      </c>
    </row>
    <row r="74" spans="1:8">
      <c r="A74" s="296" t="s">
        <v>218</v>
      </c>
      <c r="B74" s="297"/>
      <c r="C74" s="144"/>
      <c r="D74" s="141">
        <f t="shared" si="10"/>
        <v>10.414273586962798</v>
      </c>
      <c r="E74" s="200">
        <f>SUM(E71:E73)</f>
        <v>0.12120895701772344</v>
      </c>
      <c r="F74" s="200">
        <f>SUM(F71:F73)</f>
        <v>0.34206999999999999</v>
      </c>
      <c r="G74" s="201">
        <f>SUM(G71:G73)</f>
        <v>0.16395000000000001</v>
      </c>
    </row>
    <row r="75" spans="1:8">
      <c r="A75" s="295" t="s">
        <v>45</v>
      </c>
      <c r="B75" s="295"/>
      <c r="C75" s="140"/>
      <c r="D75" s="141">
        <f t="shared" si="10"/>
        <v>3.4851995343153503</v>
      </c>
      <c r="E75" s="162">
        <v>4.0563309291379773E-2</v>
      </c>
      <c r="F75" s="161">
        <v>2.9350000000000001E-2</v>
      </c>
      <c r="G75" s="142">
        <v>4.9200000000000001E-2</v>
      </c>
    </row>
    <row r="76" spans="1:8">
      <c r="A76" s="298" t="s">
        <v>219</v>
      </c>
      <c r="B76" s="160" t="s">
        <v>216</v>
      </c>
      <c r="C76" s="140"/>
      <c r="D76" s="141">
        <f t="shared" si="10"/>
        <v>0.67876800000000004</v>
      </c>
      <c r="E76" s="142">
        <v>7.9000000000000008E-3</v>
      </c>
      <c r="F76" s="161">
        <v>2.1489999999999999E-2</v>
      </c>
      <c r="G76" s="142">
        <v>9.4900000000000002E-3</v>
      </c>
    </row>
    <row r="77" spans="1:8">
      <c r="A77" s="299"/>
      <c r="B77" s="160" t="s">
        <v>217</v>
      </c>
      <c r="C77" s="140"/>
      <c r="D77" s="141">
        <f>$H$70*E77</f>
        <v>0.85920000000000007</v>
      </c>
      <c r="E77" s="139">
        <v>0.01</v>
      </c>
      <c r="F77" s="161">
        <v>5.8119999999999998E-2</v>
      </c>
      <c r="G77" s="142">
        <v>5.4899999999999997E-2</v>
      </c>
    </row>
    <row r="78" spans="1:8">
      <c r="A78" s="295" t="s">
        <v>48</v>
      </c>
      <c r="B78" s="295"/>
      <c r="C78" s="140"/>
      <c r="D78" s="141">
        <f t="shared" ref="D78" si="11">$H$70*E78</f>
        <v>1.8300959999999999</v>
      </c>
      <c r="E78" s="142">
        <v>2.1299999999999999E-2</v>
      </c>
      <c r="F78" s="161">
        <v>2.1299999999999999E-2</v>
      </c>
      <c r="G78" s="142">
        <v>2.1299999999999999E-2</v>
      </c>
    </row>
    <row r="81" spans="1:8">
      <c r="A81" s="136"/>
      <c r="B81" s="136"/>
      <c r="C81" s="136"/>
      <c r="D81" s="136"/>
      <c r="E81" s="136"/>
      <c r="F81" s="294" t="s">
        <v>212</v>
      </c>
      <c r="G81" s="294"/>
      <c r="H81" s="137"/>
    </row>
    <row r="82" spans="1:8">
      <c r="A82" s="300" t="s">
        <v>213</v>
      </c>
      <c r="B82" s="300"/>
      <c r="C82" s="301"/>
      <c r="D82" s="301"/>
      <c r="E82" s="301"/>
      <c r="F82" s="301"/>
      <c r="G82" s="297"/>
      <c r="H82" s="138" t="s">
        <v>220</v>
      </c>
    </row>
    <row r="83" spans="1:8" ht="27">
      <c r="A83" s="300"/>
      <c r="B83" s="300"/>
      <c r="C83" s="145" t="s">
        <v>222</v>
      </c>
      <c r="D83" s="145" t="s">
        <v>221</v>
      </c>
      <c r="E83" s="146" t="s">
        <v>225</v>
      </c>
      <c r="F83" s="146" t="s">
        <v>224</v>
      </c>
      <c r="G83" s="146" t="s">
        <v>223</v>
      </c>
      <c r="H83" s="149">
        <f>销量!I8</f>
        <v>670.17</v>
      </c>
    </row>
    <row r="84" spans="1:8">
      <c r="A84" s="295" t="s">
        <v>214</v>
      </c>
      <c r="B84" s="295"/>
      <c r="C84" s="140"/>
      <c r="D84" s="141">
        <f>$H$83*E84</f>
        <v>38.96408598679006</v>
      </c>
      <c r="E84" s="161">
        <v>5.8140600126520232E-2</v>
      </c>
      <c r="F84" s="161">
        <v>0.10179000000000001</v>
      </c>
      <c r="G84" s="142">
        <v>6.3270000000000007E-2</v>
      </c>
    </row>
    <row r="85" spans="1:8">
      <c r="A85" s="295" t="s">
        <v>215</v>
      </c>
      <c r="B85" s="177" t="s">
        <v>216</v>
      </c>
      <c r="C85" s="140"/>
      <c r="D85" s="141">
        <f t="shared" ref="D85:D89" si="12">$H$83*E85</f>
        <v>30.157649999999997</v>
      </c>
      <c r="E85" s="142">
        <v>4.4999999999999998E-2</v>
      </c>
      <c r="F85" s="161">
        <v>0.2</v>
      </c>
      <c r="G85" s="142">
        <v>0.08</v>
      </c>
    </row>
    <row r="86" spans="1:8">
      <c r="A86" s="295"/>
      <c r="B86" s="177" t="s">
        <v>217</v>
      </c>
      <c r="C86" s="140"/>
      <c r="D86" s="141">
        <f t="shared" si="12"/>
        <v>12.108870737777647</v>
      </c>
      <c r="E86" s="161">
        <v>1.8068356891203199E-2</v>
      </c>
      <c r="F86" s="161">
        <v>4.0280000000000003E-2</v>
      </c>
      <c r="G86" s="142">
        <v>2.068E-2</v>
      </c>
    </row>
    <row r="87" spans="1:8">
      <c r="A87" s="296" t="s">
        <v>218</v>
      </c>
      <c r="B87" s="297"/>
      <c r="C87" s="144"/>
      <c r="D87" s="141">
        <f t="shared" si="12"/>
        <v>81.230606724567707</v>
      </c>
      <c r="E87" s="200">
        <f>SUM(E84:E86)</f>
        <v>0.12120895701772344</v>
      </c>
      <c r="F87" s="200">
        <f>SUM(F84:F86)</f>
        <v>0.34206999999999999</v>
      </c>
      <c r="G87" s="201">
        <f>SUM(G84:G86)</f>
        <v>0.16395000000000001</v>
      </c>
    </row>
    <row r="88" spans="1:8">
      <c r="A88" s="295" t="s">
        <v>45</v>
      </c>
      <c r="B88" s="295"/>
      <c r="C88" s="140"/>
      <c r="D88" s="141">
        <f t="shared" si="12"/>
        <v>27.184312987803981</v>
      </c>
      <c r="E88" s="162">
        <v>4.0563309291379773E-2</v>
      </c>
      <c r="F88" s="161">
        <v>2.9350000000000001E-2</v>
      </c>
      <c r="G88" s="142">
        <v>4.9200000000000001E-2</v>
      </c>
    </row>
    <row r="89" spans="1:8">
      <c r="A89" s="298" t="s">
        <v>219</v>
      </c>
      <c r="B89" s="177" t="s">
        <v>216</v>
      </c>
      <c r="C89" s="140"/>
      <c r="D89" s="141">
        <f t="shared" si="12"/>
        <v>5.2943430000000005</v>
      </c>
      <c r="E89" s="142">
        <v>7.9000000000000008E-3</v>
      </c>
      <c r="F89" s="161">
        <v>2.1489999999999999E-2</v>
      </c>
      <c r="G89" s="142">
        <v>9.4900000000000002E-3</v>
      </c>
    </row>
    <row r="90" spans="1:8">
      <c r="A90" s="299"/>
      <c r="B90" s="177" t="s">
        <v>217</v>
      </c>
      <c r="C90" s="140"/>
      <c r="D90" s="141">
        <f t="shared" ref="D90:D91" si="13">$H$83*E90</f>
        <v>6.7016999999999998</v>
      </c>
      <c r="E90" s="139">
        <v>0.01</v>
      </c>
      <c r="F90" s="161">
        <v>5.8119999999999998E-2</v>
      </c>
      <c r="G90" s="142">
        <v>5.4899999999999997E-2</v>
      </c>
    </row>
    <row r="91" spans="1:8">
      <c r="A91" s="295" t="s">
        <v>48</v>
      </c>
      <c r="B91" s="295"/>
      <c r="C91" s="140"/>
      <c r="D91" s="141">
        <f t="shared" si="13"/>
        <v>14.274620999999998</v>
      </c>
      <c r="E91" s="142">
        <v>2.1299999999999999E-2</v>
      </c>
      <c r="F91" s="161">
        <v>2.1299999999999999E-2</v>
      </c>
      <c r="G91" s="142">
        <v>2.1299999999999999E-2</v>
      </c>
    </row>
    <row r="94" spans="1:8">
      <c r="A94" s="136"/>
      <c r="B94" s="136"/>
      <c r="C94" s="136"/>
      <c r="D94" s="136"/>
      <c r="E94" s="136"/>
      <c r="F94" s="294" t="s">
        <v>212</v>
      </c>
      <c r="G94" s="294"/>
      <c r="H94" s="137"/>
    </row>
    <row r="95" spans="1:8">
      <c r="A95" s="300" t="s">
        <v>213</v>
      </c>
      <c r="B95" s="300"/>
      <c r="C95" s="301"/>
      <c r="D95" s="301"/>
      <c r="E95" s="301"/>
      <c r="F95" s="301"/>
      <c r="G95" s="297"/>
      <c r="H95" s="138" t="s">
        <v>220</v>
      </c>
    </row>
    <row r="96" spans="1:8" ht="27">
      <c r="A96" s="300"/>
      <c r="B96" s="300"/>
      <c r="C96" s="145" t="s">
        <v>222</v>
      </c>
      <c r="D96" s="145" t="s">
        <v>221</v>
      </c>
      <c r="E96" s="146" t="s">
        <v>225</v>
      </c>
      <c r="F96" s="146" t="s">
        <v>224</v>
      </c>
      <c r="G96" s="146" t="s">
        <v>223</v>
      </c>
      <c r="H96" s="149">
        <f>销量!J8</f>
        <v>76.58</v>
      </c>
    </row>
    <row r="97" spans="1:8">
      <c r="A97" s="295" t="s">
        <v>214</v>
      </c>
      <c r="B97" s="295"/>
      <c r="C97" s="140"/>
      <c r="D97" s="141">
        <f>$H$96*E97</f>
        <v>4.4524071576889197</v>
      </c>
      <c r="E97" s="161">
        <v>5.8140600126520232E-2</v>
      </c>
      <c r="F97" s="161">
        <v>0.10179000000000001</v>
      </c>
      <c r="G97" s="142">
        <v>6.3270000000000007E-2</v>
      </c>
    </row>
    <row r="98" spans="1:8">
      <c r="A98" s="295" t="s">
        <v>215</v>
      </c>
      <c r="B98" s="177" t="s">
        <v>216</v>
      </c>
      <c r="C98" s="140"/>
      <c r="D98" s="141">
        <f t="shared" ref="D98:D103" si="14">$H$96*E98</f>
        <v>3.4460999999999999</v>
      </c>
      <c r="E98" s="142">
        <v>4.4999999999999998E-2</v>
      </c>
      <c r="F98" s="161">
        <v>0.2</v>
      </c>
      <c r="G98" s="142">
        <v>0.08</v>
      </c>
    </row>
    <row r="99" spans="1:8">
      <c r="A99" s="295"/>
      <c r="B99" s="177" t="s">
        <v>217</v>
      </c>
      <c r="C99" s="140"/>
      <c r="D99" s="141">
        <f t="shared" si="14"/>
        <v>1.383674770728341</v>
      </c>
      <c r="E99" s="161">
        <v>1.8068356891203199E-2</v>
      </c>
      <c r="F99" s="161">
        <v>4.0280000000000003E-2</v>
      </c>
      <c r="G99" s="142">
        <v>2.068E-2</v>
      </c>
    </row>
    <row r="100" spans="1:8">
      <c r="A100" s="296" t="s">
        <v>218</v>
      </c>
      <c r="B100" s="297"/>
      <c r="C100" s="144"/>
      <c r="D100" s="141">
        <f t="shared" si="14"/>
        <v>9.2821819284172609</v>
      </c>
      <c r="E100" s="200">
        <f>SUM(E97:E99)</f>
        <v>0.12120895701772344</v>
      </c>
      <c r="F100" s="200">
        <f>SUM(F97:F99)</f>
        <v>0.34206999999999999</v>
      </c>
      <c r="G100" s="201">
        <f>SUM(G97:G99)</f>
        <v>0.16395000000000001</v>
      </c>
    </row>
    <row r="101" spans="1:8">
      <c r="A101" s="295" t="s">
        <v>45</v>
      </c>
      <c r="B101" s="295"/>
      <c r="C101" s="140"/>
      <c r="D101" s="141">
        <f t="shared" si="14"/>
        <v>3.1063382255338632</v>
      </c>
      <c r="E101" s="162">
        <v>4.0563309291379773E-2</v>
      </c>
      <c r="F101" s="161">
        <v>2.9350000000000001E-2</v>
      </c>
      <c r="G101" s="142">
        <v>4.9200000000000001E-2</v>
      </c>
    </row>
    <row r="102" spans="1:8">
      <c r="A102" s="298" t="s">
        <v>219</v>
      </c>
      <c r="B102" s="177" t="s">
        <v>216</v>
      </c>
      <c r="C102" s="140"/>
      <c r="D102" s="141">
        <f t="shared" si="14"/>
        <v>0.60498200000000002</v>
      </c>
      <c r="E102" s="142">
        <v>7.9000000000000008E-3</v>
      </c>
      <c r="F102" s="161">
        <v>2.1489999999999999E-2</v>
      </c>
      <c r="G102" s="142">
        <v>9.4900000000000002E-3</v>
      </c>
    </row>
    <row r="103" spans="1:8">
      <c r="A103" s="299"/>
      <c r="B103" s="177" t="s">
        <v>217</v>
      </c>
      <c r="C103" s="140"/>
      <c r="D103" s="141">
        <f t="shared" si="14"/>
        <v>0.76580000000000004</v>
      </c>
      <c r="E103" s="139">
        <v>0.01</v>
      </c>
      <c r="F103" s="161">
        <v>5.8119999999999998E-2</v>
      </c>
      <c r="G103" s="142">
        <v>5.4899999999999997E-2</v>
      </c>
    </row>
    <row r="104" spans="1:8">
      <c r="A104" s="295" t="s">
        <v>48</v>
      </c>
      <c r="B104" s="295"/>
      <c r="C104" s="140"/>
      <c r="D104" s="141">
        <f t="shared" ref="D104" si="15">$H$96*E104</f>
        <v>1.631154</v>
      </c>
      <c r="E104" s="142">
        <v>2.1299999999999999E-2</v>
      </c>
      <c r="F104" s="161">
        <v>2.1299999999999999E-2</v>
      </c>
      <c r="G104" s="142">
        <v>2.1299999999999999E-2</v>
      </c>
    </row>
    <row r="107" spans="1:8">
      <c r="A107" s="136"/>
      <c r="B107" s="136"/>
      <c r="C107" s="136"/>
      <c r="D107" s="136"/>
      <c r="E107" s="136"/>
      <c r="F107" s="294" t="s">
        <v>212</v>
      </c>
      <c r="G107" s="294"/>
      <c r="H107" s="137"/>
    </row>
    <row r="108" spans="1:8">
      <c r="A108" s="300" t="s">
        <v>213</v>
      </c>
      <c r="B108" s="300"/>
      <c r="C108" s="301"/>
      <c r="D108" s="301"/>
      <c r="E108" s="301"/>
      <c r="F108" s="301"/>
      <c r="G108" s="297"/>
      <c r="H108" s="138" t="s">
        <v>220</v>
      </c>
    </row>
    <row r="109" spans="1:8" ht="27">
      <c r="A109" s="300"/>
      <c r="B109" s="300"/>
      <c r="C109" s="145" t="s">
        <v>222</v>
      </c>
      <c r="D109" s="145" t="s">
        <v>221</v>
      </c>
      <c r="E109" s="146" t="s">
        <v>225</v>
      </c>
      <c r="F109" s="146" t="s">
        <v>224</v>
      </c>
      <c r="G109" s="146" t="s">
        <v>223</v>
      </c>
      <c r="H109" s="149">
        <f>销量!K8</f>
        <v>0</v>
      </c>
    </row>
    <row r="110" spans="1:8">
      <c r="A110" s="295" t="s">
        <v>214</v>
      </c>
      <c r="B110" s="295"/>
      <c r="C110" s="140"/>
      <c r="D110" s="141">
        <f>$H$109*E110</f>
        <v>0</v>
      </c>
      <c r="E110" s="161">
        <v>5.8140600126520232E-2</v>
      </c>
      <c r="F110" s="161">
        <v>0.10179000000000001</v>
      </c>
      <c r="G110" s="142">
        <v>6.3270000000000007E-2</v>
      </c>
    </row>
    <row r="111" spans="1:8">
      <c r="A111" s="295" t="s">
        <v>215</v>
      </c>
      <c r="B111" s="177" t="s">
        <v>216</v>
      </c>
      <c r="C111" s="140"/>
      <c r="D111" s="141">
        <f t="shared" ref="D111:D115" si="16">$H$109*E111</f>
        <v>0</v>
      </c>
      <c r="E111" s="142">
        <v>4.4999999999999998E-2</v>
      </c>
      <c r="F111" s="161">
        <v>0.2</v>
      </c>
      <c r="G111" s="142">
        <v>0.08</v>
      </c>
    </row>
    <row r="112" spans="1:8">
      <c r="A112" s="295"/>
      <c r="B112" s="177" t="s">
        <v>217</v>
      </c>
      <c r="C112" s="140"/>
      <c r="D112" s="141">
        <f t="shared" si="16"/>
        <v>0</v>
      </c>
      <c r="E112" s="161">
        <v>1.8068356891203199E-2</v>
      </c>
      <c r="F112" s="161">
        <v>4.0280000000000003E-2</v>
      </c>
      <c r="G112" s="142">
        <v>2.068E-2</v>
      </c>
    </row>
    <row r="113" spans="1:7">
      <c r="A113" s="296" t="s">
        <v>218</v>
      </c>
      <c r="B113" s="297"/>
      <c r="C113" s="144"/>
      <c r="D113" s="141">
        <f t="shared" si="16"/>
        <v>0</v>
      </c>
      <c r="E113" s="200">
        <f>SUM(E110:E112)</f>
        <v>0.12120895701772344</v>
      </c>
      <c r="F113" s="200">
        <f>SUM(F110:F112)</f>
        <v>0.34206999999999999</v>
      </c>
      <c r="G113" s="201">
        <f>SUM(G110:G112)</f>
        <v>0.16395000000000001</v>
      </c>
    </row>
    <row r="114" spans="1:7">
      <c r="A114" s="295" t="s">
        <v>45</v>
      </c>
      <c r="B114" s="295"/>
      <c r="C114" s="140"/>
      <c r="D114" s="141">
        <f t="shared" si="16"/>
        <v>0</v>
      </c>
      <c r="E114" s="162">
        <v>4.0563309291379773E-2</v>
      </c>
      <c r="F114" s="161">
        <v>2.9350000000000001E-2</v>
      </c>
      <c r="G114" s="142">
        <v>4.9200000000000001E-2</v>
      </c>
    </row>
    <row r="115" spans="1:7">
      <c r="A115" s="298" t="s">
        <v>219</v>
      </c>
      <c r="B115" s="177" t="s">
        <v>216</v>
      </c>
      <c r="C115" s="140"/>
      <c r="D115" s="141">
        <f t="shared" si="16"/>
        <v>0</v>
      </c>
      <c r="E115" s="142">
        <v>7.9000000000000008E-3</v>
      </c>
      <c r="F115" s="161">
        <v>2.1489999999999999E-2</v>
      </c>
      <c r="G115" s="142">
        <v>9.4900000000000002E-3</v>
      </c>
    </row>
    <row r="116" spans="1:7">
      <c r="A116" s="299"/>
      <c r="B116" s="177" t="s">
        <v>217</v>
      </c>
      <c r="C116" s="140"/>
      <c r="D116" s="141">
        <f>$H$109*E116</f>
        <v>0</v>
      </c>
      <c r="E116" s="139">
        <v>0.01</v>
      </c>
      <c r="F116" s="161">
        <v>5.8119999999999998E-2</v>
      </c>
      <c r="G116" s="142">
        <v>5.4899999999999997E-2</v>
      </c>
    </row>
    <row r="117" spans="1:7">
      <c r="A117" s="295" t="s">
        <v>48</v>
      </c>
      <c r="B117" s="295"/>
      <c r="C117" s="140"/>
      <c r="D117" s="141">
        <f t="shared" ref="D117" si="17">$H$109*E117</f>
        <v>0</v>
      </c>
      <c r="E117" s="142">
        <v>2.1299999999999999E-2</v>
      </c>
      <c r="F117" s="161">
        <v>2.1299999999999999E-2</v>
      </c>
      <c r="G117" s="142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9" activePane="bottomRight" state="frozen"/>
      <selection pane="topRight"/>
      <selection pane="bottomLeft"/>
      <selection pane="bottomRight" activeCell="I30" sqref="I30"/>
    </sheetView>
  </sheetViews>
  <sheetFormatPr defaultColWidth="9" defaultRowHeight="16.5"/>
  <cols>
    <col min="1" max="1" width="5.125" style="99" customWidth="1"/>
    <col min="2" max="2" width="35.75" style="99" customWidth="1"/>
    <col min="3" max="3" width="14.5" style="100" customWidth="1"/>
    <col min="4" max="7" width="13" style="100" customWidth="1"/>
    <col min="8" max="8" width="15.125" style="100" customWidth="1"/>
    <col min="9" max="9" width="15.5" style="99" customWidth="1"/>
    <col min="10" max="35" width="9" style="99"/>
    <col min="36" max="36" width="4.375" style="99" customWidth="1"/>
    <col min="37" max="37" width="13.875" style="99" customWidth="1"/>
    <col min="38" max="16384" width="9" style="99"/>
  </cols>
  <sheetData>
    <row r="1" spans="1:38" ht="27" customHeight="1">
      <c r="A1" s="238" t="s">
        <v>237</v>
      </c>
      <c r="B1" s="238"/>
      <c r="C1" s="238"/>
      <c r="D1" s="238"/>
      <c r="E1" s="238"/>
      <c r="F1" s="238"/>
      <c r="G1" s="238"/>
      <c r="H1" s="238"/>
    </row>
    <row r="2" spans="1:38" ht="15.75" customHeight="1">
      <c r="A2" s="239" t="s">
        <v>14</v>
      </c>
      <c r="B2" s="101" t="s">
        <v>1</v>
      </c>
      <c r="C2" s="101" t="s">
        <v>304</v>
      </c>
      <c r="D2" s="101" t="s">
        <v>305</v>
      </c>
      <c r="E2" s="101" t="s">
        <v>306</v>
      </c>
      <c r="F2" s="101" t="s">
        <v>307</v>
      </c>
      <c r="G2" s="101" t="s">
        <v>308</v>
      </c>
      <c r="H2" s="40" t="s">
        <v>15</v>
      </c>
      <c r="AL2" s="99" t="s">
        <v>16</v>
      </c>
    </row>
    <row r="3" spans="1:38" s="37" customFormat="1" ht="15.75" customHeight="1">
      <c r="A3" s="240"/>
      <c r="B3" s="42" t="s">
        <v>3</v>
      </c>
      <c r="C3" s="102">
        <f>'2023年'!K6</f>
        <v>20000</v>
      </c>
      <c r="D3" s="102">
        <f>'2024年'!K6</f>
        <v>200000</v>
      </c>
      <c r="E3" s="102">
        <f>'2025年'!K6</f>
        <v>200000</v>
      </c>
      <c r="F3" s="102">
        <f>'2026年'!K6</f>
        <v>200000</v>
      </c>
      <c r="G3" s="102">
        <f>'2027年'!K6</f>
        <v>200000</v>
      </c>
      <c r="H3" s="102">
        <f>SUM(C3:G3)</f>
        <v>820000</v>
      </c>
      <c r="I3" s="58"/>
      <c r="AJ3" s="41" t="s">
        <v>14</v>
      </c>
      <c r="AK3" s="42" t="s">
        <v>3</v>
      </c>
      <c r="AL3" s="37" t="s">
        <v>17</v>
      </c>
    </row>
    <row r="4" spans="1:38" s="37" customFormat="1" ht="15.75" customHeight="1">
      <c r="A4" s="51">
        <v>1</v>
      </c>
      <c r="B4" s="42" t="s">
        <v>18</v>
      </c>
      <c r="C4" s="102">
        <f>'2023年'!K7</f>
        <v>15300255</v>
      </c>
      <c r="D4" s="102">
        <f>'2024年'!K7</f>
        <v>153002550</v>
      </c>
      <c r="E4" s="102">
        <f>'2025年'!K7</f>
        <v>153002550</v>
      </c>
      <c r="F4" s="102">
        <f>'2026年'!K7</f>
        <v>153002550</v>
      </c>
      <c r="G4" s="102">
        <f>'2027年'!K7</f>
        <v>153002550</v>
      </c>
      <c r="H4" s="102">
        <f t="shared" ref="H4:H11" si="0">SUM(C4:G4)</f>
        <v>627310455</v>
      </c>
      <c r="I4" s="58"/>
      <c r="AJ4" s="41" t="s">
        <v>19</v>
      </c>
      <c r="AK4" s="42" t="s">
        <v>18</v>
      </c>
      <c r="AL4" s="37" t="s">
        <v>17</v>
      </c>
    </row>
    <row r="5" spans="1:38" s="37" customFormat="1" ht="15.75" customHeight="1">
      <c r="A5" s="51">
        <v>2</v>
      </c>
      <c r="B5" s="39" t="s">
        <v>20</v>
      </c>
      <c r="C5" s="102">
        <f>'2023年'!K8</f>
        <v>0</v>
      </c>
      <c r="D5" s="102">
        <f>'2024年'!K8</f>
        <v>1530025.5000000012</v>
      </c>
      <c r="E5" s="102">
        <f>'2025年'!K8</f>
        <v>3044750.7449999875</v>
      </c>
      <c r="F5" s="102">
        <f>'2026年'!K8</f>
        <v>4544328.737549996</v>
      </c>
      <c r="G5" s="102">
        <f>'2027年'!K8</f>
        <v>6028910.9501744919</v>
      </c>
      <c r="H5" s="102">
        <f t="shared" si="0"/>
        <v>15148015.932724476</v>
      </c>
      <c r="I5" s="58"/>
      <c r="AJ5" s="41" t="s">
        <v>21</v>
      </c>
      <c r="AK5" s="39" t="s">
        <v>22</v>
      </c>
      <c r="AL5" s="37" t="s">
        <v>17</v>
      </c>
    </row>
    <row r="6" spans="1:38" s="37" customFormat="1" ht="15.75" customHeight="1">
      <c r="A6" s="51">
        <v>3</v>
      </c>
      <c r="B6" s="42" t="s">
        <v>23</v>
      </c>
      <c r="C6" s="103">
        <f>+C4-C5</f>
        <v>15300255</v>
      </c>
      <c r="D6" s="103">
        <f>'2024年'!K9</f>
        <v>151472524.5</v>
      </c>
      <c r="E6" s="103">
        <f>'2025年'!K9</f>
        <v>149957799.25500003</v>
      </c>
      <c r="F6" s="103">
        <f>'2026年'!K9</f>
        <v>148458221.26245001</v>
      </c>
      <c r="G6" s="103">
        <f>'2027年'!K9</f>
        <v>146973639.04982552</v>
      </c>
      <c r="H6" s="102">
        <f t="shared" si="0"/>
        <v>612162439.06727552</v>
      </c>
      <c r="I6" s="58"/>
      <c r="AJ6" s="41" t="s">
        <v>24</v>
      </c>
      <c r="AK6" s="42" t="s">
        <v>23</v>
      </c>
      <c r="AL6" s="37" t="s">
        <v>25</v>
      </c>
    </row>
    <row r="7" spans="1:38" s="37" customFormat="1" ht="15.75" customHeight="1">
      <c r="A7" s="51">
        <v>4</v>
      </c>
      <c r="B7" s="41" t="s">
        <v>26</v>
      </c>
      <c r="C7" s="102">
        <f>'2023年'!K10</f>
        <v>12329948.269304167</v>
      </c>
      <c r="D7" s="102">
        <f>'2024年'!K10</f>
        <v>122066487.86611125</v>
      </c>
      <c r="E7" s="102">
        <f>'2025年'!K10</f>
        <v>120845822.98745014</v>
      </c>
      <c r="F7" s="102">
        <f>'2026年'!K10</f>
        <v>119637364.75757563</v>
      </c>
      <c r="G7" s="102">
        <f>'2027年'!K10</f>
        <v>118440991.10999987</v>
      </c>
      <c r="H7" s="102">
        <f t="shared" si="0"/>
        <v>493320614.99044108</v>
      </c>
      <c r="I7" s="58"/>
      <c r="AJ7" s="41" t="s">
        <v>27</v>
      </c>
      <c r="AK7" s="41" t="s">
        <v>26</v>
      </c>
      <c r="AL7" s="37" t="s">
        <v>28</v>
      </c>
    </row>
    <row r="8" spans="1:38" s="37" customFormat="1" ht="15.75" customHeight="1">
      <c r="A8" s="51">
        <v>5</v>
      </c>
      <c r="B8" s="41" t="s">
        <v>29</v>
      </c>
      <c r="C8" s="102">
        <f>'2023年'!K11</f>
        <v>889566.00778879179</v>
      </c>
      <c r="D8" s="102">
        <f>'2024年'!K11</f>
        <v>8895660.0778879188</v>
      </c>
      <c r="E8" s="102">
        <f>'2025年'!K11</f>
        <v>8895660.0778879188</v>
      </c>
      <c r="F8" s="102">
        <f>'2026年'!K11</f>
        <v>8895660.0778879188</v>
      </c>
      <c r="G8" s="102">
        <f>'2027年'!K11</f>
        <v>8895660.0778879188</v>
      </c>
      <c r="H8" s="102">
        <f t="shared" si="0"/>
        <v>36472206.319340467</v>
      </c>
      <c r="I8" s="58"/>
      <c r="AJ8" s="41" t="s">
        <v>30</v>
      </c>
      <c r="AK8" s="41" t="s">
        <v>29</v>
      </c>
    </row>
    <row r="9" spans="1:38" s="37" customFormat="1" ht="15.75" customHeight="1">
      <c r="A9" s="51">
        <v>6</v>
      </c>
      <c r="B9" s="41" t="s">
        <v>31</v>
      </c>
      <c r="C9" s="102">
        <f>'2023年'!K12</f>
        <v>276450.46786641615</v>
      </c>
      <c r="D9" s="102">
        <f>'2024年'!K12</f>
        <v>2764504.6786641623</v>
      </c>
      <c r="E9" s="102">
        <f>'2025年'!K12</f>
        <v>2764504.6786641623</v>
      </c>
      <c r="F9" s="102">
        <f>'2026年'!K12</f>
        <v>2764504.6786641623</v>
      </c>
      <c r="G9" s="102">
        <f>'2027年'!K12</f>
        <v>2764504.6786641623</v>
      </c>
      <c r="H9" s="102">
        <f t="shared" si="0"/>
        <v>11334469.182523066</v>
      </c>
      <c r="I9" s="58"/>
      <c r="AJ9" s="41" t="s">
        <v>32</v>
      </c>
      <c r="AK9" s="41" t="s">
        <v>31</v>
      </c>
    </row>
    <row r="10" spans="1:38" s="37" customFormat="1" ht="15.75" customHeight="1">
      <c r="A10" s="51">
        <v>7</v>
      </c>
      <c r="B10" s="104" t="s">
        <v>33</v>
      </c>
      <c r="C10" s="102">
        <f>'2023年'!K13</f>
        <v>153002.54999999999</v>
      </c>
      <c r="D10" s="102">
        <f>'2024年'!K13</f>
        <v>1530025.5</v>
      </c>
      <c r="E10" s="102">
        <f>'2025年'!K13</f>
        <v>1530025.5</v>
      </c>
      <c r="F10" s="102">
        <f>'2026年'!K13</f>
        <v>1530025.5</v>
      </c>
      <c r="G10" s="102">
        <f>'2027年'!K13</f>
        <v>1530025.5</v>
      </c>
      <c r="H10" s="102">
        <f t="shared" si="0"/>
        <v>6273104.5499999998</v>
      </c>
      <c r="I10" s="58"/>
      <c r="AJ10" s="41" t="s">
        <v>34</v>
      </c>
      <c r="AK10" s="41" t="s">
        <v>33</v>
      </c>
      <c r="AL10" s="37" t="s">
        <v>17</v>
      </c>
    </row>
    <row r="11" spans="1:38" s="37" customFormat="1" ht="15.75" customHeight="1">
      <c r="A11" s="51">
        <v>8</v>
      </c>
      <c r="B11" s="105" t="s">
        <v>35</v>
      </c>
      <c r="C11" s="106">
        <f>'2023年'!K14</f>
        <v>1319019.0256552079</v>
      </c>
      <c r="D11" s="106">
        <f>'2024年'!K14</f>
        <v>13190190.25655208</v>
      </c>
      <c r="E11" s="106">
        <f>'2025年'!K14</f>
        <v>13190190.25655208</v>
      </c>
      <c r="F11" s="106">
        <f>'2026年'!K14</f>
        <v>13190190.25655208</v>
      </c>
      <c r="G11" s="106">
        <f>'2027年'!K14</f>
        <v>13190190.25655208</v>
      </c>
      <c r="H11" s="106">
        <f t="shared" si="0"/>
        <v>54079780.051863521</v>
      </c>
      <c r="I11" s="58"/>
      <c r="AJ11" s="41" t="s">
        <v>36</v>
      </c>
      <c r="AK11" s="44" t="s">
        <v>35</v>
      </c>
    </row>
    <row r="12" spans="1:38" s="37" customFormat="1" ht="15.75" customHeight="1">
      <c r="A12" s="51">
        <v>9</v>
      </c>
      <c r="B12" s="107" t="s">
        <v>37</v>
      </c>
      <c r="C12" s="102">
        <f>'2023年'!K15</f>
        <v>1651287.7050406251</v>
      </c>
      <c r="D12" s="102">
        <f>'2024年'!K15</f>
        <v>16215846.377336672</v>
      </c>
      <c r="E12" s="102">
        <f>'2025年'!K15</f>
        <v>15921786.010997795</v>
      </c>
      <c r="F12" s="102">
        <f>'2026年'!K15</f>
        <v>15630666.248322301</v>
      </c>
      <c r="G12" s="102">
        <f>'2027年'!K15</f>
        <v>15342457.683273563</v>
      </c>
      <c r="H12" s="102">
        <f>H6-H7-H11</f>
        <v>64762044.024970919</v>
      </c>
      <c r="I12" s="58"/>
      <c r="K12" s="99"/>
      <c r="L12" s="99"/>
      <c r="M12" s="99"/>
      <c r="N12" s="99"/>
      <c r="O12" s="99"/>
      <c r="P12" s="99"/>
      <c r="AJ12" s="41" t="s">
        <v>38</v>
      </c>
      <c r="AK12" s="44" t="s">
        <v>37</v>
      </c>
    </row>
    <row r="13" spans="1:38" ht="15.75" customHeight="1">
      <c r="A13" s="51">
        <v>10</v>
      </c>
      <c r="B13" s="108" t="s">
        <v>39</v>
      </c>
      <c r="C13" s="109">
        <f>+C12/C6</f>
        <v>0.10792550222467698</v>
      </c>
      <c r="D13" s="109">
        <f>'2024年'!K16</f>
        <v>0.10705470467904343</v>
      </c>
      <c r="E13" s="233">
        <f>'2025年'!K16</f>
        <v>0.10617511119860554</v>
      </c>
      <c r="F13" s="233">
        <f>'2026年'!K16</f>
        <v>0.10528663293553694</v>
      </c>
      <c r="G13" s="233">
        <f>'2027年'!K16</f>
        <v>0.10438918014455856</v>
      </c>
      <c r="H13" s="109">
        <f>+H12/H6</f>
        <v>0.10579225364373211</v>
      </c>
      <c r="I13" s="58"/>
      <c r="AJ13" s="108" t="s">
        <v>40</v>
      </c>
      <c r="AK13" s="108" t="s">
        <v>39</v>
      </c>
    </row>
    <row r="14" spans="1:38" ht="15.75" customHeight="1">
      <c r="A14" s="51">
        <v>11</v>
      </c>
      <c r="B14" s="108" t="s">
        <v>41</v>
      </c>
      <c r="C14" s="102">
        <f>'2023年'!K17</f>
        <v>706561.47499999986</v>
      </c>
      <c r="D14" s="102">
        <f>'2024年'!K17</f>
        <v>6903164.75</v>
      </c>
      <c r="E14" s="102">
        <f>'2025年'!K17</f>
        <v>6903164.75</v>
      </c>
      <c r="F14" s="102">
        <f>'2026年'!K17</f>
        <v>6903164.75</v>
      </c>
      <c r="G14" s="102">
        <f>'2027年'!K17</f>
        <v>6903164.75</v>
      </c>
      <c r="H14" s="102">
        <f>SUM(C14:G14)</f>
        <v>28319220.475000001</v>
      </c>
      <c r="I14" s="58"/>
      <c r="AJ14" s="108" t="s">
        <v>42</v>
      </c>
      <c r="AK14" s="108" t="s">
        <v>41</v>
      </c>
    </row>
    <row r="15" spans="1:38" ht="15.75" hidden="1" customHeight="1">
      <c r="A15" s="147"/>
      <c r="B15" s="108"/>
      <c r="C15" s="102"/>
      <c r="D15" s="102"/>
      <c r="E15" s="102"/>
      <c r="F15" s="102"/>
      <c r="G15" s="102"/>
      <c r="H15" s="102"/>
      <c r="I15" s="58"/>
      <c r="AJ15" s="108"/>
      <c r="AK15" s="108"/>
    </row>
    <row r="16" spans="1:38" ht="15.75" customHeight="1">
      <c r="A16" s="51">
        <v>12</v>
      </c>
      <c r="B16" s="108" t="s">
        <v>43</v>
      </c>
      <c r="C16" s="110">
        <f>'2023年'!K19</f>
        <v>120872.0145</v>
      </c>
      <c r="D16" s="110">
        <f>'2024年'!K19</f>
        <v>1208720.145</v>
      </c>
      <c r="E16" s="110">
        <f>'2025年'!K19</f>
        <v>1208720.145</v>
      </c>
      <c r="F16" s="110">
        <f>'2026年'!K19</f>
        <v>1208720.145</v>
      </c>
      <c r="G16" s="110">
        <f>'2027年'!K19</f>
        <v>1208720.145</v>
      </c>
      <c r="H16" s="102">
        <f>SUM(C16:G16)</f>
        <v>4955752.5944999997</v>
      </c>
      <c r="I16" s="58"/>
      <c r="Q16" s="58"/>
      <c r="AJ16" s="108" t="s">
        <v>44</v>
      </c>
      <c r="AK16" s="108" t="s">
        <v>43</v>
      </c>
      <c r="AL16" s="99" t="s">
        <v>17</v>
      </c>
    </row>
    <row r="17" spans="1:38" ht="15.75" customHeight="1">
      <c r="A17" s="51">
        <v>13</v>
      </c>
      <c r="B17" s="108" t="s">
        <v>45</v>
      </c>
      <c r="C17" s="110">
        <f>'2023年'!K20</f>
        <v>620628.97580197989</v>
      </c>
      <c r="D17" s="110">
        <f>'2024年'!K20</f>
        <v>6206289.7580197984</v>
      </c>
      <c r="E17" s="110">
        <f>'2025年'!K20</f>
        <v>6206289.7580197984</v>
      </c>
      <c r="F17" s="110">
        <f>'2026年'!K20</f>
        <v>6206289.7580197984</v>
      </c>
      <c r="G17" s="110">
        <f>'2027年'!K20</f>
        <v>6206289.7580197984</v>
      </c>
      <c r="H17" s="102">
        <f>SUM(C17:G17)</f>
        <v>25445788.007881172</v>
      </c>
      <c r="I17" s="58"/>
      <c r="AJ17" s="108" t="s">
        <v>46</v>
      </c>
      <c r="AK17" s="108" t="s">
        <v>45</v>
      </c>
    </row>
    <row r="18" spans="1:38" s="36" customFormat="1" ht="15.75" customHeight="1">
      <c r="A18" s="51">
        <v>14</v>
      </c>
      <c r="B18" s="49" t="s">
        <v>47</v>
      </c>
      <c r="C18" s="111">
        <f>'2023年'!K21</f>
        <v>48607.999999999993</v>
      </c>
      <c r="D18" s="111">
        <f>'2024年'!K21</f>
        <v>48607.999999999993</v>
      </c>
      <c r="E18" s="111">
        <f>'2025年'!K21</f>
        <v>48607.999999999993</v>
      </c>
      <c r="F18" s="111">
        <f>'2026年'!K21</f>
        <v>48607.999999999993</v>
      </c>
      <c r="G18" s="111">
        <f>'2027年'!K21</f>
        <v>48607.999999999993</v>
      </c>
      <c r="H18" s="102">
        <f>SUM(C18:G18)</f>
        <v>243039.99999999997</v>
      </c>
      <c r="I18" s="58"/>
      <c r="AJ18" s="49"/>
      <c r="AK18" s="49"/>
    </row>
    <row r="19" spans="1:38" s="37" customFormat="1" ht="15.75" customHeight="1">
      <c r="A19" s="51">
        <v>15</v>
      </c>
      <c r="B19" s="41" t="s">
        <v>48</v>
      </c>
      <c r="C19" s="110">
        <f>'2023年'!K22</f>
        <v>325895.43150000001</v>
      </c>
      <c r="D19" s="110">
        <f>'2024年'!K22</f>
        <v>3258954.3149999995</v>
      </c>
      <c r="E19" s="110">
        <f>'2025年'!K22</f>
        <v>3258954.3149999995</v>
      </c>
      <c r="F19" s="110">
        <f>'2026年'!K22</f>
        <v>3258954.3149999995</v>
      </c>
      <c r="G19" s="110">
        <f>'2027年'!K22</f>
        <v>3258954.3149999995</v>
      </c>
      <c r="H19" s="102">
        <f>SUM(C19:G19)</f>
        <v>13361712.691499999</v>
      </c>
      <c r="I19" s="58"/>
      <c r="AJ19" s="41" t="s">
        <v>49</v>
      </c>
      <c r="AK19" s="41" t="s">
        <v>48</v>
      </c>
    </row>
    <row r="20" spans="1:38" s="97" customFormat="1" ht="15.75" customHeight="1">
      <c r="A20" s="51">
        <v>16</v>
      </c>
      <c r="B20" s="112" t="s">
        <v>50</v>
      </c>
      <c r="C20" s="106">
        <f t="shared" ref="C20" si="1">+C19+C18+C17+C16+C14</f>
        <v>1822565.8968019797</v>
      </c>
      <c r="D20" s="106">
        <f>'2024年'!K23</f>
        <v>17625736.968019798</v>
      </c>
      <c r="E20" s="106">
        <f>'2025年'!K23</f>
        <v>17625736.968019798</v>
      </c>
      <c r="F20" s="106">
        <f>'2026年'!K23</f>
        <v>17625736.968019798</v>
      </c>
      <c r="G20" s="106">
        <f>'2027年'!K23</f>
        <v>17625736.968019798</v>
      </c>
      <c r="H20" s="106">
        <f>SUM(C20:G20)</f>
        <v>72325513.768881172</v>
      </c>
      <c r="I20" s="58"/>
      <c r="AJ20" s="125" t="s">
        <v>51</v>
      </c>
      <c r="AK20" s="126" t="s">
        <v>50</v>
      </c>
    </row>
    <row r="21" spans="1:38" ht="15.75" customHeight="1">
      <c r="A21" s="51">
        <v>17</v>
      </c>
      <c r="B21" s="108" t="s">
        <v>52</v>
      </c>
      <c r="C21" s="113">
        <f>+C12-C20</f>
        <v>-171278.19176135468</v>
      </c>
      <c r="D21" s="113">
        <f>'2024年'!K24</f>
        <v>-1409890.5906831268</v>
      </c>
      <c r="E21" s="113">
        <f>'2025年'!K24</f>
        <v>-1703950.9570220038</v>
      </c>
      <c r="F21" s="113">
        <f>'2026年'!K24</f>
        <v>-1995070.7196974978</v>
      </c>
      <c r="G21" s="113">
        <f>'2027年'!K24</f>
        <v>-2283279.2847462352</v>
      </c>
      <c r="H21" s="113">
        <f>+H12-H20</f>
        <v>-7563469.743910253</v>
      </c>
      <c r="I21" s="58"/>
      <c r="AJ21" s="108" t="s">
        <v>53</v>
      </c>
      <c r="AK21" s="108" t="s">
        <v>52</v>
      </c>
    </row>
    <row r="22" spans="1:38" ht="15.75" customHeight="1">
      <c r="A22" s="51">
        <v>18</v>
      </c>
      <c r="B22" s="108" t="s">
        <v>54</v>
      </c>
      <c r="C22" s="113">
        <f>IF(C21&lt;0,0,C21*0.15)</f>
        <v>0</v>
      </c>
      <c r="D22" s="113">
        <f>'2024年'!K25</f>
        <v>0</v>
      </c>
      <c r="E22" s="113">
        <f>'2025年'!K25</f>
        <v>0</v>
      </c>
      <c r="F22" s="113">
        <f>'2026年'!K25</f>
        <v>0</v>
      </c>
      <c r="G22" s="113">
        <f>'2027年'!K25</f>
        <v>0</v>
      </c>
      <c r="H22" s="113">
        <f>IF(H21&lt;0,0,H21*0.15)</f>
        <v>0</v>
      </c>
      <c r="I22" s="58"/>
      <c r="AJ22" s="108" t="s">
        <v>55</v>
      </c>
      <c r="AK22" s="108" t="s">
        <v>54</v>
      </c>
    </row>
    <row r="23" spans="1:38" ht="15.75" customHeight="1">
      <c r="A23" s="51">
        <v>19</v>
      </c>
      <c r="B23" s="108" t="s">
        <v>56</v>
      </c>
      <c r="C23" s="113">
        <f>C21-C22</f>
        <v>-171278.19176135468</v>
      </c>
      <c r="D23" s="113">
        <f>'2024年'!K26</f>
        <v>-1409890.5906831268</v>
      </c>
      <c r="E23" s="113">
        <f>'2025年'!K26</f>
        <v>-2031449.2970398902</v>
      </c>
      <c r="F23" s="113">
        <f>'2026年'!K26</f>
        <v>-2289902.3447251706</v>
      </c>
      <c r="G23" s="113">
        <f>'2027年'!K26</f>
        <v>-2283279.2847462352</v>
      </c>
      <c r="H23" s="113">
        <f>H21-H22</f>
        <v>-7563469.743910253</v>
      </c>
      <c r="I23" s="58"/>
      <c r="AJ23" s="108" t="s">
        <v>57</v>
      </c>
      <c r="AK23" s="108" t="s">
        <v>56</v>
      </c>
    </row>
    <row r="24" spans="1:38" ht="15.75" customHeight="1">
      <c r="A24" s="51">
        <v>20</v>
      </c>
      <c r="B24" s="108" t="s">
        <v>58</v>
      </c>
      <c r="C24" s="114">
        <f>(C23/C4)*100%</f>
        <v>-1.1194466481856328E-2</v>
      </c>
      <c r="D24" s="114">
        <f>'2024年'!K27</f>
        <v>-9.2148176006421247E-3</v>
      </c>
      <c r="E24" s="114">
        <f>'2025年'!K27</f>
        <v>-1.3277225098796655E-2</v>
      </c>
      <c r="F24" s="114">
        <f>'2026年'!K27</f>
        <v>-1.4966432551125263E-2</v>
      </c>
      <c r="G24" s="114">
        <f>'2027年'!K27</f>
        <v>-1.4923145298860935E-2</v>
      </c>
      <c r="H24" s="114">
        <f>(H23/H4)*100%</f>
        <v>-1.2056980213904219E-2</v>
      </c>
      <c r="I24" s="58"/>
      <c r="AJ24" s="127" t="s">
        <v>59</v>
      </c>
      <c r="AK24" s="127" t="s">
        <v>60</v>
      </c>
    </row>
    <row r="25" spans="1:38" s="98" customFormat="1" ht="15.75" customHeight="1">
      <c r="C25" s="115"/>
      <c r="D25" s="115"/>
      <c r="E25" s="115"/>
      <c r="F25" s="115"/>
      <c r="G25" s="115"/>
      <c r="H25" s="115"/>
      <c r="I25" s="124"/>
    </row>
    <row r="26" spans="1:38" s="98" customFormat="1" ht="15.75" customHeight="1">
      <c r="A26" s="98" t="s">
        <v>61</v>
      </c>
      <c r="C26" s="116"/>
      <c r="D26" s="116"/>
      <c r="E26" s="116"/>
      <c r="F26" s="116"/>
      <c r="G26" s="116"/>
      <c r="H26" s="116"/>
      <c r="I26" s="124"/>
      <c r="AJ26" s="98" t="s">
        <v>61</v>
      </c>
    </row>
    <row r="27" spans="1:38" ht="15.75" customHeight="1">
      <c r="A27" s="108" t="s">
        <v>14</v>
      </c>
      <c r="B27" s="117" t="s">
        <v>1</v>
      </c>
      <c r="C27" s="101" t="s">
        <v>181</v>
      </c>
      <c r="D27" s="101" t="s">
        <v>182</v>
      </c>
      <c r="E27" s="101" t="s">
        <v>183</v>
      </c>
      <c r="F27" s="101" t="s">
        <v>228</v>
      </c>
      <c r="G27" s="101" t="s">
        <v>243</v>
      </c>
      <c r="H27" s="40" t="s">
        <v>15</v>
      </c>
      <c r="AL27" s="99" t="s">
        <v>16</v>
      </c>
    </row>
    <row r="28" spans="1:38" s="37" customFormat="1" ht="15.75" customHeight="1">
      <c r="A28" s="41" t="s">
        <v>62</v>
      </c>
      <c r="B28" s="44" t="s">
        <v>63</v>
      </c>
      <c r="C28" s="48"/>
      <c r="D28" s="48"/>
      <c r="E28" s="48"/>
      <c r="F28" s="48"/>
      <c r="G28" s="48"/>
      <c r="H28" s="48"/>
      <c r="I28" s="58"/>
      <c r="AJ28" s="41" t="s">
        <v>64</v>
      </c>
      <c r="AK28" s="44" t="s">
        <v>63</v>
      </c>
    </row>
    <row r="29" spans="1:38" s="37" customFormat="1" ht="15.75" customHeight="1">
      <c r="A29" s="41" t="s">
        <v>19</v>
      </c>
      <c r="B29" s="41" t="s">
        <v>65</v>
      </c>
      <c r="C29" s="43">
        <f>+C6/C3</f>
        <v>765.01274999999998</v>
      </c>
      <c r="D29" s="43">
        <f t="shared" ref="D29:G29" si="2">+D6/D3</f>
        <v>757.36262250000004</v>
      </c>
      <c r="E29" s="43">
        <f t="shared" si="2"/>
        <v>749.78899627500016</v>
      </c>
      <c r="F29" s="43">
        <f t="shared" si="2"/>
        <v>742.29110631225001</v>
      </c>
      <c r="G29" s="43">
        <f t="shared" si="2"/>
        <v>734.86819524912755</v>
      </c>
      <c r="H29" s="43">
        <f>+H6/H3</f>
        <v>746.53955983814092</v>
      </c>
      <c r="I29" s="58"/>
      <c r="AJ29" s="41" t="s">
        <v>19</v>
      </c>
      <c r="AK29" s="41" t="s">
        <v>65</v>
      </c>
    </row>
    <row r="30" spans="1:38" s="37" customFormat="1" ht="15.75" customHeight="1">
      <c r="A30" s="41" t="s">
        <v>21</v>
      </c>
      <c r="B30" s="41" t="s">
        <v>66</v>
      </c>
      <c r="C30" s="43">
        <f>+C7/C3</f>
        <v>616.49741346520841</v>
      </c>
      <c r="D30" s="43">
        <f t="shared" ref="D30:G30" si="3">+D7/D3</f>
        <v>610.33243933055621</v>
      </c>
      <c r="E30" s="43">
        <f t="shared" si="3"/>
        <v>604.22911493725064</v>
      </c>
      <c r="F30" s="43">
        <f t="shared" si="3"/>
        <v>598.18682378787821</v>
      </c>
      <c r="G30" s="43">
        <f t="shared" si="3"/>
        <v>592.20495554999934</v>
      </c>
      <c r="H30" s="43">
        <f>+H7/H3</f>
        <v>601.61050608590381</v>
      </c>
      <c r="I30" s="58"/>
      <c r="AJ30" s="41" t="s">
        <v>21</v>
      </c>
      <c r="AK30" s="41" t="s">
        <v>66</v>
      </c>
    </row>
    <row r="31" spans="1:38" s="37" customFormat="1" ht="15.75" customHeight="1">
      <c r="A31" s="41" t="s">
        <v>67</v>
      </c>
      <c r="B31" s="41" t="s">
        <v>68</v>
      </c>
      <c r="C31" s="48">
        <f t="shared" ref="C31:H31" si="4">C29-C30</f>
        <v>148.51533653479157</v>
      </c>
      <c r="D31" s="48">
        <f t="shared" ref="D31:G31" si="5">D29-D30</f>
        <v>147.03018316944383</v>
      </c>
      <c r="E31" s="48">
        <f t="shared" si="5"/>
        <v>145.55988133774952</v>
      </c>
      <c r="F31" s="48">
        <f t="shared" si="5"/>
        <v>144.1042825243718</v>
      </c>
      <c r="G31" s="48">
        <f t="shared" si="5"/>
        <v>142.66323969912821</v>
      </c>
      <c r="H31" s="48">
        <f t="shared" si="4"/>
        <v>144.92905375223711</v>
      </c>
      <c r="I31" s="58"/>
      <c r="AJ31" s="41" t="s">
        <v>67</v>
      </c>
      <c r="AK31" s="41" t="s">
        <v>68</v>
      </c>
    </row>
    <row r="32" spans="1:38" s="37" customFormat="1" ht="15.75" customHeight="1">
      <c r="A32" s="41">
        <v>3.1</v>
      </c>
      <c r="B32" s="41" t="s">
        <v>69</v>
      </c>
      <c r="C32" s="118">
        <f t="shared" ref="C32:H32" si="6">C31/C29</f>
        <v>0.1941344592424003</v>
      </c>
      <c r="D32" s="118">
        <f t="shared" ref="D32:G32" si="7">D31/D29</f>
        <v>0.19413445924240053</v>
      </c>
      <c r="E32" s="118">
        <f t="shared" si="7"/>
        <v>0.19413445924240066</v>
      </c>
      <c r="F32" s="118">
        <f t="shared" si="7"/>
        <v>0.19413445924240039</v>
      </c>
      <c r="G32" s="118">
        <f t="shared" si="7"/>
        <v>0.19413445924240055</v>
      </c>
      <c r="H32" s="118">
        <f t="shared" si="6"/>
        <v>0.19413445924240041</v>
      </c>
      <c r="I32" s="58"/>
      <c r="AJ32" s="41"/>
      <c r="AK32" s="41"/>
    </row>
    <row r="33" spans="1:37" s="37" customFormat="1" ht="15.75" customHeight="1">
      <c r="A33" s="41" t="s">
        <v>64</v>
      </c>
      <c r="B33" s="44" t="s">
        <v>8</v>
      </c>
      <c r="C33" s="48"/>
      <c r="D33" s="48"/>
      <c r="E33" s="48"/>
      <c r="F33" s="48"/>
      <c r="G33" s="48"/>
      <c r="H33" s="48"/>
      <c r="I33" s="58"/>
      <c r="AJ33" s="41" t="s">
        <v>70</v>
      </c>
      <c r="AK33" s="44" t="s">
        <v>8</v>
      </c>
    </row>
    <row r="34" spans="1:37" s="37" customFormat="1" ht="15.75" customHeight="1">
      <c r="A34" s="41" t="s">
        <v>19</v>
      </c>
      <c r="B34" s="49" t="s">
        <v>71</v>
      </c>
      <c r="C34" s="43">
        <f>+C8/C3</f>
        <v>44.478300389439589</v>
      </c>
      <c r="D34" s="43">
        <f t="shared" ref="D34:G34" si="8">+D8/D3</f>
        <v>44.478300389439596</v>
      </c>
      <c r="E34" s="43">
        <f t="shared" si="8"/>
        <v>44.478300389439596</v>
      </c>
      <c r="F34" s="43">
        <f t="shared" si="8"/>
        <v>44.478300389439596</v>
      </c>
      <c r="G34" s="43">
        <f t="shared" si="8"/>
        <v>44.478300389439596</v>
      </c>
      <c r="H34" s="43">
        <f>+H8/H3</f>
        <v>44.478300389439596</v>
      </c>
      <c r="I34" s="58"/>
      <c r="AJ34" s="41" t="s">
        <v>67</v>
      </c>
      <c r="AK34" s="41" t="s">
        <v>71</v>
      </c>
    </row>
    <row r="35" spans="1:37" s="37" customFormat="1" ht="15.75" customHeight="1">
      <c r="A35" s="41" t="s">
        <v>21</v>
      </c>
      <c r="B35" s="49" t="s">
        <v>72</v>
      </c>
      <c r="C35" s="43">
        <f>+C9/C3</f>
        <v>13.822523393320807</v>
      </c>
      <c r="D35" s="43">
        <f t="shared" ref="D35:G35" si="9">+D9/D3</f>
        <v>13.822523393320811</v>
      </c>
      <c r="E35" s="43">
        <f t="shared" si="9"/>
        <v>13.822523393320811</v>
      </c>
      <c r="F35" s="43">
        <f t="shared" si="9"/>
        <v>13.822523393320811</v>
      </c>
      <c r="G35" s="43">
        <f t="shared" si="9"/>
        <v>13.822523393320811</v>
      </c>
      <c r="H35" s="43">
        <f>+H9/H3</f>
        <v>13.822523393320813</v>
      </c>
      <c r="I35" s="58"/>
      <c r="AJ35" s="41" t="s">
        <v>24</v>
      </c>
      <c r="AK35" s="41" t="s">
        <v>72</v>
      </c>
    </row>
    <row r="36" spans="1:37" s="37" customFormat="1" ht="15.75" customHeight="1">
      <c r="A36" s="41" t="s">
        <v>67</v>
      </c>
      <c r="B36" s="49" t="s">
        <v>73</v>
      </c>
      <c r="C36" s="43">
        <f>+C10/C3</f>
        <v>7.6501274999999991</v>
      </c>
      <c r="D36" s="43">
        <f t="shared" ref="D36:G36" si="10">+D10/D3</f>
        <v>7.6501275</v>
      </c>
      <c r="E36" s="43">
        <f t="shared" si="10"/>
        <v>7.6501275</v>
      </c>
      <c r="F36" s="43">
        <f t="shared" si="10"/>
        <v>7.6501275</v>
      </c>
      <c r="G36" s="43">
        <f t="shared" si="10"/>
        <v>7.6501275</v>
      </c>
      <c r="H36" s="43">
        <f>+H10/H3</f>
        <v>7.6501275</v>
      </c>
      <c r="I36" s="58"/>
      <c r="AJ36" s="41" t="s">
        <v>30</v>
      </c>
      <c r="AK36" s="41" t="s">
        <v>73</v>
      </c>
    </row>
    <row r="37" spans="1:37" s="37" customFormat="1" ht="15.75" customHeight="1">
      <c r="A37" s="41" t="s">
        <v>74</v>
      </c>
      <c r="B37" s="107" t="s">
        <v>75</v>
      </c>
      <c r="C37" s="43"/>
      <c r="D37" s="43"/>
      <c r="E37" s="43"/>
      <c r="F37" s="43"/>
      <c r="G37" s="43"/>
      <c r="H37" s="43"/>
      <c r="I37" s="58"/>
      <c r="AJ37" s="41" t="s">
        <v>74</v>
      </c>
      <c r="AK37" s="44" t="s">
        <v>75</v>
      </c>
    </row>
    <row r="38" spans="1:37" s="37" customFormat="1">
      <c r="A38" s="41" t="s">
        <v>19</v>
      </c>
      <c r="B38" s="49" t="s">
        <v>76</v>
      </c>
      <c r="C38" s="43">
        <f>+C12/C3</f>
        <v>82.564385252031258</v>
      </c>
      <c r="D38" s="43">
        <f t="shared" ref="D38:G38" si="11">+D12/D3</f>
        <v>81.07923188668336</v>
      </c>
      <c r="E38" s="43">
        <f t="shared" si="11"/>
        <v>79.608930054988974</v>
      </c>
      <c r="F38" s="43">
        <f t="shared" si="11"/>
        <v>78.153331241611497</v>
      </c>
      <c r="G38" s="43">
        <f t="shared" si="11"/>
        <v>76.712288416367812</v>
      </c>
      <c r="H38" s="43">
        <f>+H12/H3</f>
        <v>78.978102469476724</v>
      </c>
      <c r="I38" s="58"/>
      <c r="AJ38" s="41" t="s">
        <v>19</v>
      </c>
      <c r="AK38" s="41" t="s">
        <v>77</v>
      </c>
    </row>
    <row r="39" spans="1:37" s="37" customFormat="1" ht="15.75" customHeight="1">
      <c r="A39" s="41" t="s">
        <v>21</v>
      </c>
      <c r="B39" s="49" t="s">
        <v>78</v>
      </c>
      <c r="C39" s="102">
        <f t="shared" ref="C39" si="12">+C20/C38</f>
        <v>22074.480313012937</v>
      </c>
      <c r="D39" s="102">
        <f t="shared" ref="D39:G39" si="13">+D20/D38</f>
        <v>217389.04720574553</v>
      </c>
      <c r="E39" s="102">
        <f t="shared" si="13"/>
        <v>221404.01781364251</v>
      </c>
      <c r="F39" s="102">
        <f t="shared" si="13"/>
        <v>225527.64786864587</v>
      </c>
      <c r="G39" s="102">
        <f t="shared" si="13"/>
        <v>229764.19204643439</v>
      </c>
      <c r="H39" s="164">
        <f t="shared" ref="H39" si="14">+H20/H38</f>
        <v>915766.66832218936</v>
      </c>
      <c r="I39" s="58"/>
      <c r="AJ39" s="41" t="s">
        <v>21</v>
      </c>
      <c r="AK39" s="41" t="s">
        <v>78</v>
      </c>
    </row>
    <row r="40" spans="1:37" s="37" customFormat="1" ht="15.75" hidden="1" customHeight="1">
      <c r="A40" s="41" t="s">
        <v>79</v>
      </c>
      <c r="B40" s="44" t="s">
        <v>80</v>
      </c>
      <c r="C40" s="48"/>
      <c r="D40" s="48"/>
      <c r="E40" s="48"/>
      <c r="F40" s="48"/>
      <c r="G40" s="48"/>
      <c r="H40" s="48"/>
      <c r="I40" s="58"/>
      <c r="AJ40" s="41" t="s">
        <v>79</v>
      </c>
      <c r="AK40" s="44" t="s">
        <v>80</v>
      </c>
    </row>
    <row r="41" spans="1:37" s="37" customFormat="1" ht="15.75" hidden="1" customHeight="1">
      <c r="A41" s="41" t="s">
        <v>19</v>
      </c>
      <c r="B41" s="41" t="s">
        <v>81</v>
      </c>
      <c r="C41" s="48">
        <f>+C14/C3</f>
        <v>35.328073749999994</v>
      </c>
      <c r="D41" s="48">
        <f t="shared" ref="D41:G41" si="15">+D14/D3</f>
        <v>34.515823750000003</v>
      </c>
      <c r="E41" s="48"/>
      <c r="F41" s="48"/>
      <c r="G41" s="48">
        <f t="shared" si="15"/>
        <v>34.515823750000003</v>
      </c>
      <c r="H41" s="48">
        <f>+H14/H3</f>
        <v>34.535634725609761</v>
      </c>
      <c r="I41" s="58"/>
      <c r="AJ41" s="41" t="s">
        <v>19</v>
      </c>
      <c r="AK41" s="41" t="s">
        <v>81</v>
      </c>
    </row>
    <row r="42" spans="1:37" s="37" customFormat="1" ht="15.75" hidden="1" customHeight="1">
      <c r="A42" s="41" t="s">
        <v>21</v>
      </c>
      <c r="B42" s="41" t="s">
        <v>82</v>
      </c>
      <c r="C42" s="48">
        <f>+C16/C3</f>
        <v>6.0436007250000001</v>
      </c>
      <c r="D42" s="48">
        <f t="shared" ref="D42:G42" si="16">+D16/D3</f>
        <v>6.0436007250000001</v>
      </c>
      <c r="E42" s="48"/>
      <c r="F42" s="48"/>
      <c r="G42" s="48">
        <f t="shared" si="16"/>
        <v>6.0436007250000001</v>
      </c>
      <c r="H42" s="48">
        <f>+H16/H3</f>
        <v>6.0436007249999992</v>
      </c>
      <c r="I42" s="58"/>
      <c r="AJ42" s="41" t="s">
        <v>21</v>
      </c>
      <c r="AK42" s="41" t="s">
        <v>82</v>
      </c>
    </row>
    <row r="43" spans="1:37" s="37" customFormat="1" ht="15.75" hidden="1" customHeight="1">
      <c r="A43" s="41" t="s">
        <v>67</v>
      </c>
      <c r="B43" s="41" t="s">
        <v>83</v>
      </c>
      <c r="C43" s="48">
        <f>+C17/C3</f>
        <v>31.031448790098995</v>
      </c>
      <c r="D43" s="48">
        <f t="shared" ref="D43:G43" si="17">+D17/D3</f>
        <v>31.031448790098992</v>
      </c>
      <c r="E43" s="48"/>
      <c r="F43" s="48"/>
      <c r="G43" s="48">
        <f t="shared" si="17"/>
        <v>31.031448790098992</v>
      </c>
      <c r="H43" s="48">
        <f>+H17/H3</f>
        <v>31.031448790098992</v>
      </c>
      <c r="I43" s="58"/>
      <c r="AJ43" s="41" t="s">
        <v>67</v>
      </c>
      <c r="AK43" s="41" t="s">
        <v>83</v>
      </c>
    </row>
    <row r="44" spans="1:37" s="37" customFormat="1" ht="15.75" hidden="1" customHeight="1">
      <c r="A44" s="41" t="s">
        <v>24</v>
      </c>
      <c r="B44" s="41" t="s">
        <v>84</v>
      </c>
      <c r="C44" s="48"/>
      <c r="D44" s="48"/>
      <c r="E44" s="48"/>
      <c r="F44" s="48"/>
      <c r="G44" s="48"/>
      <c r="H44" s="48"/>
      <c r="I44" s="58"/>
      <c r="AJ44" s="41" t="s">
        <v>24</v>
      </c>
      <c r="AK44" s="41" t="s">
        <v>85</v>
      </c>
    </row>
    <row r="45" spans="1:37" s="37" customFormat="1" ht="15.75" hidden="1" customHeight="1">
      <c r="A45" s="41" t="s">
        <v>27</v>
      </c>
      <c r="B45" s="41" t="s">
        <v>86</v>
      </c>
      <c r="C45" s="48"/>
      <c r="D45" s="48"/>
      <c r="E45" s="48"/>
      <c r="F45" s="48"/>
      <c r="G45" s="48"/>
      <c r="H45" s="48"/>
      <c r="I45" s="58"/>
      <c r="AJ45" s="41" t="s">
        <v>27</v>
      </c>
      <c r="AK45" s="41" t="s">
        <v>86</v>
      </c>
    </row>
    <row r="46" spans="1:37" s="37" customFormat="1" ht="15.75" hidden="1" customHeight="1">
      <c r="A46" s="41" t="s">
        <v>87</v>
      </c>
      <c r="B46" s="44" t="s">
        <v>88</v>
      </c>
      <c r="C46" s="48"/>
      <c r="D46" s="48"/>
      <c r="E46" s="48"/>
      <c r="F46" s="48"/>
      <c r="G46" s="48"/>
      <c r="H46" s="48"/>
      <c r="I46" s="58"/>
      <c r="AJ46" s="41" t="s">
        <v>87</v>
      </c>
      <c r="AK46" s="44" t="s">
        <v>88</v>
      </c>
    </row>
    <row r="47" spans="1:37" s="37" customFormat="1" ht="15.75" hidden="1" customHeight="1">
      <c r="A47" s="41" t="s">
        <v>19</v>
      </c>
      <c r="B47" s="41" t="s">
        <v>89</v>
      </c>
      <c r="C47" s="119">
        <f>+(C10+C16)/C6</f>
        <v>1.7899999999999999E-2</v>
      </c>
      <c r="D47" s="119">
        <f t="shared" ref="D47:G47" si="18">+(D10+D16)/D6</f>
        <v>1.8080808080808079E-2</v>
      </c>
      <c r="E47" s="119"/>
      <c r="F47" s="119"/>
      <c r="G47" s="119">
        <f t="shared" si="18"/>
        <v>1.8634264366765376E-2</v>
      </c>
      <c r="H47" s="119">
        <f>+(H10+H16)/H6</f>
        <v>1.8342937148526958E-2</v>
      </c>
      <c r="I47" s="58"/>
      <c r="AJ47" s="41" t="s">
        <v>19</v>
      </c>
      <c r="AK47" s="41" t="s">
        <v>89</v>
      </c>
    </row>
    <row r="48" spans="1:37" s="37" customFormat="1" ht="15.75" hidden="1" customHeight="1">
      <c r="A48" s="41" t="s">
        <v>21</v>
      </c>
      <c r="B48" s="41" t="s">
        <v>90</v>
      </c>
      <c r="C48" s="119">
        <f>+(C8+C9+C14)/C6</f>
        <v>0.12238867591783324</v>
      </c>
      <c r="D48" s="119">
        <f t="shared" ref="D48:G48" si="19">+(D8+D9+D14)/D6</f>
        <v>0.12255245344215598</v>
      </c>
      <c r="E48" s="119"/>
      <c r="F48" s="119"/>
      <c r="G48" s="119">
        <f t="shared" si="19"/>
        <v>0.12630380268572466</v>
      </c>
      <c r="H48" s="119">
        <f>+(H8+H9+H14)/H6</f>
        <v>0.12435571201142813</v>
      </c>
      <c r="I48" s="58"/>
      <c r="AJ48" s="41" t="s">
        <v>21</v>
      </c>
      <c r="AK48" s="41" t="s">
        <v>90</v>
      </c>
    </row>
    <row r="49" spans="1:37" s="37" customFormat="1" ht="15.75" hidden="1" customHeight="1">
      <c r="A49" s="41" t="s">
        <v>67</v>
      </c>
      <c r="B49" s="41" t="s">
        <v>91</v>
      </c>
      <c r="C49" s="119">
        <f>+C17/C6</f>
        <v>4.056330929137978E-2</v>
      </c>
      <c r="D49" s="119">
        <f t="shared" ref="D49:G49" si="20">+D17/D6</f>
        <v>4.0973039688262401E-2</v>
      </c>
      <c r="E49" s="119"/>
      <c r="F49" s="119"/>
      <c r="G49" s="119">
        <f t="shared" si="20"/>
        <v>4.2227230666281625E-2</v>
      </c>
      <c r="H49" s="119">
        <f>+H17/H6</f>
        <v>4.1567052115532896E-2</v>
      </c>
      <c r="I49" s="58"/>
      <c r="AJ49" s="41" t="s">
        <v>67</v>
      </c>
      <c r="AK49" s="41" t="s">
        <v>91</v>
      </c>
    </row>
    <row r="50" spans="1:37" s="37" customFormat="1" ht="15.75" hidden="1" customHeight="1">
      <c r="A50" s="41" t="s">
        <v>24</v>
      </c>
      <c r="B50" s="41" t="s">
        <v>92</v>
      </c>
      <c r="C50" s="119">
        <f>+C18/C6</f>
        <v>3.1769405150437031E-3</v>
      </c>
      <c r="D50" s="119">
        <f t="shared" ref="D50:G50" si="21">+D18/D6</f>
        <v>3.2090308232764675E-4</v>
      </c>
      <c r="E50" s="119"/>
      <c r="F50" s="119"/>
      <c r="G50" s="119">
        <f t="shared" si="21"/>
        <v>3.3072597449615708E-4</v>
      </c>
      <c r="H50" s="119">
        <f>+H18/H6</f>
        <v>3.9701880496018202E-4</v>
      </c>
      <c r="I50" s="58"/>
      <c r="AJ50" s="41" t="s">
        <v>24</v>
      </c>
      <c r="AK50" s="41" t="s">
        <v>92</v>
      </c>
    </row>
    <row r="51" spans="1:37" s="37" customFormat="1" ht="15.75" hidden="1" customHeight="1">
      <c r="A51" s="41" t="s">
        <v>27</v>
      </c>
      <c r="B51" s="41" t="s">
        <v>93</v>
      </c>
      <c r="C51" s="119">
        <f>+C19/C6</f>
        <v>2.1299999999999999E-2</v>
      </c>
      <c r="D51" s="119">
        <f t="shared" ref="D51:G51" si="22">+D19/D6</f>
        <v>2.1515151515151511E-2</v>
      </c>
      <c r="E51" s="119"/>
      <c r="F51" s="119"/>
      <c r="G51" s="119">
        <f t="shared" si="22"/>
        <v>2.217373357609511E-2</v>
      </c>
      <c r="H51" s="119">
        <f>+H19/H6</f>
        <v>2.1827070461654986E-2</v>
      </c>
      <c r="I51" s="58"/>
      <c r="AJ51" s="41" t="s">
        <v>27</v>
      </c>
      <c r="AK51" s="41" t="s">
        <v>93</v>
      </c>
    </row>
    <row r="52" spans="1:37" s="37" customFormat="1" ht="15.75" hidden="1" customHeight="1">
      <c r="A52" s="41" t="s">
        <v>30</v>
      </c>
      <c r="B52" s="41" t="s">
        <v>94</v>
      </c>
      <c r="C52" s="119">
        <f>+C23/C6</f>
        <v>-1.1194466481856328E-2</v>
      </c>
      <c r="D52" s="119">
        <f t="shared" ref="D52:G52" si="23">+D23/D6</f>
        <v>-9.3078965663051776E-3</v>
      </c>
      <c r="E52" s="119"/>
      <c r="F52" s="119"/>
      <c r="G52" s="119">
        <f t="shared" si="23"/>
        <v>-1.553529802696238E-2</v>
      </c>
      <c r="H52" s="119">
        <f>+H23/H6</f>
        <v>-1.2355331299702696E-2</v>
      </c>
      <c r="I52" s="58"/>
      <c r="AJ52" s="41" t="s">
        <v>30</v>
      </c>
      <c r="AK52" s="41" t="s">
        <v>95</v>
      </c>
    </row>
    <row r="53" spans="1:37" s="37" customFormat="1" ht="15.75" hidden="1" customHeight="1">
      <c r="A53" s="41" t="s">
        <v>96</v>
      </c>
      <c r="B53" s="44" t="s">
        <v>97</v>
      </c>
      <c r="C53" s="48">
        <f>+C21/C3</f>
        <v>-8.5639095880677338</v>
      </c>
      <c r="D53" s="48">
        <f t="shared" ref="D53:G53" si="24">+D21/D3</f>
        <v>-7.049452953415634</v>
      </c>
      <c r="E53" s="48"/>
      <c r="F53" s="48"/>
      <c r="G53" s="48">
        <f t="shared" si="24"/>
        <v>-11.416396423731177</v>
      </c>
      <c r="H53" s="48">
        <f>+H21/H3</f>
        <v>-9.2237435901344558</v>
      </c>
      <c r="I53" s="58"/>
      <c r="AJ53" s="41" t="s">
        <v>96</v>
      </c>
      <c r="AK53" s="44" t="s">
        <v>97</v>
      </c>
    </row>
    <row r="54" spans="1:37" s="37" customFormat="1" ht="15.75" hidden="1" customHeight="1">
      <c r="A54" s="41" t="s">
        <v>98</v>
      </c>
      <c r="B54" s="120" t="s">
        <v>99</v>
      </c>
      <c r="C54" s="48"/>
      <c r="D54" s="48"/>
      <c r="E54" s="48"/>
      <c r="F54" s="48"/>
      <c r="G54" s="48"/>
      <c r="H54" s="48"/>
      <c r="I54" s="58"/>
      <c r="AJ54" s="41"/>
      <c r="AK54" s="44"/>
    </row>
    <row r="55" spans="1:37" s="37" customFormat="1" ht="15.75" hidden="1" customHeight="1">
      <c r="A55" s="41" t="s">
        <v>19</v>
      </c>
      <c r="B55" s="41" t="s">
        <v>100</v>
      </c>
      <c r="C55" s="48">
        <f>C56+C57</f>
        <v>338040</v>
      </c>
      <c r="D55" s="48"/>
      <c r="E55" s="48"/>
      <c r="F55" s="48"/>
      <c r="G55" s="48"/>
      <c r="H55" s="48"/>
      <c r="I55" s="58"/>
    </row>
    <row r="56" spans="1:37" s="37" customFormat="1" ht="15.75" hidden="1" customHeight="1">
      <c r="A56" s="41">
        <v>1.1000000000000001</v>
      </c>
      <c r="B56" s="121" t="s">
        <v>101</v>
      </c>
      <c r="C56" s="48">
        <f>项目投资!B27</f>
        <v>243039.99999999997</v>
      </c>
      <c r="D56" s="48"/>
      <c r="E56" s="48"/>
      <c r="F56" s="48"/>
      <c r="G56" s="48"/>
      <c r="H56" s="48"/>
      <c r="I56" s="58"/>
    </row>
    <row r="57" spans="1:37" s="37" customFormat="1" ht="15.75" hidden="1" customHeight="1">
      <c r="A57" s="41">
        <v>1.2</v>
      </c>
      <c r="B57" s="41" t="s">
        <v>102</v>
      </c>
      <c r="C57" s="48">
        <f>项目投资!B26</f>
        <v>95000</v>
      </c>
      <c r="D57" s="48"/>
      <c r="E57" s="48"/>
      <c r="F57" s="48"/>
      <c r="G57" s="48"/>
      <c r="H57" s="48"/>
      <c r="I57" s="58"/>
    </row>
    <row r="58" spans="1:37" ht="15.75" hidden="1" customHeight="1">
      <c r="A58" s="108" t="s">
        <v>21</v>
      </c>
      <c r="B58" s="108" t="s">
        <v>103</v>
      </c>
      <c r="C58" s="122">
        <f t="shared" ref="C58:G58" si="25">C59+C60</f>
        <v>-153228.19176135468</v>
      </c>
      <c r="D58" s="122">
        <f t="shared" si="25"/>
        <v>-1391840.5906831268</v>
      </c>
      <c r="E58" s="122"/>
      <c r="F58" s="122"/>
      <c r="G58" s="122">
        <f t="shared" si="25"/>
        <v>-2265229.2847462352</v>
      </c>
      <c r="H58" s="122">
        <f t="shared" ref="H58" si="26">H59+H60</f>
        <v>-7473219.743910253</v>
      </c>
      <c r="I58" s="58"/>
    </row>
    <row r="59" spans="1:37" ht="15.75" hidden="1" customHeight="1">
      <c r="A59" s="108" t="s">
        <v>67</v>
      </c>
      <c r="B59" s="108" t="s">
        <v>104</v>
      </c>
      <c r="C59" s="122">
        <f t="shared" ref="C59:G59" si="27">C23</f>
        <v>-171278.19176135468</v>
      </c>
      <c r="D59" s="122">
        <f t="shared" si="27"/>
        <v>-1409890.5906831268</v>
      </c>
      <c r="E59" s="122"/>
      <c r="F59" s="122"/>
      <c r="G59" s="122">
        <f t="shared" si="27"/>
        <v>-2283279.2847462352</v>
      </c>
      <c r="H59" s="122">
        <f t="shared" ref="H59" si="28">H23</f>
        <v>-7563469.743910253</v>
      </c>
      <c r="I59" s="58"/>
    </row>
    <row r="60" spans="1:37" ht="15.75" hidden="1" customHeight="1">
      <c r="A60" s="108" t="s">
        <v>24</v>
      </c>
      <c r="B60" s="108" t="s">
        <v>105</v>
      </c>
      <c r="C60" s="122">
        <f>'2023年'!K18</f>
        <v>18050</v>
      </c>
      <c r="D60" s="122">
        <f>'2024年'!K18</f>
        <v>18050</v>
      </c>
      <c r="E60" s="122"/>
      <c r="F60" s="122"/>
      <c r="G60" s="122">
        <f>'2027年'!K18</f>
        <v>18050</v>
      </c>
      <c r="H60" s="122">
        <f>项目投资!I26</f>
        <v>90250</v>
      </c>
      <c r="I60" s="58"/>
    </row>
    <row r="61" spans="1:37" ht="15.75" hidden="1" customHeight="1">
      <c r="A61" s="108" t="s">
        <v>27</v>
      </c>
      <c r="B61" s="108" t="s">
        <v>106</v>
      </c>
      <c r="C61" s="123"/>
      <c r="D61" s="123"/>
      <c r="E61" s="123"/>
      <c r="F61" s="123"/>
      <c r="G61" s="123"/>
      <c r="H61" s="122"/>
      <c r="I61" s="58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2" customWidth="1"/>
    <col min="2" max="2" width="28.5" style="62" customWidth="1"/>
    <col min="3" max="4" width="9.125" style="62"/>
    <col min="5" max="5" width="13.875" style="62" customWidth="1"/>
    <col min="6" max="12" width="16.125" style="62" customWidth="1"/>
    <col min="13" max="13" width="10.625" style="62" customWidth="1"/>
    <col min="14" max="254" width="9.125" style="62"/>
    <col min="255" max="255" width="8" style="62" customWidth="1"/>
    <col min="256" max="256" width="28.5" style="62" customWidth="1"/>
    <col min="257" max="268" width="9.125" style="62"/>
    <col min="269" max="269" width="10.625" style="62" customWidth="1"/>
    <col min="270" max="510" width="9.125" style="62"/>
    <col min="511" max="511" width="8" style="62" customWidth="1"/>
    <col min="512" max="512" width="28.5" style="62" customWidth="1"/>
    <col min="513" max="524" width="9.125" style="62"/>
    <col min="525" max="525" width="10.625" style="62" customWidth="1"/>
    <col min="526" max="766" width="9.125" style="62"/>
    <col min="767" max="767" width="8" style="62" customWidth="1"/>
    <col min="768" max="768" width="28.5" style="62" customWidth="1"/>
    <col min="769" max="780" width="9.125" style="62"/>
    <col min="781" max="781" width="10.625" style="62" customWidth="1"/>
    <col min="782" max="1022" width="9.125" style="62"/>
    <col min="1023" max="1023" width="8" style="62" customWidth="1"/>
    <col min="1024" max="1024" width="28.5" style="62" customWidth="1"/>
    <col min="1025" max="1036" width="9.125" style="62"/>
    <col min="1037" max="1037" width="10.625" style="62" customWidth="1"/>
    <col min="1038" max="1278" width="9.125" style="62"/>
    <col min="1279" max="1279" width="8" style="62" customWidth="1"/>
    <col min="1280" max="1280" width="28.5" style="62" customWidth="1"/>
    <col min="1281" max="1292" width="9.125" style="62"/>
    <col min="1293" max="1293" width="10.625" style="62" customWidth="1"/>
    <col min="1294" max="1534" width="9.125" style="62"/>
    <col min="1535" max="1535" width="8" style="62" customWidth="1"/>
    <col min="1536" max="1536" width="28.5" style="62" customWidth="1"/>
    <col min="1537" max="1548" width="9.125" style="62"/>
    <col min="1549" max="1549" width="10.625" style="62" customWidth="1"/>
    <col min="1550" max="1790" width="9.125" style="62"/>
    <col min="1791" max="1791" width="8" style="62" customWidth="1"/>
    <col min="1792" max="1792" width="28.5" style="62" customWidth="1"/>
    <col min="1793" max="1804" width="9.125" style="62"/>
    <col min="1805" max="1805" width="10.625" style="62" customWidth="1"/>
    <col min="1806" max="2046" width="9.125" style="62"/>
    <col min="2047" max="2047" width="8" style="62" customWidth="1"/>
    <col min="2048" max="2048" width="28.5" style="62" customWidth="1"/>
    <col min="2049" max="2060" width="9.125" style="62"/>
    <col min="2061" max="2061" width="10.625" style="62" customWidth="1"/>
    <col min="2062" max="2302" width="9.125" style="62"/>
    <col min="2303" max="2303" width="8" style="62" customWidth="1"/>
    <col min="2304" max="2304" width="28.5" style="62" customWidth="1"/>
    <col min="2305" max="2316" width="9.125" style="62"/>
    <col min="2317" max="2317" width="10.625" style="62" customWidth="1"/>
    <col min="2318" max="2558" width="9.125" style="62"/>
    <col min="2559" max="2559" width="8" style="62" customWidth="1"/>
    <col min="2560" max="2560" width="28.5" style="62" customWidth="1"/>
    <col min="2561" max="2572" width="9.125" style="62"/>
    <col min="2573" max="2573" width="10.625" style="62" customWidth="1"/>
    <col min="2574" max="2814" width="9.125" style="62"/>
    <col min="2815" max="2815" width="8" style="62" customWidth="1"/>
    <col min="2816" max="2816" width="28.5" style="62" customWidth="1"/>
    <col min="2817" max="2828" width="9.125" style="62"/>
    <col min="2829" max="2829" width="10.625" style="62" customWidth="1"/>
    <col min="2830" max="3070" width="9.125" style="62"/>
    <col min="3071" max="3071" width="8" style="62" customWidth="1"/>
    <col min="3072" max="3072" width="28.5" style="62" customWidth="1"/>
    <col min="3073" max="3084" width="9.125" style="62"/>
    <col min="3085" max="3085" width="10.625" style="62" customWidth="1"/>
    <col min="3086" max="3326" width="9.125" style="62"/>
    <col min="3327" max="3327" width="8" style="62" customWidth="1"/>
    <col min="3328" max="3328" width="28.5" style="62" customWidth="1"/>
    <col min="3329" max="3340" width="9.125" style="62"/>
    <col min="3341" max="3341" width="10.625" style="62" customWidth="1"/>
    <col min="3342" max="3582" width="9.125" style="62"/>
    <col min="3583" max="3583" width="8" style="62" customWidth="1"/>
    <col min="3584" max="3584" width="28.5" style="62" customWidth="1"/>
    <col min="3585" max="3596" width="9.125" style="62"/>
    <col min="3597" max="3597" width="10.625" style="62" customWidth="1"/>
    <col min="3598" max="3838" width="9.125" style="62"/>
    <col min="3839" max="3839" width="8" style="62" customWidth="1"/>
    <col min="3840" max="3840" width="28.5" style="62" customWidth="1"/>
    <col min="3841" max="3852" width="9.125" style="62"/>
    <col min="3853" max="3853" width="10.625" style="62" customWidth="1"/>
    <col min="3854" max="4094" width="9.125" style="62"/>
    <col min="4095" max="4095" width="8" style="62" customWidth="1"/>
    <col min="4096" max="4096" width="28.5" style="62" customWidth="1"/>
    <col min="4097" max="4108" width="9.125" style="62"/>
    <col min="4109" max="4109" width="10.625" style="62" customWidth="1"/>
    <col min="4110" max="4350" width="9.125" style="62"/>
    <col min="4351" max="4351" width="8" style="62" customWidth="1"/>
    <col min="4352" max="4352" width="28.5" style="62" customWidth="1"/>
    <col min="4353" max="4364" width="9.125" style="62"/>
    <col min="4365" max="4365" width="10.625" style="62" customWidth="1"/>
    <col min="4366" max="4606" width="9.125" style="62"/>
    <col min="4607" max="4607" width="8" style="62" customWidth="1"/>
    <col min="4608" max="4608" width="28.5" style="62" customWidth="1"/>
    <col min="4609" max="4620" width="9.125" style="62"/>
    <col min="4621" max="4621" width="10.625" style="62" customWidth="1"/>
    <col min="4622" max="4862" width="9.125" style="62"/>
    <col min="4863" max="4863" width="8" style="62" customWidth="1"/>
    <col min="4864" max="4864" width="28.5" style="62" customWidth="1"/>
    <col min="4865" max="4876" width="9.125" style="62"/>
    <col min="4877" max="4877" width="10.625" style="62" customWidth="1"/>
    <col min="4878" max="5118" width="9.125" style="62"/>
    <col min="5119" max="5119" width="8" style="62" customWidth="1"/>
    <col min="5120" max="5120" width="28.5" style="62" customWidth="1"/>
    <col min="5121" max="5132" width="9.125" style="62"/>
    <col min="5133" max="5133" width="10.625" style="62" customWidth="1"/>
    <col min="5134" max="5374" width="9.125" style="62"/>
    <col min="5375" max="5375" width="8" style="62" customWidth="1"/>
    <col min="5376" max="5376" width="28.5" style="62" customWidth="1"/>
    <col min="5377" max="5388" width="9.125" style="62"/>
    <col min="5389" max="5389" width="10.625" style="62" customWidth="1"/>
    <col min="5390" max="5630" width="9.125" style="62"/>
    <col min="5631" max="5631" width="8" style="62" customWidth="1"/>
    <col min="5632" max="5632" width="28.5" style="62" customWidth="1"/>
    <col min="5633" max="5644" width="9.125" style="62"/>
    <col min="5645" max="5645" width="10.625" style="62" customWidth="1"/>
    <col min="5646" max="5886" width="9.125" style="62"/>
    <col min="5887" max="5887" width="8" style="62" customWidth="1"/>
    <col min="5888" max="5888" width="28.5" style="62" customWidth="1"/>
    <col min="5889" max="5900" width="9.125" style="62"/>
    <col min="5901" max="5901" width="10.625" style="62" customWidth="1"/>
    <col min="5902" max="6142" width="9.125" style="62"/>
    <col min="6143" max="6143" width="8" style="62" customWidth="1"/>
    <col min="6144" max="6144" width="28.5" style="62" customWidth="1"/>
    <col min="6145" max="6156" width="9.125" style="62"/>
    <col min="6157" max="6157" width="10.625" style="62" customWidth="1"/>
    <col min="6158" max="6398" width="9.125" style="62"/>
    <col min="6399" max="6399" width="8" style="62" customWidth="1"/>
    <col min="6400" max="6400" width="28.5" style="62" customWidth="1"/>
    <col min="6401" max="6412" width="9.125" style="62"/>
    <col min="6413" max="6413" width="10.625" style="62" customWidth="1"/>
    <col min="6414" max="6654" width="9.125" style="62"/>
    <col min="6655" max="6655" width="8" style="62" customWidth="1"/>
    <col min="6656" max="6656" width="28.5" style="62" customWidth="1"/>
    <col min="6657" max="6668" width="9.125" style="62"/>
    <col min="6669" max="6669" width="10.625" style="62" customWidth="1"/>
    <col min="6670" max="6910" width="9.125" style="62"/>
    <col min="6911" max="6911" width="8" style="62" customWidth="1"/>
    <col min="6912" max="6912" width="28.5" style="62" customWidth="1"/>
    <col min="6913" max="6924" width="9.125" style="62"/>
    <col min="6925" max="6925" width="10.625" style="62" customWidth="1"/>
    <col min="6926" max="7166" width="9.125" style="62"/>
    <col min="7167" max="7167" width="8" style="62" customWidth="1"/>
    <col min="7168" max="7168" width="28.5" style="62" customWidth="1"/>
    <col min="7169" max="7180" width="9.125" style="62"/>
    <col min="7181" max="7181" width="10.625" style="62" customWidth="1"/>
    <col min="7182" max="7422" width="9.125" style="62"/>
    <col min="7423" max="7423" width="8" style="62" customWidth="1"/>
    <col min="7424" max="7424" width="28.5" style="62" customWidth="1"/>
    <col min="7425" max="7436" width="9.125" style="62"/>
    <col min="7437" max="7437" width="10.625" style="62" customWidth="1"/>
    <col min="7438" max="7678" width="9.125" style="62"/>
    <col min="7679" max="7679" width="8" style="62" customWidth="1"/>
    <col min="7680" max="7680" width="28.5" style="62" customWidth="1"/>
    <col min="7681" max="7692" width="9.125" style="62"/>
    <col min="7693" max="7693" width="10.625" style="62" customWidth="1"/>
    <col min="7694" max="7934" width="9.125" style="62"/>
    <col min="7935" max="7935" width="8" style="62" customWidth="1"/>
    <col min="7936" max="7936" width="28.5" style="62" customWidth="1"/>
    <col min="7937" max="7948" width="9.125" style="62"/>
    <col min="7949" max="7949" width="10.625" style="62" customWidth="1"/>
    <col min="7950" max="8190" width="9.125" style="62"/>
    <col min="8191" max="8191" width="8" style="62" customWidth="1"/>
    <col min="8192" max="8192" width="28.5" style="62" customWidth="1"/>
    <col min="8193" max="8204" width="9.125" style="62"/>
    <col min="8205" max="8205" width="10.625" style="62" customWidth="1"/>
    <col min="8206" max="8446" width="9.125" style="62"/>
    <col min="8447" max="8447" width="8" style="62" customWidth="1"/>
    <col min="8448" max="8448" width="28.5" style="62" customWidth="1"/>
    <col min="8449" max="8460" width="9.125" style="62"/>
    <col min="8461" max="8461" width="10.625" style="62" customWidth="1"/>
    <col min="8462" max="8702" width="9.125" style="62"/>
    <col min="8703" max="8703" width="8" style="62" customWidth="1"/>
    <col min="8704" max="8704" width="28.5" style="62" customWidth="1"/>
    <col min="8705" max="8716" width="9.125" style="62"/>
    <col min="8717" max="8717" width="10.625" style="62" customWidth="1"/>
    <col min="8718" max="8958" width="9.125" style="62"/>
    <col min="8959" max="8959" width="8" style="62" customWidth="1"/>
    <col min="8960" max="8960" width="28.5" style="62" customWidth="1"/>
    <col min="8961" max="8972" width="9.125" style="62"/>
    <col min="8973" max="8973" width="10.625" style="62" customWidth="1"/>
    <col min="8974" max="9214" width="9.125" style="62"/>
    <col min="9215" max="9215" width="8" style="62" customWidth="1"/>
    <col min="9216" max="9216" width="28.5" style="62" customWidth="1"/>
    <col min="9217" max="9228" width="9.125" style="62"/>
    <col min="9229" max="9229" width="10.625" style="62" customWidth="1"/>
    <col min="9230" max="9470" width="9.125" style="62"/>
    <col min="9471" max="9471" width="8" style="62" customWidth="1"/>
    <col min="9472" max="9472" width="28.5" style="62" customWidth="1"/>
    <col min="9473" max="9484" width="9.125" style="62"/>
    <col min="9485" max="9485" width="10.625" style="62" customWidth="1"/>
    <col min="9486" max="9726" width="9.125" style="62"/>
    <col min="9727" max="9727" width="8" style="62" customWidth="1"/>
    <col min="9728" max="9728" width="28.5" style="62" customWidth="1"/>
    <col min="9729" max="9740" width="9.125" style="62"/>
    <col min="9741" max="9741" width="10.625" style="62" customWidth="1"/>
    <col min="9742" max="9982" width="9.125" style="62"/>
    <col min="9983" max="9983" width="8" style="62" customWidth="1"/>
    <col min="9984" max="9984" width="28.5" style="62" customWidth="1"/>
    <col min="9985" max="9996" width="9.125" style="62"/>
    <col min="9997" max="9997" width="10.625" style="62" customWidth="1"/>
    <col min="9998" max="10238" width="9.125" style="62"/>
    <col min="10239" max="10239" width="8" style="62" customWidth="1"/>
    <col min="10240" max="10240" width="28.5" style="62" customWidth="1"/>
    <col min="10241" max="10252" width="9.125" style="62"/>
    <col min="10253" max="10253" width="10.625" style="62" customWidth="1"/>
    <col min="10254" max="10494" width="9.125" style="62"/>
    <col min="10495" max="10495" width="8" style="62" customWidth="1"/>
    <col min="10496" max="10496" width="28.5" style="62" customWidth="1"/>
    <col min="10497" max="10508" width="9.125" style="62"/>
    <col min="10509" max="10509" width="10.625" style="62" customWidth="1"/>
    <col min="10510" max="10750" width="9.125" style="62"/>
    <col min="10751" max="10751" width="8" style="62" customWidth="1"/>
    <col min="10752" max="10752" width="28.5" style="62" customWidth="1"/>
    <col min="10753" max="10764" width="9.125" style="62"/>
    <col min="10765" max="10765" width="10.625" style="62" customWidth="1"/>
    <col min="10766" max="11006" width="9.125" style="62"/>
    <col min="11007" max="11007" width="8" style="62" customWidth="1"/>
    <col min="11008" max="11008" width="28.5" style="62" customWidth="1"/>
    <col min="11009" max="11020" width="9.125" style="62"/>
    <col min="11021" max="11021" width="10.625" style="62" customWidth="1"/>
    <col min="11022" max="11262" width="9.125" style="62"/>
    <col min="11263" max="11263" width="8" style="62" customWidth="1"/>
    <col min="11264" max="11264" width="28.5" style="62" customWidth="1"/>
    <col min="11265" max="11276" width="9.125" style="62"/>
    <col min="11277" max="11277" width="10.625" style="62" customWidth="1"/>
    <col min="11278" max="11518" width="9.125" style="62"/>
    <col min="11519" max="11519" width="8" style="62" customWidth="1"/>
    <col min="11520" max="11520" width="28.5" style="62" customWidth="1"/>
    <col min="11521" max="11532" width="9.125" style="62"/>
    <col min="11533" max="11533" width="10.625" style="62" customWidth="1"/>
    <col min="11534" max="11774" width="9.125" style="62"/>
    <col min="11775" max="11775" width="8" style="62" customWidth="1"/>
    <col min="11776" max="11776" width="28.5" style="62" customWidth="1"/>
    <col min="11777" max="11788" width="9.125" style="62"/>
    <col min="11789" max="11789" width="10.625" style="62" customWidth="1"/>
    <col min="11790" max="12030" width="9.125" style="62"/>
    <col min="12031" max="12031" width="8" style="62" customWidth="1"/>
    <col min="12032" max="12032" width="28.5" style="62" customWidth="1"/>
    <col min="12033" max="12044" width="9.125" style="62"/>
    <col min="12045" max="12045" width="10.625" style="62" customWidth="1"/>
    <col min="12046" max="12286" width="9.125" style="62"/>
    <col min="12287" max="12287" width="8" style="62" customWidth="1"/>
    <col min="12288" max="12288" width="28.5" style="62" customWidth="1"/>
    <col min="12289" max="12300" width="9.125" style="62"/>
    <col min="12301" max="12301" width="10.625" style="62" customWidth="1"/>
    <col min="12302" max="12542" width="9.125" style="62"/>
    <col min="12543" max="12543" width="8" style="62" customWidth="1"/>
    <col min="12544" max="12544" width="28.5" style="62" customWidth="1"/>
    <col min="12545" max="12556" width="9.125" style="62"/>
    <col min="12557" max="12557" width="10.625" style="62" customWidth="1"/>
    <col min="12558" max="12798" width="9.125" style="62"/>
    <col min="12799" max="12799" width="8" style="62" customWidth="1"/>
    <col min="12800" max="12800" width="28.5" style="62" customWidth="1"/>
    <col min="12801" max="12812" width="9.125" style="62"/>
    <col min="12813" max="12813" width="10.625" style="62" customWidth="1"/>
    <col min="12814" max="13054" width="9.125" style="62"/>
    <col min="13055" max="13055" width="8" style="62" customWidth="1"/>
    <col min="13056" max="13056" width="28.5" style="62" customWidth="1"/>
    <col min="13057" max="13068" width="9.125" style="62"/>
    <col min="13069" max="13069" width="10.625" style="62" customWidth="1"/>
    <col min="13070" max="13310" width="9.125" style="62"/>
    <col min="13311" max="13311" width="8" style="62" customWidth="1"/>
    <col min="13312" max="13312" width="28.5" style="62" customWidth="1"/>
    <col min="13313" max="13324" width="9.125" style="62"/>
    <col min="13325" max="13325" width="10.625" style="62" customWidth="1"/>
    <col min="13326" max="13566" width="9.125" style="62"/>
    <col min="13567" max="13567" width="8" style="62" customWidth="1"/>
    <col min="13568" max="13568" width="28.5" style="62" customWidth="1"/>
    <col min="13569" max="13580" width="9.125" style="62"/>
    <col min="13581" max="13581" width="10.625" style="62" customWidth="1"/>
    <col min="13582" max="13822" width="9.125" style="62"/>
    <col min="13823" max="13823" width="8" style="62" customWidth="1"/>
    <col min="13824" max="13824" width="28.5" style="62" customWidth="1"/>
    <col min="13825" max="13836" width="9.125" style="62"/>
    <col min="13837" max="13837" width="10.625" style="62" customWidth="1"/>
    <col min="13838" max="14078" width="9.125" style="62"/>
    <col min="14079" max="14079" width="8" style="62" customWidth="1"/>
    <col min="14080" max="14080" width="28.5" style="62" customWidth="1"/>
    <col min="14081" max="14092" width="9.125" style="62"/>
    <col min="14093" max="14093" width="10.625" style="62" customWidth="1"/>
    <col min="14094" max="14334" width="9.125" style="62"/>
    <col min="14335" max="14335" width="8" style="62" customWidth="1"/>
    <col min="14336" max="14336" width="28.5" style="62" customWidth="1"/>
    <col min="14337" max="14348" width="9.125" style="62"/>
    <col min="14349" max="14349" width="10.625" style="62" customWidth="1"/>
    <col min="14350" max="14590" width="9.125" style="62"/>
    <col min="14591" max="14591" width="8" style="62" customWidth="1"/>
    <col min="14592" max="14592" width="28.5" style="62" customWidth="1"/>
    <col min="14593" max="14604" width="9.125" style="62"/>
    <col min="14605" max="14605" width="10.625" style="62" customWidth="1"/>
    <col min="14606" max="14846" width="9.125" style="62"/>
    <col min="14847" max="14847" width="8" style="62" customWidth="1"/>
    <col min="14848" max="14848" width="28.5" style="62" customWidth="1"/>
    <col min="14849" max="14860" width="9.125" style="62"/>
    <col min="14861" max="14861" width="10.625" style="62" customWidth="1"/>
    <col min="14862" max="15102" width="9.125" style="62"/>
    <col min="15103" max="15103" width="8" style="62" customWidth="1"/>
    <col min="15104" max="15104" width="28.5" style="62" customWidth="1"/>
    <col min="15105" max="15116" width="9.125" style="62"/>
    <col min="15117" max="15117" width="10.625" style="62" customWidth="1"/>
    <col min="15118" max="15358" width="9.125" style="62"/>
    <col min="15359" max="15359" width="8" style="62" customWidth="1"/>
    <col min="15360" max="15360" width="28.5" style="62" customWidth="1"/>
    <col min="15361" max="15372" width="9.125" style="62"/>
    <col min="15373" max="15373" width="10.625" style="62" customWidth="1"/>
    <col min="15374" max="15614" width="9.125" style="62"/>
    <col min="15615" max="15615" width="8" style="62" customWidth="1"/>
    <col min="15616" max="15616" width="28.5" style="62" customWidth="1"/>
    <col min="15617" max="15628" width="9.125" style="62"/>
    <col min="15629" max="15629" width="10.625" style="62" customWidth="1"/>
    <col min="15630" max="15870" width="9.125" style="62"/>
    <col min="15871" max="15871" width="8" style="62" customWidth="1"/>
    <col min="15872" max="15872" width="28.5" style="62" customWidth="1"/>
    <col min="15873" max="15884" width="9.125" style="62"/>
    <col min="15885" max="15885" width="10.625" style="62" customWidth="1"/>
    <col min="15886" max="16126" width="9.125" style="62"/>
    <col min="16127" max="16127" width="8" style="62" customWidth="1"/>
    <col min="16128" max="16128" width="28.5" style="62" customWidth="1"/>
    <col min="16129" max="16140" width="9.125" style="62"/>
    <col min="16141" max="16141" width="10.625" style="62" customWidth="1"/>
    <col min="16142" max="16384" width="9.125" style="62"/>
  </cols>
  <sheetData>
    <row r="1" spans="1:13" ht="18.75">
      <c r="A1" s="63" t="s">
        <v>107</v>
      </c>
      <c r="B1" s="64"/>
      <c r="C1" s="65"/>
      <c r="D1" s="65"/>
      <c r="E1" s="64"/>
      <c r="F1" s="65"/>
      <c r="G1" s="65"/>
      <c r="H1" s="64"/>
      <c r="I1" s="65"/>
      <c r="J1" s="65"/>
      <c r="K1" s="65"/>
      <c r="L1" s="65"/>
      <c r="M1" s="65"/>
    </row>
    <row r="2" spans="1:13" ht="12">
      <c r="A2" s="62" t="s">
        <v>108</v>
      </c>
      <c r="B2" s="66"/>
    </row>
    <row r="3" spans="1:13" ht="16.899999999999999" customHeight="1">
      <c r="A3" s="67" t="s">
        <v>14</v>
      </c>
      <c r="B3" s="67" t="s">
        <v>109</v>
      </c>
      <c r="C3" s="241" t="s">
        <v>110</v>
      </c>
      <c r="D3" s="241"/>
      <c r="E3" s="241"/>
      <c r="F3" s="69"/>
      <c r="G3" s="70"/>
      <c r="H3" s="71"/>
      <c r="I3" s="71"/>
      <c r="J3" s="71" t="s">
        <v>111</v>
      </c>
      <c r="K3" s="71"/>
      <c r="L3" s="71"/>
      <c r="M3" s="92"/>
    </row>
    <row r="4" spans="1:13" ht="16.149999999999999" customHeight="1">
      <c r="A4" s="72"/>
      <c r="B4" s="72" t="s">
        <v>112</v>
      </c>
      <c r="C4" s="68">
        <v>2017</v>
      </c>
      <c r="D4" s="68">
        <f t="shared" ref="D4:L4" si="0">C4+1</f>
        <v>2018</v>
      </c>
      <c r="E4" s="68">
        <f t="shared" si="0"/>
        <v>2019</v>
      </c>
      <c r="F4" s="68">
        <f t="shared" si="0"/>
        <v>2020</v>
      </c>
      <c r="G4" s="68">
        <f t="shared" si="0"/>
        <v>2021</v>
      </c>
      <c r="H4" s="73">
        <f t="shared" si="0"/>
        <v>2022</v>
      </c>
      <c r="I4" s="73">
        <f t="shared" si="0"/>
        <v>2023</v>
      </c>
      <c r="J4" s="73">
        <f t="shared" si="0"/>
        <v>2024</v>
      </c>
      <c r="K4" s="73">
        <f t="shared" si="0"/>
        <v>2025</v>
      </c>
      <c r="L4" s="73">
        <f t="shared" si="0"/>
        <v>2026</v>
      </c>
      <c r="M4" s="93" t="s">
        <v>113</v>
      </c>
    </row>
    <row r="5" spans="1:13" ht="15.6" customHeight="1">
      <c r="A5" s="74">
        <v>1</v>
      </c>
      <c r="B5" s="75" t="s">
        <v>114</v>
      </c>
      <c r="C5" s="76">
        <f>SUM(C6:C9)</f>
        <v>0</v>
      </c>
      <c r="D5" s="76">
        <f t="shared" ref="D5:L5" si="1">SUM(D6:D9)</f>
        <v>0</v>
      </c>
      <c r="E5" s="76" t="e">
        <f t="shared" si="1"/>
        <v>#REF!</v>
      </c>
      <c r="F5" s="76">
        <f t="shared" si="1"/>
        <v>15300255</v>
      </c>
      <c r="G5" s="76">
        <f t="shared" si="1"/>
        <v>153002550</v>
      </c>
      <c r="H5" s="76">
        <f t="shared" si="1"/>
        <v>153002550</v>
      </c>
      <c r="I5" s="76" t="e">
        <f t="shared" si="1"/>
        <v>#REF!</v>
      </c>
      <c r="J5" s="76" t="e">
        <f t="shared" si="1"/>
        <v>#REF!</v>
      </c>
      <c r="K5" s="76" t="e">
        <f t="shared" si="1"/>
        <v>#REF!</v>
      </c>
      <c r="L5" s="76">
        <f t="shared" si="1"/>
        <v>627310455</v>
      </c>
      <c r="M5" s="80" t="e">
        <f t="shared" ref="M5:M17" si="2">SUM(C5:L5)</f>
        <v>#REF!</v>
      </c>
    </row>
    <row r="6" spans="1:13" ht="15.6" customHeight="1">
      <c r="A6" s="74">
        <v>1.1000000000000001</v>
      </c>
      <c r="B6" s="77" t="s">
        <v>115</v>
      </c>
      <c r="C6" s="78"/>
      <c r="D6" s="78"/>
      <c r="E6" s="78" t="e">
        <f>损益表!#REF!</f>
        <v>#REF!</v>
      </c>
      <c r="F6" s="78">
        <f>损益表!C4</f>
        <v>15300255</v>
      </c>
      <c r="G6" s="78">
        <f>损益表!D4</f>
        <v>153002550</v>
      </c>
      <c r="H6" s="78">
        <f>损益表!G4</f>
        <v>153002550</v>
      </c>
      <c r="I6" s="78" t="e">
        <f>损益表!#REF!</f>
        <v>#REF!</v>
      </c>
      <c r="J6" s="78" t="e">
        <f>损益表!#REF!</f>
        <v>#REF!</v>
      </c>
      <c r="K6" s="78" t="e">
        <f>损益表!#REF!</f>
        <v>#REF!</v>
      </c>
      <c r="L6" s="78">
        <f>损益表!H4</f>
        <v>627310455</v>
      </c>
      <c r="M6" s="80" t="e">
        <f t="shared" si="2"/>
        <v>#REF!</v>
      </c>
    </row>
    <row r="7" spans="1:13" ht="15.6" customHeight="1">
      <c r="A7" s="74">
        <v>1.2</v>
      </c>
      <c r="B7" s="77" t="s">
        <v>116</v>
      </c>
      <c r="C7" s="78"/>
      <c r="D7" s="78"/>
      <c r="E7" s="78">
        <f>[1]折、摊!G18</f>
        <v>0</v>
      </c>
      <c r="F7" s="78">
        <f>[1]折、摊!H18</f>
        <v>0</v>
      </c>
      <c r="G7" s="78">
        <f>[1]折、摊!I18</f>
        <v>0</v>
      </c>
      <c r="H7" s="78">
        <f>[1]折、摊!J18</f>
        <v>0</v>
      </c>
      <c r="I7" s="78">
        <f>[1]折、摊!K18</f>
        <v>0</v>
      </c>
      <c r="J7" s="78">
        <f>[1]折、摊!L18</f>
        <v>0</v>
      </c>
      <c r="K7" s="78">
        <f>[1]折、摊!M18</f>
        <v>0</v>
      </c>
      <c r="L7" s="78">
        <f>[1]折、摊!N18</f>
        <v>0</v>
      </c>
      <c r="M7" s="80">
        <f t="shared" si="2"/>
        <v>0</v>
      </c>
    </row>
    <row r="8" spans="1:13" ht="15.6" customHeight="1">
      <c r="A8" s="74">
        <v>1.3</v>
      </c>
      <c r="B8" s="77" t="s">
        <v>117</v>
      </c>
      <c r="C8" s="78" t="s">
        <v>118</v>
      </c>
      <c r="D8" s="78" t="s">
        <v>118</v>
      </c>
      <c r="E8" s="78" t="s">
        <v>118</v>
      </c>
      <c r="F8" s="78" t="s">
        <v>118</v>
      </c>
      <c r="G8" s="78" t="s">
        <v>118</v>
      </c>
      <c r="H8" s="78" t="s">
        <v>118</v>
      </c>
      <c r="I8" s="78" t="s">
        <v>118</v>
      </c>
      <c r="J8" s="78" t="s">
        <v>118</v>
      </c>
      <c r="K8" s="78" t="s">
        <v>118</v>
      </c>
      <c r="L8" s="78"/>
      <c r="M8" s="80">
        <f t="shared" si="2"/>
        <v>0</v>
      </c>
    </row>
    <row r="9" spans="1:13" s="61" customFormat="1" ht="15.6" customHeight="1">
      <c r="A9" s="79">
        <v>1.4</v>
      </c>
      <c r="B9" s="80" t="s">
        <v>119</v>
      </c>
      <c r="C9" s="78" t="s">
        <v>118</v>
      </c>
      <c r="D9" s="78" t="s">
        <v>118</v>
      </c>
      <c r="E9" s="78" t="s">
        <v>118</v>
      </c>
      <c r="F9" s="78" t="s">
        <v>118</v>
      </c>
      <c r="G9" s="78" t="s">
        <v>118</v>
      </c>
      <c r="H9" s="78" t="s">
        <v>118</v>
      </c>
      <c r="I9" s="78" t="s">
        <v>118</v>
      </c>
      <c r="J9" s="78" t="s">
        <v>118</v>
      </c>
      <c r="K9" s="78" t="s">
        <v>118</v>
      </c>
      <c r="L9" s="78" t="s">
        <v>118</v>
      </c>
      <c r="M9" s="80">
        <f t="shared" si="2"/>
        <v>0</v>
      </c>
    </row>
    <row r="10" spans="1:13" ht="15.6" customHeight="1">
      <c r="A10" s="79">
        <v>2</v>
      </c>
      <c r="B10" s="75" t="s">
        <v>120</v>
      </c>
      <c r="C10" s="76">
        <f t="shared" ref="C10:L10" si="3">SUM(C11:C16)</f>
        <v>0</v>
      </c>
      <c r="D10" s="76">
        <f t="shared" si="3"/>
        <v>0</v>
      </c>
      <c r="E10" s="76">
        <f t="shared" si="3"/>
        <v>0</v>
      </c>
      <c r="F10" s="76">
        <f t="shared" si="3"/>
        <v>0</v>
      </c>
      <c r="G10" s="76">
        <f t="shared" si="3"/>
        <v>0</v>
      </c>
      <c r="H10" s="76">
        <f t="shared" si="3"/>
        <v>0</v>
      </c>
      <c r="I10" s="76">
        <f t="shared" si="3"/>
        <v>0</v>
      </c>
      <c r="J10" s="76">
        <f t="shared" si="3"/>
        <v>0</v>
      </c>
      <c r="K10" s="76">
        <f t="shared" si="3"/>
        <v>0</v>
      </c>
      <c r="L10" s="76">
        <f t="shared" si="3"/>
        <v>0</v>
      </c>
      <c r="M10" s="80">
        <f t="shared" si="2"/>
        <v>0</v>
      </c>
    </row>
    <row r="11" spans="1:13" ht="15" customHeight="1">
      <c r="A11" s="74">
        <v>2.1</v>
      </c>
      <c r="B11" s="74" t="s">
        <v>121</v>
      </c>
      <c r="C11" s="78">
        <f>([1]计划!C6-[1]计划!C7)</f>
        <v>0</v>
      </c>
      <c r="D11" s="78">
        <f>([1]计划!D6-[1]计划!D7)</f>
        <v>0</v>
      </c>
      <c r="E11" s="78">
        <f>([1]计划!E6-[1]计划!E7)</f>
        <v>0</v>
      </c>
      <c r="F11" s="78">
        <f>([1]计划!F6-[1]计划!F7)</f>
        <v>0</v>
      </c>
      <c r="G11" s="78">
        <f>([1]计划!G6-[1]计划!G7)</f>
        <v>0</v>
      </c>
      <c r="H11" s="78">
        <f>([1]计划!H6-[1]计划!H7)</f>
        <v>0</v>
      </c>
      <c r="I11" s="78">
        <f>([1]计划!I6-[1]计划!I7)</f>
        <v>0</v>
      </c>
      <c r="J11" s="78">
        <f>([1]计划!J6-[1]计划!J7)</f>
        <v>0</v>
      </c>
      <c r="K11" s="78">
        <f>([1]计划!K6-[1]计划!K7)</f>
        <v>0</v>
      </c>
      <c r="L11" s="78">
        <f>([1]计划!L6-[1]计划!L7)</f>
        <v>0</v>
      </c>
      <c r="M11" s="80">
        <f t="shared" si="2"/>
        <v>0</v>
      </c>
    </row>
    <row r="12" spans="1:13" s="61" customFormat="1" ht="15" customHeight="1">
      <c r="A12" s="74">
        <v>2.2000000000000002</v>
      </c>
      <c r="B12" s="80" t="s">
        <v>122</v>
      </c>
      <c r="C12" s="78">
        <f>[1]计划!C8</f>
        <v>0</v>
      </c>
      <c r="D12" s="78">
        <f>[1]计划!D8</f>
        <v>0</v>
      </c>
      <c r="E12" s="78">
        <f>[1]计划!E8</f>
        <v>0</v>
      </c>
      <c r="F12" s="78">
        <f>[1]计划!F8</f>
        <v>0</v>
      </c>
      <c r="G12" s="78">
        <f>[1]计划!G8</f>
        <v>0</v>
      </c>
      <c r="H12" s="78">
        <f>[1]计划!H8</f>
        <v>0</v>
      </c>
      <c r="I12" s="78">
        <f>[1]计划!I8</f>
        <v>0</v>
      </c>
      <c r="J12" s="78">
        <f>[1]计划!J8</f>
        <v>0</v>
      </c>
      <c r="K12" s="78">
        <f>[1]计划!K8</f>
        <v>0</v>
      </c>
      <c r="L12" s="78">
        <f>[1]计划!L8</f>
        <v>0</v>
      </c>
      <c r="M12" s="80">
        <f t="shared" si="2"/>
        <v>0</v>
      </c>
    </row>
    <row r="13" spans="1:13" ht="15" customHeight="1">
      <c r="A13" s="74">
        <v>2.2999999999999998</v>
      </c>
      <c r="B13" s="77" t="s">
        <v>123</v>
      </c>
      <c r="C13" s="78">
        <f>[1]总成本!C22</f>
        <v>0</v>
      </c>
      <c r="D13" s="78">
        <f>[1]总成本!D22</f>
        <v>0</v>
      </c>
      <c r="E13" s="78">
        <f>[1]总成本!E22</f>
        <v>0</v>
      </c>
      <c r="F13" s="78">
        <f>[1]总成本!F22</f>
        <v>0</v>
      </c>
      <c r="G13" s="78">
        <f>[1]总成本!G22</f>
        <v>0</v>
      </c>
      <c r="H13" s="78">
        <f>[1]总成本!H22</f>
        <v>0</v>
      </c>
      <c r="I13" s="78">
        <f>[1]总成本!I22</f>
        <v>0</v>
      </c>
      <c r="J13" s="78">
        <f>[1]总成本!J22</f>
        <v>0</v>
      </c>
      <c r="K13" s="78">
        <f>[1]总成本!K22</f>
        <v>0</v>
      </c>
      <c r="L13" s="78">
        <f>[1]总成本!L22</f>
        <v>0</v>
      </c>
      <c r="M13" s="80">
        <f t="shared" si="2"/>
        <v>0</v>
      </c>
    </row>
    <row r="14" spans="1:13" ht="15" customHeight="1">
      <c r="A14" s="74">
        <v>2.4</v>
      </c>
      <c r="B14" s="77" t="s">
        <v>124</v>
      </c>
      <c r="C14" s="78">
        <f>[1]价格!D15</f>
        <v>0</v>
      </c>
      <c r="D14" s="78">
        <f>[1]价格!E15</f>
        <v>0</v>
      </c>
      <c r="E14" s="78">
        <f>[1]价格!F15</f>
        <v>0</v>
      </c>
      <c r="F14" s="78">
        <f>[1]价格!G15</f>
        <v>0</v>
      </c>
      <c r="G14" s="78">
        <f>[1]价格!H15</f>
        <v>0</v>
      </c>
      <c r="H14" s="78">
        <f>[1]价格!I15</f>
        <v>0</v>
      </c>
      <c r="I14" s="78">
        <f>[1]价格!J15</f>
        <v>0</v>
      </c>
      <c r="J14" s="78">
        <f>[1]价格!K15</f>
        <v>0</v>
      </c>
      <c r="K14" s="78">
        <f>[1]价格!L15</f>
        <v>0</v>
      </c>
      <c r="L14" s="78">
        <f>[1]价格!M15</f>
        <v>0</v>
      </c>
      <c r="M14" s="80">
        <f t="shared" si="2"/>
        <v>0</v>
      </c>
    </row>
    <row r="15" spans="1:13" ht="15" customHeight="1">
      <c r="A15" s="74">
        <v>2.5</v>
      </c>
      <c r="B15" s="77" t="s">
        <v>54</v>
      </c>
      <c r="C15" s="78">
        <f>[1]利润!C13</f>
        <v>0</v>
      </c>
      <c r="D15" s="78">
        <f>[1]利润!D13</f>
        <v>0</v>
      </c>
      <c r="E15" s="78">
        <f>[1]利润!E13</f>
        <v>0</v>
      </c>
      <c r="F15" s="78">
        <f>[1]利润!F13</f>
        <v>0</v>
      </c>
      <c r="G15" s="78">
        <f>[1]利润!G13</f>
        <v>0</v>
      </c>
      <c r="H15" s="78">
        <f>[1]利润!H13</f>
        <v>0</v>
      </c>
      <c r="I15" s="78">
        <f>[1]利润!I13</f>
        <v>0</v>
      </c>
      <c r="J15" s="78">
        <f>[1]利润!J13</f>
        <v>0</v>
      </c>
      <c r="K15" s="78">
        <f>[1]利润!K13</f>
        <v>0</v>
      </c>
      <c r="L15" s="78">
        <f>[1]利润!L13</f>
        <v>0</v>
      </c>
      <c r="M15" s="80">
        <f t="shared" si="2"/>
        <v>0</v>
      </c>
    </row>
    <row r="16" spans="1:13" ht="15" customHeight="1">
      <c r="A16" s="74">
        <v>2.6</v>
      </c>
      <c r="B16" s="77" t="s">
        <v>125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80">
        <f t="shared" si="2"/>
        <v>0</v>
      </c>
    </row>
    <row r="17" spans="1:18" ht="12">
      <c r="A17" s="74">
        <v>3</v>
      </c>
      <c r="B17" s="75" t="s">
        <v>126</v>
      </c>
      <c r="C17" s="76">
        <f t="shared" ref="C17:L17" si="4">C5-C10</f>
        <v>0</v>
      </c>
      <c r="D17" s="76">
        <f t="shared" si="4"/>
        <v>0</v>
      </c>
      <c r="E17" s="76" t="e">
        <f t="shared" si="4"/>
        <v>#REF!</v>
      </c>
      <c r="F17" s="76">
        <f t="shared" si="4"/>
        <v>15300255</v>
      </c>
      <c r="G17" s="76">
        <f t="shared" si="4"/>
        <v>153002550</v>
      </c>
      <c r="H17" s="76">
        <f t="shared" si="4"/>
        <v>153002550</v>
      </c>
      <c r="I17" s="76" t="e">
        <f t="shared" si="4"/>
        <v>#REF!</v>
      </c>
      <c r="J17" s="76" t="e">
        <f t="shared" si="4"/>
        <v>#REF!</v>
      </c>
      <c r="K17" s="76" t="e">
        <f t="shared" si="4"/>
        <v>#REF!</v>
      </c>
      <c r="L17" s="76">
        <f t="shared" si="4"/>
        <v>627310455</v>
      </c>
      <c r="M17" s="80" t="e">
        <f t="shared" si="2"/>
        <v>#REF!</v>
      </c>
    </row>
    <row r="18" spans="1:18" ht="12">
      <c r="A18" s="81">
        <v>4</v>
      </c>
      <c r="B18" s="77" t="s">
        <v>127</v>
      </c>
      <c r="C18" s="78">
        <f>C17</f>
        <v>0</v>
      </c>
      <c r="D18" s="78">
        <f t="shared" ref="D18:L18" si="5">C18+D17</f>
        <v>0</v>
      </c>
      <c r="E18" s="78" t="e">
        <f t="shared" si="5"/>
        <v>#REF!</v>
      </c>
      <c r="F18" s="78" t="e">
        <f t="shared" si="5"/>
        <v>#REF!</v>
      </c>
      <c r="G18" s="78" t="e">
        <f t="shared" si="5"/>
        <v>#REF!</v>
      </c>
      <c r="H18" s="78" t="e">
        <f t="shared" si="5"/>
        <v>#REF!</v>
      </c>
      <c r="I18" s="78" t="e">
        <f t="shared" si="5"/>
        <v>#REF!</v>
      </c>
      <c r="J18" s="78" t="e">
        <f t="shared" si="5"/>
        <v>#REF!</v>
      </c>
      <c r="K18" s="78" t="e">
        <f t="shared" si="5"/>
        <v>#REF!</v>
      </c>
      <c r="L18" s="78" t="e">
        <f t="shared" si="5"/>
        <v>#REF!</v>
      </c>
      <c r="M18" s="77" t="s">
        <v>118</v>
      </c>
    </row>
    <row r="19" spans="1:18" s="61" customFormat="1" ht="12">
      <c r="A19" s="81">
        <v>5</v>
      </c>
      <c r="B19" s="77" t="s">
        <v>128</v>
      </c>
      <c r="C19" s="78">
        <f t="shared" ref="C19:L19" si="6">C17+C15</f>
        <v>0</v>
      </c>
      <c r="D19" s="78">
        <f t="shared" si="6"/>
        <v>0</v>
      </c>
      <c r="E19" s="78" t="e">
        <f t="shared" si="6"/>
        <v>#REF!</v>
      </c>
      <c r="F19" s="78">
        <f t="shared" si="6"/>
        <v>15300255</v>
      </c>
      <c r="G19" s="78">
        <f t="shared" si="6"/>
        <v>153002550</v>
      </c>
      <c r="H19" s="78">
        <f t="shared" si="6"/>
        <v>153002550</v>
      </c>
      <c r="I19" s="78" t="e">
        <f t="shared" si="6"/>
        <v>#REF!</v>
      </c>
      <c r="J19" s="78" t="e">
        <f t="shared" si="6"/>
        <v>#REF!</v>
      </c>
      <c r="K19" s="78" t="e">
        <f t="shared" si="6"/>
        <v>#REF!</v>
      </c>
      <c r="L19" s="78">
        <f t="shared" si="6"/>
        <v>627310455</v>
      </c>
      <c r="M19" s="80" t="e">
        <f>SUM(C19:L19)</f>
        <v>#REF!</v>
      </c>
    </row>
    <row r="20" spans="1:18" s="61" customFormat="1" ht="12">
      <c r="A20" s="74">
        <v>6</v>
      </c>
      <c r="B20" s="77" t="s">
        <v>129</v>
      </c>
      <c r="C20" s="78">
        <f>C19</f>
        <v>0</v>
      </c>
      <c r="D20" s="78">
        <f t="shared" ref="D20:L20" si="7">C20+D19</f>
        <v>0</v>
      </c>
      <c r="E20" s="78" t="e">
        <f t="shared" si="7"/>
        <v>#REF!</v>
      </c>
      <c r="F20" s="78" t="e">
        <f t="shared" si="7"/>
        <v>#REF!</v>
      </c>
      <c r="G20" s="78" t="e">
        <f t="shared" si="7"/>
        <v>#REF!</v>
      </c>
      <c r="H20" s="78" t="e">
        <f t="shared" si="7"/>
        <v>#REF!</v>
      </c>
      <c r="I20" s="78" t="e">
        <f t="shared" si="7"/>
        <v>#REF!</v>
      </c>
      <c r="J20" s="78" t="e">
        <f t="shared" si="7"/>
        <v>#REF!</v>
      </c>
      <c r="K20" s="78" t="e">
        <f t="shared" si="7"/>
        <v>#REF!</v>
      </c>
      <c r="L20" s="78" t="e">
        <f t="shared" si="7"/>
        <v>#REF!</v>
      </c>
      <c r="M20" s="77" t="s">
        <v>118</v>
      </c>
    </row>
    <row r="21" spans="1:18" ht="12">
      <c r="A21" s="82"/>
      <c r="B21" s="83" t="s">
        <v>130</v>
      </c>
      <c r="C21" s="83"/>
      <c r="D21" s="83"/>
      <c r="E21" s="83" t="s">
        <v>131</v>
      </c>
      <c r="F21" s="83"/>
      <c r="G21" s="83"/>
      <c r="H21" s="83"/>
      <c r="I21" s="83" t="s">
        <v>132</v>
      </c>
      <c r="J21" s="83"/>
      <c r="K21" s="83"/>
      <c r="L21" s="83"/>
      <c r="M21" s="94"/>
    </row>
    <row r="22" spans="1:18" ht="12">
      <c r="A22" s="84"/>
      <c r="B22" s="85" t="s">
        <v>133</v>
      </c>
      <c r="C22" s="85"/>
      <c r="D22" s="86" t="s">
        <v>134</v>
      </c>
      <c r="E22" s="87" t="e">
        <f>IRR(C17:L17,0.15)</f>
        <v>#VALUE!</v>
      </c>
      <c r="F22" s="85"/>
      <c r="G22" s="85"/>
      <c r="H22" s="85"/>
      <c r="I22" s="87" t="e">
        <f>IRR(C19:L19,0.15)</f>
        <v>#VALUE!</v>
      </c>
      <c r="J22" s="85"/>
      <c r="K22" s="85"/>
      <c r="L22" s="85"/>
      <c r="M22" s="95"/>
    </row>
    <row r="23" spans="1:18" ht="12">
      <c r="A23" s="84"/>
      <c r="B23" s="85" t="s">
        <v>135</v>
      </c>
      <c r="C23" s="85"/>
      <c r="D23" s="85"/>
      <c r="E23" s="88" t="e">
        <f>NPV(0.12,C17:L17)</f>
        <v>#REF!</v>
      </c>
      <c r="F23" s="85"/>
      <c r="G23" s="85"/>
      <c r="H23" s="85"/>
      <c r="I23" s="88" t="e">
        <f>NPV(0.12,C19:L19)</f>
        <v>#REF!</v>
      </c>
      <c r="J23" s="85"/>
      <c r="K23" s="85"/>
      <c r="L23" s="85"/>
      <c r="M23" s="95"/>
      <c r="R23" s="62">
        <f>30.9-29.82</f>
        <v>1.0799999999999983</v>
      </c>
    </row>
    <row r="24" spans="1:18" ht="12">
      <c r="A24" s="89"/>
      <c r="B24" s="90" t="s">
        <v>136</v>
      </c>
      <c r="C24" s="90"/>
      <c r="D24" s="90"/>
      <c r="E24" s="91" t="e">
        <f>6-H18/I17</f>
        <v>#REF!</v>
      </c>
      <c r="F24" s="90"/>
      <c r="G24" s="90"/>
      <c r="H24" s="90"/>
      <c r="I24" s="91" t="e">
        <f>6-H20/I19</f>
        <v>#REF!</v>
      </c>
      <c r="J24" s="90"/>
      <c r="K24" s="90"/>
      <c r="L24" s="90"/>
      <c r="M24" s="96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1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4" width="9" style="37"/>
    <col min="35" max="35" width="4.375" style="37" customWidth="1"/>
    <col min="36" max="36" width="13.875" style="37" customWidth="1"/>
    <col min="37" max="16384" width="9" style="37"/>
  </cols>
  <sheetData>
    <row r="1" spans="1:37">
      <c r="A1" s="242" t="s">
        <v>137</v>
      </c>
      <c r="B1" s="242"/>
      <c r="C1" s="246" t="s">
        <v>240</v>
      </c>
      <c r="D1" s="247"/>
      <c r="E1" s="247"/>
      <c r="F1" s="247"/>
      <c r="G1" s="247"/>
      <c r="H1" s="247"/>
      <c r="I1" s="247"/>
      <c r="J1" s="247"/>
      <c r="K1" s="248"/>
    </row>
    <row r="2" spans="1:37">
      <c r="A2" s="242" t="s">
        <v>138</v>
      </c>
      <c r="B2" s="242"/>
      <c r="C2" s="249" t="s">
        <v>300</v>
      </c>
      <c r="D2" s="249"/>
      <c r="E2" s="249"/>
      <c r="F2" s="249"/>
      <c r="G2" s="249"/>
      <c r="H2" s="249"/>
      <c r="I2" s="249"/>
      <c r="J2" s="249"/>
      <c r="K2" s="249"/>
    </row>
    <row r="3" spans="1:37">
      <c r="A3" s="242" t="s">
        <v>139</v>
      </c>
      <c r="B3" s="242"/>
      <c r="C3" s="148" t="str">
        <f>销量!C5</f>
        <v>驾驶员座椅总成</v>
      </c>
      <c r="D3" s="148" t="str">
        <f>销量!D5</f>
        <v>驾驶员座椅总成</v>
      </c>
      <c r="E3" s="148" t="str">
        <f>销量!E5</f>
        <v>驾驶员座椅总成</v>
      </c>
      <c r="F3" s="148" t="str">
        <f>销量!F5</f>
        <v>驾驶员座椅总成</v>
      </c>
      <c r="G3" s="148" t="str">
        <f>销量!G5</f>
        <v>副驾驶座椅总成</v>
      </c>
      <c r="H3" s="148" t="str">
        <f>销量!H5</f>
        <v>驾驶员底支架</v>
      </c>
      <c r="I3" s="148" t="str">
        <f>销量!I5</f>
        <v>副驾驶功能座椅</v>
      </c>
      <c r="J3" s="148" t="str">
        <f>销量!J5</f>
        <v>副驾驶员底支架</v>
      </c>
      <c r="K3" s="243" t="s">
        <v>15</v>
      </c>
    </row>
    <row r="4" spans="1:37">
      <c r="A4" s="242" t="s">
        <v>140</v>
      </c>
      <c r="B4" s="242"/>
      <c r="C4" s="148" t="str">
        <f>销量!C6</f>
        <v>SHT0011947</v>
      </c>
      <c r="D4" s="148" t="str">
        <f>销量!D6</f>
        <v>SHT0011948</v>
      </c>
      <c r="E4" s="148" t="str">
        <f>销量!E6</f>
        <v>SHT0011950</v>
      </c>
      <c r="F4" s="148" t="str">
        <f>销量!F6</f>
        <v>SHT0011949</v>
      </c>
      <c r="G4" s="148" t="str">
        <f>销量!G6</f>
        <v>SHT0011951</v>
      </c>
      <c r="H4" s="148" t="str">
        <f>销量!H6</f>
        <v>SHT0010844</v>
      </c>
      <c r="I4" s="148" t="str">
        <f>销量!I6</f>
        <v>SHT0011952</v>
      </c>
      <c r="J4" s="148" t="str">
        <f>销量!J6</f>
        <v>SHT0011878</v>
      </c>
      <c r="K4" s="244"/>
    </row>
    <row r="5" spans="1:37">
      <c r="A5" s="242" t="s">
        <v>141</v>
      </c>
      <c r="B5" s="242"/>
      <c r="C5" s="40"/>
      <c r="D5" s="40"/>
      <c r="E5" s="40"/>
      <c r="F5" s="40"/>
      <c r="G5" s="40"/>
      <c r="H5" s="40"/>
      <c r="I5" s="40"/>
      <c r="J5" s="40"/>
      <c r="K5" s="245"/>
      <c r="AK5" s="37" t="s">
        <v>16</v>
      </c>
    </row>
    <row r="6" spans="1:37" ht="17.25">
      <c r="A6" s="41" t="s">
        <v>14</v>
      </c>
      <c r="B6" s="42" t="s">
        <v>142</v>
      </c>
      <c r="C6" s="13">
        <f>销量!C9</f>
        <v>3500</v>
      </c>
      <c r="D6" s="13">
        <f>销量!D9</f>
        <v>500</v>
      </c>
      <c r="E6" s="13">
        <f>销量!E9</f>
        <v>500</v>
      </c>
      <c r="F6" s="13">
        <f>销量!F9</f>
        <v>500</v>
      </c>
      <c r="G6" s="13">
        <f>销量!G9</f>
        <v>500</v>
      </c>
      <c r="H6" s="13">
        <f>销量!H9</f>
        <v>5500</v>
      </c>
      <c r="I6" s="13">
        <f>销量!I9</f>
        <v>4500</v>
      </c>
      <c r="J6" s="13">
        <f>销量!J9</f>
        <v>4500</v>
      </c>
      <c r="K6" s="43">
        <f t="shared" ref="K6:K15" si="0">SUM(C6:J6)</f>
        <v>20000</v>
      </c>
      <c r="AI6" s="41" t="s">
        <v>14</v>
      </c>
      <c r="AJ6" s="42" t="s">
        <v>3</v>
      </c>
      <c r="AK6" s="37" t="s">
        <v>17</v>
      </c>
    </row>
    <row r="7" spans="1:37">
      <c r="A7" s="39">
        <v>1</v>
      </c>
      <c r="B7" s="42" t="s">
        <v>18</v>
      </c>
      <c r="C7" s="43">
        <f>C6*销量!C8</f>
        <v>6516440</v>
      </c>
      <c r="D7" s="43">
        <f>D6*销量!D8</f>
        <v>1081300</v>
      </c>
      <c r="E7" s="43">
        <f>E6*销量!E8</f>
        <v>1477390</v>
      </c>
      <c r="F7" s="43">
        <f>F6*销量!F8</f>
        <v>1452270</v>
      </c>
      <c r="G7" s="43">
        <f>G6*销量!G8</f>
        <v>939920</v>
      </c>
      <c r="H7" s="43">
        <f>H6*销量!H8</f>
        <v>472560</v>
      </c>
      <c r="I7" s="43">
        <f>I6*销量!I8</f>
        <v>3015765</v>
      </c>
      <c r="J7" s="43">
        <f>J6*销量!J8</f>
        <v>344610</v>
      </c>
      <c r="K7" s="43">
        <f t="shared" si="0"/>
        <v>15300255</v>
      </c>
      <c r="L7" s="38"/>
      <c r="AI7" s="41" t="s">
        <v>19</v>
      </c>
      <c r="AJ7" s="42" t="s">
        <v>18</v>
      </c>
      <c r="AK7" s="37" t="s">
        <v>17</v>
      </c>
    </row>
    <row r="8" spans="1:37">
      <c r="A8" s="39">
        <v>2</v>
      </c>
      <c r="B8" s="39" t="s">
        <v>20</v>
      </c>
      <c r="C8" s="43"/>
      <c r="D8" s="43"/>
      <c r="E8" s="43"/>
      <c r="F8" s="43"/>
      <c r="G8" s="43"/>
      <c r="H8" s="43"/>
      <c r="I8" s="43"/>
      <c r="J8" s="43"/>
      <c r="K8" s="43">
        <f t="shared" si="0"/>
        <v>0</v>
      </c>
      <c r="L8" s="58"/>
      <c r="AI8" s="41" t="s">
        <v>21</v>
      </c>
      <c r="AJ8" s="39" t="s">
        <v>22</v>
      </c>
      <c r="AK8" s="37" t="s">
        <v>17</v>
      </c>
    </row>
    <row r="9" spans="1:37">
      <c r="A9" s="39">
        <v>3</v>
      </c>
      <c r="B9" s="42" t="s">
        <v>23</v>
      </c>
      <c r="C9" s="43">
        <f>+C7-C8</f>
        <v>6516440</v>
      </c>
      <c r="D9" s="43">
        <f t="shared" ref="D9:J9" si="1">+D7-D8</f>
        <v>1081300</v>
      </c>
      <c r="E9" s="43">
        <f t="shared" si="1"/>
        <v>1477390</v>
      </c>
      <c r="F9" s="43">
        <f t="shared" si="1"/>
        <v>1452270</v>
      </c>
      <c r="G9" s="43">
        <f t="shared" si="1"/>
        <v>939920</v>
      </c>
      <c r="H9" s="43">
        <f t="shared" si="1"/>
        <v>472560</v>
      </c>
      <c r="I9" s="43">
        <f t="shared" si="1"/>
        <v>3015765</v>
      </c>
      <c r="J9" s="43">
        <f t="shared" si="1"/>
        <v>344610</v>
      </c>
      <c r="K9" s="43">
        <f t="shared" si="0"/>
        <v>15300255</v>
      </c>
      <c r="AI9" s="41" t="s">
        <v>24</v>
      </c>
      <c r="AJ9" s="42" t="s">
        <v>23</v>
      </c>
      <c r="AK9" s="37" t="s">
        <v>25</v>
      </c>
    </row>
    <row r="10" spans="1:37">
      <c r="A10" s="39">
        <v>4</v>
      </c>
      <c r="B10" s="41" t="s">
        <v>26</v>
      </c>
      <c r="C10" s="43">
        <f>C6*C33</f>
        <v>5163777.2322489722</v>
      </c>
      <c r="D10" s="43">
        <f>D6*D33</f>
        <v>920505.14174985327</v>
      </c>
      <c r="E10" s="43">
        <f t="shared" ref="E10:J10" si="2">E6*E33</f>
        <v>1232525.0255636855</v>
      </c>
      <c r="F10" s="43">
        <f t="shared" si="2"/>
        <v>1121425.025563685</v>
      </c>
      <c r="G10" s="43">
        <f t="shared" si="2"/>
        <v>737275.15951810312</v>
      </c>
      <c r="H10" s="43">
        <f t="shared" si="2"/>
        <v>274908.80769968004</v>
      </c>
      <c r="I10" s="43">
        <f t="shared" si="2"/>
        <v>2673116.8769601882</v>
      </c>
      <c r="J10" s="43">
        <f t="shared" si="2"/>
        <v>206415</v>
      </c>
      <c r="K10" s="43">
        <f t="shared" si="0"/>
        <v>12329948.269304167</v>
      </c>
      <c r="AI10" s="41" t="s">
        <v>27</v>
      </c>
      <c r="AJ10" s="41" t="s">
        <v>26</v>
      </c>
      <c r="AK10" s="37" t="s">
        <v>28</v>
      </c>
    </row>
    <row r="11" spans="1:37">
      <c r="A11" s="39">
        <v>5</v>
      </c>
      <c r="B11" s="41" t="s">
        <v>29</v>
      </c>
      <c r="C11" s="43">
        <f>+C6*C36</f>
        <v>378869.73228846153</v>
      </c>
      <c r="D11" s="43">
        <f t="shared" ref="D11:J11" si="3">+D6*D36</f>
        <v>62867.430916806326</v>
      </c>
      <c r="E11" s="43">
        <f t="shared" si="3"/>
        <v>85896.341220919741</v>
      </c>
      <c r="F11" s="43">
        <f t="shared" si="3"/>
        <v>84435.849345741532</v>
      </c>
      <c r="G11" s="43">
        <f t="shared" si="3"/>
        <v>54647.512870918894</v>
      </c>
      <c r="H11" s="43">
        <f t="shared" si="3"/>
        <v>27474.921995788402</v>
      </c>
      <c r="I11" s="43">
        <f t="shared" si="3"/>
        <v>175338.38694055527</v>
      </c>
      <c r="J11" s="43">
        <f t="shared" si="3"/>
        <v>20035.832209600139</v>
      </c>
      <c r="K11" s="43">
        <f t="shared" si="0"/>
        <v>889566.00778879179</v>
      </c>
      <c r="AI11" s="41" t="s">
        <v>30</v>
      </c>
      <c r="AJ11" s="41" t="s">
        <v>29</v>
      </c>
    </row>
    <row r="12" spans="1:37">
      <c r="A12" s="39">
        <v>6</v>
      </c>
      <c r="B12" s="41" t="s">
        <v>31</v>
      </c>
      <c r="C12" s="43">
        <f>+C6*C37</f>
        <v>117741.36358011216</v>
      </c>
      <c r="D12" s="43">
        <f t="shared" ref="D12:J12" si="4">+D6*D37</f>
        <v>19537.314306458018</v>
      </c>
      <c r="E12" s="43">
        <f t="shared" si="4"/>
        <v>26694.009787494695</v>
      </c>
      <c r="F12" s="43">
        <f t="shared" si="4"/>
        <v>26240.13266238767</v>
      </c>
      <c r="G12" s="43">
        <f t="shared" si="4"/>
        <v>16982.81000917971</v>
      </c>
      <c r="H12" s="43">
        <f t="shared" si="4"/>
        <v>8538.3827325069833</v>
      </c>
      <c r="I12" s="43">
        <f t="shared" si="4"/>
        <v>54489.918319999408</v>
      </c>
      <c r="J12" s="43">
        <f t="shared" si="4"/>
        <v>6226.5364682775344</v>
      </c>
      <c r="K12" s="43">
        <f t="shared" si="0"/>
        <v>276450.46786641615</v>
      </c>
      <c r="AI12" s="41" t="s">
        <v>32</v>
      </c>
      <c r="AJ12" s="41" t="s">
        <v>31</v>
      </c>
    </row>
    <row r="13" spans="1:37">
      <c r="A13" s="39">
        <v>7</v>
      </c>
      <c r="B13" s="41" t="s">
        <v>33</v>
      </c>
      <c r="C13" s="43">
        <f>+C6*C38</f>
        <v>65164.4</v>
      </c>
      <c r="D13" s="43">
        <f t="shared" ref="D13:J13" si="5">+D6*D38</f>
        <v>10813</v>
      </c>
      <c r="E13" s="43">
        <f t="shared" si="5"/>
        <v>14773.900000000001</v>
      </c>
      <c r="F13" s="43">
        <f t="shared" si="5"/>
        <v>14522.7</v>
      </c>
      <c r="G13" s="43">
        <f t="shared" si="5"/>
        <v>9399.2000000000007</v>
      </c>
      <c r="H13" s="43">
        <f t="shared" si="5"/>
        <v>4725.6000000000004</v>
      </c>
      <c r="I13" s="43">
        <f t="shared" si="5"/>
        <v>30157.649999999998</v>
      </c>
      <c r="J13" s="43">
        <f t="shared" si="5"/>
        <v>3446.1000000000004</v>
      </c>
      <c r="K13" s="43">
        <f t="shared" si="0"/>
        <v>153002.54999999999</v>
      </c>
      <c r="AI13" s="41" t="s">
        <v>34</v>
      </c>
      <c r="AJ13" s="41" t="s">
        <v>33</v>
      </c>
      <c r="AK13" s="37" t="s">
        <v>17</v>
      </c>
    </row>
    <row r="14" spans="1:37">
      <c r="A14" s="39">
        <v>8</v>
      </c>
      <c r="B14" s="44" t="s">
        <v>35</v>
      </c>
      <c r="C14" s="43">
        <f>SUM(C11:C13)</f>
        <v>561775.49586857366</v>
      </c>
      <c r="D14" s="43">
        <f t="shared" ref="D14:J14" si="6">SUM(D11:D13)</f>
        <v>93217.745223264341</v>
      </c>
      <c r="E14" s="43">
        <f t="shared" si="6"/>
        <v>127364.25100841443</v>
      </c>
      <c r="F14" s="43">
        <f t="shared" si="6"/>
        <v>125198.6820081292</v>
      </c>
      <c r="G14" s="43">
        <f t="shared" si="6"/>
        <v>81029.522880098593</v>
      </c>
      <c r="H14" s="43">
        <f t="shared" si="6"/>
        <v>40738.904728295383</v>
      </c>
      <c r="I14" s="43">
        <f t="shared" si="6"/>
        <v>259985.95526055468</v>
      </c>
      <c r="J14" s="43">
        <f t="shared" si="6"/>
        <v>29708.468677877674</v>
      </c>
      <c r="K14" s="43">
        <f t="shared" si="0"/>
        <v>1319019.0256552079</v>
      </c>
      <c r="AI14" s="41" t="s">
        <v>36</v>
      </c>
      <c r="AJ14" s="44" t="s">
        <v>35</v>
      </c>
    </row>
    <row r="15" spans="1:37">
      <c r="A15" s="39">
        <v>9</v>
      </c>
      <c r="B15" s="44" t="s">
        <v>37</v>
      </c>
      <c r="C15" s="43">
        <f>+C9-C10-C14</f>
        <v>790887.27188245417</v>
      </c>
      <c r="D15" s="43">
        <f t="shared" ref="D15:J15" si="7">+D9-D10-D14</f>
        <v>67577.113026882391</v>
      </c>
      <c r="E15" s="43">
        <f t="shared" si="7"/>
        <v>117500.72342790011</v>
      </c>
      <c r="F15" s="43">
        <f t="shared" si="7"/>
        <v>205646.29242818581</v>
      </c>
      <c r="G15" s="43">
        <f t="shared" si="7"/>
        <v>121615.31760179829</v>
      </c>
      <c r="H15" s="43">
        <f t="shared" si="7"/>
        <v>156912.28757202456</v>
      </c>
      <c r="I15" s="43">
        <f t="shared" si="7"/>
        <v>82662.167779257172</v>
      </c>
      <c r="J15" s="43">
        <f t="shared" si="7"/>
        <v>108486.53132212232</v>
      </c>
      <c r="K15" s="43">
        <f t="shared" si="0"/>
        <v>1651287.7050406251</v>
      </c>
      <c r="AI15" s="41" t="s">
        <v>38</v>
      </c>
      <c r="AJ15" s="44" t="s">
        <v>37</v>
      </c>
    </row>
    <row r="16" spans="1:37">
      <c r="A16" s="39">
        <v>10</v>
      </c>
      <c r="B16" s="41" t="s">
        <v>39</v>
      </c>
      <c r="C16" s="45">
        <f>+C15/C9</f>
        <v>0.12136799723199387</v>
      </c>
      <c r="D16" s="45">
        <f t="shared" ref="D16:J16" si="8">+D15/D9</f>
        <v>6.24961740746161E-2</v>
      </c>
      <c r="E16" s="45">
        <f t="shared" si="8"/>
        <v>7.953263757565715E-2</v>
      </c>
      <c r="F16" s="45">
        <f t="shared" si="8"/>
        <v>0.1416033467799967</v>
      </c>
      <c r="G16" s="45">
        <f t="shared" si="8"/>
        <v>0.12938900927929856</v>
      </c>
      <c r="H16" s="45">
        <f t="shared" si="8"/>
        <v>0.33204733276626158</v>
      </c>
      <c r="I16" s="45">
        <f t="shared" si="8"/>
        <v>2.7410016290810846E-2</v>
      </c>
      <c r="J16" s="45">
        <f t="shared" si="8"/>
        <v>0.31480958568272049</v>
      </c>
      <c r="K16" s="45">
        <f t="shared" ref="K16" si="9">+K15/K9</f>
        <v>0.10792550222467698</v>
      </c>
      <c r="AI16" s="41" t="s">
        <v>40</v>
      </c>
      <c r="AJ16" s="41" t="s">
        <v>39</v>
      </c>
    </row>
    <row r="17" spans="1:37">
      <c r="A17" s="39">
        <v>11</v>
      </c>
      <c r="B17" s="41" t="s">
        <v>41</v>
      </c>
      <c r="C17" s="43">
        <f>C6*C43+C18</f>
        <v>296398.55</v>
      </c>
      <c r="D17" s="43">
        <f t="shared" ref="D17:J17" si="10">D6*D43+D18</f>
        <v>49109.75</v>
      </c>
      <c r="E17" s="43">
        <f t="shared" si="10"/>
        <v>66933.8</v>
      </c>
      <c r="F17" s="43">
        <f t="shared" si="10"/>
        <v>65803.399999999994</v>
      </c>
      <c r="G17" s="43">
        <f t="shared" si="10"/>
        <v>42747.65</v>
      </c>
      <c r="H17" s="43">
        <f t="shared" si="10"/>
        <v>26228.95</v>
      </c>
      <c r="I17" s="43">
        <f t="shared" si="10"/>
        <v>139770.67499999999</v>
      </c>
      <c r="J17" s="43">
        <f t="shared" si="10"/>
        <v>19568.699999999997</v>
      </c>
      <c r="K17" s="43">
        <f>SUM(C17:J17)</f>
        <v>706561.47499999986</v>
      </c>
      <c r="AI17" s="41" t="s">
        <v>42</v>
      </c>
      <c r="AJ17" s="41" t="s">
        <v>41</v>
      </c>
    </row>
    <row r="18" spans="1:37" s="35" customFormat="1">
      <c r="A18" s="39">
        <v>12</v>
      </c>
      <c r="B18" s="46" t="s">
        <v>143</v>
      </c>
      <c r="C18" s="47">
        <f>$K$18/$K$6*C6</f>
        <v>3158.75</v>
      </c>
      <c r="D18" s="47">
        <f t="shared" ref="D18:J18" si="11">$K$18/$K$6*D6</f>
        <v>451.25</v>
      </c>
      <c r="E18" s="47">
        <f t="shared" si="11"/>
        <v>451.25</v>
      </c>
      <c r="F18" s="47">
        <f t="shared" si="11"/>
        <v>451.25</v>
      </c>
      <c r="G18" s="47">
        <f t="shared" si="11"/>
        <v>451.25</v>
      </c>
      <c r="H18" s="47">
        <f t="shared" si="11"/>
        <v>4963.75</v>
      </c>
      <c r="I18" s="47">
        <f t="shared" si="11"/>
        <v>4061.25</v>
      </c>
      <c r="J18" s="47">
        <f t="shared" si="11"/>
        <v>4061.25</v>
      </c>
      <c r="K18" s="47">
        <f>项目投资!D26</f>
        <v>18050</v>
      </c>
      <c r="L18" s="156" t="s">
        <v>144</v>
      </c>
      <c r="M18" s="156"/>
      <c r="N18" s="37"/>
    </row>
    <row r="19" spans="1:37">
      <c r="A19" s="39">
        <v>13</v>
      </c>
      <c r="B19" s="41" t="s">
        <v>43</v>
      </c>
      <c r="C19" s="43">
        <f>C6*C44</f>
        <v>51479.876000000004</v>
      </c>
      <c r="D19" s="43">
        <f t="shared" ref="D19:J19" si="12">D6*D44</f>
        <v>8542.27</v>
      </c>
      <c r="E19" s="43">
        <f t="shared" si="12"/>
        <v>11671.381000000001</v>
      </c>
      <c r="F19" s="43">
        <f t="shared" si="12"/>
        <v>11472.933000000001</v>
      </c>
      <c r="G19" s="43">
        <f t="shared" si="12"/>
        <v>7425.3680000000004</v>
      </c>
      <c r="H19" s="43">
        <f t="shared" si="12"/>
        <v>3733.2240000000002</v>
      </c>
      <c r="I19" s="43">
        <f t="shared" si="12"/>
        <v>23824.543500000003</v>
      </c>
      <c r="J19" s="43">
        <f t="shared" si="12"/>
        <v>2722.4189999999999</v>
      </c>
      <c r="K19" s="43">
        <f>SUM(C19:J19)</f>
        <v>120872.0145</v>
      </c>
      <c r="AI19" s="41" t="s">
        <v>44</v>
      </c>
      <c r="AJ19" s="41" t="s">
        <v>43</v>
      </c>
      <c r="AK19" s="37" t="s">
        <v>17</v>
      </c>
    </row>
    <row r="20" spans="1:37">
      <c r="A20" s="39">
        <v>14</v>
      </c>
      <c r="B20" s="41" t="s">
        <v>45</v>
      </c>
      <c r="C20" s="43">
        <f>C6*C45</f>
        <v>264328.37119871879</v>
      </c>
      <c r="D20" s="43">
        <f t="shared" ref="D20:J20" si="13">D6*D45</f>
        <v>43861.106336768949</v>
      </c>
      <c r="E20" s="43">
        <f t="shared" si="13"/>
        <v>59927.827513991564</v>
      </c>
      <c r="F20" s="43">
        <f t="shared" si="13"/>
        <v>58908.8771845921</v>
      </c>
      <c r="G20" s="43">
        <f t="shared" si="13"/>
        <v>38126.265669153676</v>
      </c>
      <c r="H20" s="43">
        <f t="shared" si="13"/>
        <v>19168.597438734429</v>
      </c>
      <c r="I20" s="43">
        <f t="shared" si="13"/>
        <v>122329.40844511791</v>
      </c>
      <c r="J20" s="43">
        <f t="shared" si="13"/>
        <v>13978.522014902384</v>
      </c>
      <c r="K20" s="43">
        <f>SUM(C20:J20)</f>
        <v>620628.97580197989</v>
      </c>
      <c r="AI20" s="41" t="s">
        <v>46</v>
      </c>
      <c r="AJ20" s="41" t="s">
        <v>45</v>
      </c>
    </row>
    <row r="21" spans="1:37">
      <c r="A21" s="39">
        <v>15</v>
      </c>
      <c r="B21" s="41" t="s">
        <v>47</v>
      </c>
      <c r="C21" s="48">
        <f>$K$21/$K$6*C6</f>
        <v>8506.4</v>
      </c>
      <c r="D21" s="48">
        <f t="shared" ref="D21:J21" si="14">$K$21/$K$6*D6</f>
        <v>1215.1999999999998</v>
      </c>
      <c r="E21" s="48">
        <f t="shared" si="14"/>
        <v>1215.1999999999998</v>
      </c>
      <c r="F21" s="48">
        <f t="shared" si="14"/>
        <v>1215.1999999999998</v>
      </c>
      <c r="G21" s="48">
        <f t="shared" si="14"/>
        <v>1215.1999999999998</v>
      </c>
      <c r="H21" s="48">
        <f t="shared" si="14"/>
        <v>13367.199999999999</v>
      </c>
      <c r="I21" s="48">
        <f t="shared" si="14"/>
        <v>10936.8</v>
      </c>
      <c r="J21" s="48">
        <f t="shared" si="14"/>
        <v>10936.8</v>
      </c>
      <c r="K21" s="43">
        <f>项目投资!D27</f>
        <v>48607.999999999993</v>
      </c>
      <c r="AI21" s="41"/>
      <c r="AJ21" s="41"/>
    </row>
    <row r="22" spans="1:37">
      <c r="A22" s="39">
        <v>16</v>
      </c>
      <c r="B22" s="41" t="s">
        <v>48</v>
      </c>
      <c r="C22" s="43">
        <f>C6*C47</f>
        <v>138800.17199999999</v>
      </c>
      <c r="D22" s="43">
        <f t="shared" ref="D22:J22" si="15">D6*D47</f>
        <v>23031.69</v>
      </c>
      <c r="E22" s="43">
        <f t="shared" si="15"/>
        <v>31468.407000000003</v>
      </c>
      <c r="F22" s="43">
        <f t="shared" si="15"/>
        <v>30933.350999999999</v>
      </c>
      <c r="G22" s="43">
        <f t="shared" si="15"/>
        <v>20020.295999999998</v>
      </c>
      <c r="H22" s="43">
        <f t="shared" si="15"/>
        <v>10065.528</v>
      </c>
      <c r="I22" s="43">
        <f t="shared" si="15"/>
        <v>64235.794499999989</v>
      </c>
      <c r="J22" s="43">
        <f t="shared" si="15"/>
        <v>7340.1930000000002</v>
      </c>
      <c r="K22" s="43">
        <f>SUM(C22:J22)</f>
        <v>325895.43150000001</v>
      </c>
      <c r="AI22" s="41" t="s">
        <v>49</v>
      </c>
      <c r="AJ22" s="41" t="s">
        <v>48</v>
      </c>
    </row>
    <row r="23" spans="1:37">
      <c r="A23" s="39">
        <v>17</v>
      </c>
      <c r="B23" s="44" t="s">
        <v>50</v>
      </c>
      <c r="C23" s="48">
        <f>+C22+C21+C20+C19+C17</f>
        <v>759513.36919871881</v>
      </c>
      <c r="D23" s="48">
        <f t="shared" ref="D23:J23" si="16">+D22+D21+D20+D19+D17</f>
        <v>125760.01633676895</v>
      </c>
      <c r="E23" s="48">
        <f t="shared" si="16"/>
        <v>171216.61551399156</v>
      </c>
      <c r="F23" s="48">
        <f t="shared" si="16"/>
        <v>168333.76118459209</v>
      </c>
      <c r="G23" s="48">
        <f t="shared" si="16"/>
        <v>109534.77966915368</v>
      </c>
      <c r="H23" s="48">
        <f t="shared" si="16"/>
        <v>72563.499438734434</v>
      </c>
      <c r="I23" s="48">
        <f t="shared" si="16"/>
        <v>361097.22144511784</v>
      </c>
      <c r="J23" s="48">
        <f t="shared" si="16"/>
        <v>54546.634014902382</v>
      </c>
      <c r="K23" s="48">
        <f t="shared" ref="K23" si="17">+K22+K21+K20+K19+K17</f>
        <v>1822565.8968019797</v>
      </c>
      <c r="AI23" s="41" t="s">
        <v>51</v>
      </c>
      <c r="AJ23" s="44" t="s">
        <v>50</v>
      </c>
    </row>
    <row r="24" spans="1:37">
      <c r="A24" s="39">
        <v>18</v>
      </c>
      <c r="B24" s="49" t="s">
        <v>52</v>
      </c>
      <c r="C24" s="48">
        <f>+C15-C23</f>
        <v>31373.902683735359</v>
      </c>
      <c r="D24" s="48">
        <f t="shared" ref="D24:J24" si="18">+D15-D23</f>
        <v>-58182.903309886562</v>
      </c>
      <c r="E24" s="48">
        <f t="shared" si="18"/>
        <v>-53715.892086091451</v>
      </c>
      <c r="F24" s="48">
        <f t="shared" si="18"/>
        <v>37312.531243593723</v>
      </c>
      <c r="G24" s="48">
        <f t="shared" si="18"/>
        <v>12080.537932644613</v>
      </c>
      <c r="H24" s="48">
        <f t="shared" si="18"/>
        <v>84348.788133290131</v>
      </c>
      <c r="I24" s="48">
        <f t="shared" si="18"/>
        <v>-278435.05366586067</v>
      </c>
      <c r="J24" s="48">
        <f t="shared" si="18"/>
        <v>53939.897307219937</v>
      </c>
      <c r="K24" s="48">
        <f t="shared" ref="K24" si="19">+K15-K23</f>
        <v>-171278.19176135468</v>
      </c>
      <c r="M24" s="60"/>
      <c r="AI24" s="41" t="s">
        <v>53</v>
      </c>
      <c r="AJ24" s="41" t="s">
        <v>52</v>
      </c>
    </row>
    <row r="25" spans="1:37">
      <c r="A25" s="39">
        <v>19</v>
      </c>
      <c r="B25" s="41" t="s">
        <v>235</v>
      </c>
      <c r="C25" s="48">
        <f>IF(C24&lt;0,0,C24*0.15)</f>
        <v>4706.0854025603039</v>
      </c>
      <c r="D25" s="48">
        <f t="shared" ref="D25:J25" si="20">IF(D24&lt;0,0,D24*0.15)</f>
        <v>0</v>
      </c>
      <c r="E25" s="48">
        <f t="shared" si="20"/>
        <v>0</v>
      </c>
      <c r="F25" s="48">
        <f t="shared" si="20"/>
        <v>5596.8796865390586</v>
      </c>
      <c r="G25" s="48">
        <f t="shared" si="20"/>
        <v>1812.0806898966919</v>
      </c>
      <c r="H25" s="48">
        <f t="shared" si="20"/>
        <v>12652.31821999352</v>
      </c>
      <c r="I25" s="48">
        <f t="shared" si="20"/>
        <v>0</v>
      </c>
      <c r="J25" s="48">
        <f t="shared" si="20"/>
        <v>8090.9845960829898</v>
      </c>
      <c r="K25" s="48">
        <f>IF(K24&lt;0,0,K24*0.15)</f>
        <v>0</v>
      </c>
      <c r="L25" s="56"/>
      <c r="M25" s="56"/>
      <c r="N25" s="56"/>
      <c r="AI25" s="41" t="s">
        <v>55</v>
      </c>
      <c r="AJ25" s="41" t="s">
        <v>54</v>
      </c>
    </row>
    <row r="26" spans="1:37">
      <c r="A26" s="39">
        <v>20</v>
      </c>
      <c r="B26" s="41" t="s">
        <v>56</v>
      </c>
      <c r="C26" s="48">
        <f t="shared" ref="C26" si="21">C24-C25</f>
        <v>26667.817281175056</v>
      </c>
      <c r="D26" s="48">
        <f t="shared" ref="D26:J26" si="22">D24-D25</f>
        <v>-58182.903309886562</v>
      </c>
      <c r="E26" s="48">
        <f t="shared" si="22"/>
        <v>-53715.892086091451</v>
      </c>
      <c r="F26" s="48">
        <f t="shared" si="22"/>
        <v>31715.651557054665</v>
      </c>
      <c r="G26" s="48">
        <f t="shared" si="22"/>
        <v>10268.457242747922</v>
      </c>
      <c r="H26" s="48">
        <f t="shared" si="22"/>
        <v>71696.469913296605</v>
      </c>
      <c r="I26" s="48">
        <f t="shared" si="22"/>
        <v>-278435.05366586067</v>
      </c>
      <c r="J26" s="48">
        <f t="shared" si="22"/>
        <v>45848.912711136945</v>
      </c>
      <c r="K26" s="43">
        <f>K24-K25</f>
        <v>-171278.19176135468</v>
      </c>
      <c r="L26" s="56"/>
      <c r="M26" s="56"/>
      <c r="N26" s="56"/>
      <c r="AI26" s="41" t="s">
        <v>57</v>
      </c>
      <c r="AJ26" s="41" t="s">
        <v>56</v>
      </c>
    </row>
    <row r="27" spans="1:37">
      <c r="A27" s="39">
        <v>21</v>
      </c>
      <c r="B27" s="41" t="s">
        <v>60</v>
      </c>
      <c r="C27" s="50">
        <f t="shared" ref="C27:K27" si="23">C26/C7</f>
        <v>4.092390520157487E-3</v>
      </c>
      <c r="D27" s="50">
        <f t="shared" ref="D27:J27" si="24">D26/D7</f>
        <v>-5.3808289383045001E-2</v>
      </c>
      <c r="E27" s="50">
        <f t="shared" si="24"/>
        <v>-3.6358640633882354E-2</v>
      </c>
      <c r="F27" s="50">
        <f t="shared" si="24"/>
        <v>2.1838674321616961E-2</v>
      </c>
      <c r="G27" s="50">
        <f t="shared" si="24"/>
        <v>1.0924820455728063E-2</v>
      </c>
      <c r="H27" s="50">
        <f t="shared" si="24"/>
        <v>0.15171929472087481</v>
      </c>
      <c r="I27" s="50">
        <f t="shared" si="24"/>
        <v>-9.2326508751796196E-2</v>
      </c>
      <c r="J27" s="50">
        <f t="shared" si="24"/>
        <v>0.13304579876131553</v>
      </c>
      <c r="K27" s="50">
        <f t="shared" si="23"/>
        <v>-1.1194466481856328E-2</v>
      </c>
      <c r="L27" s="56"/>
      <c r="M27" s="56"/>
      <c r="N27" s="56"/>
      <c r="AI27" s="41" t="s">
        <v>59</v>
      </c>
      <c r="AJ27" s="41" t="s">
        <v>60</v>
      </c>
    </row>
    <row r="28" spans="1:37">
      <c r="L28" s="56"/>
      <c r="M28" s="56"/>
      <c r="N28" s="56"/>
    </row>
    <row r="29" spans="1:37">
      <c r="A29" s="37" t="s">
        <v>61</v>
      </c>
      <c r="K29" s="38" t="s">
        <v>145</v>
      </c>
      <c r="L29" s="56"/>
      <c r="M29" s="56"/>
      <c r="N29" s="56"/>
      <c r="AI29" s="37" t="s">
        <v>61</v>
      </c>
    </row>
    <row r="30" spans="1:37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I30" s="41" t="s">
        <v>64</v>
      </c>
      <c r="AJ30" s="44" t="s">
        <v>63</v>
      </c>
    </row>
    <row r="31" spans="1:37">
      <c r="A31" s="51">
        <v>1</v>
      </c>
      <c r="B31" s="46" t="s">
        <v>65</v>
      </c>
      <c r="C31" s="52">
        <f>销量!C8</f>
        <v>1861.84</v>
      </c>
      <c r="D31" s="52">
        <f>销量!D8</f>
        <v>2162.6</v>
      </c>
      <c r="E31" s="52">
        <f>销量!E8</f>
        <v>2954.78</v>
      </c>
      <c r="F31" s="52">
        <f>销量!F8</f>
        <v>2904.54</v>
      </c>
      <c r="G31" s="52">
        <f>销量!G8</f>
        <v>1879.84</v>
      </c>
      <c r="H31" s="52">
        <f>销量!H8</f>
        <v>85.92</v>
      </c>
      <c r="I31" s="52">
        <f>销量!I8</f>
        <v>670.17</v>
      </c>
      <c r="J31" s="52">
        <f>销量!J8</f>
        <v>76.58</v>
      </c>
      <c r="K31" s="48"/>
      <c r="L31" s="56"/>
      <c r="M31" s="56"/>
      <c r="N31" s="56"/>
      <c r="P31" s="56"/>
      <c r="AI31" s="41" t="s">
        <v>19</v>
      </c>
      <c r="AJ31" s="41" t="s">
        <v>65</v>
      </c>
    </row>
    <row r="32" spans="1:37">
      <c r="A32" s="51">
        <v>2</v>
      </c>
      <c r="B32" s="41" t="s">
        <v>146</v>
      </c>
      <c r="C32" s="43">
        <f>C31*1</f>
        <v>1861.84</v>
      </c>
      <c r="D32" s="43">
        <f t="shared" ref="D32:J32" si="25">D31*1</f>
        <v>2162.6</v>
      </c>
      <c r="E32" s="43">
        <f t="shared" si="25"/>
        <v>2954.78</v>
      </c>
      <c r="F32" s="43">
        <f t="shared" si="25"/>
        <v>2904.54</v>
      </c>
      <c r="G32" s="43">
        <f t="shared" si="25"/>
        <v>1879.84</v>
      </c>
      <c r="H32" s="43">
        <f t="shared" si="25"/>
        <v>85.92</v>
      </c>
      <c r="I32" s="43">
        <f t="shared" si="25"/>
        <v>670.17</v>
      </c>
      <c r="J32" s="43">
        <f t="shared" si="25"/>
        <v>76.58</v>
      </c>
      <c r="K32" s="48"/>
      <c r="L32" s="56"/>
      <c r="M32" s="56"/>
      <c r="N32" s="56"/>
      <c r="O32" s="56"/>
      <c r="P32" s="56"/>
      <c r="Q32" s="56"/>
      <c r="R32" s="56"/>
      <c r="AI32" s="41"/>
      <c r="AJ32" s="41"/>
    </row>
    <row r="33" spans="1:36">
      <c r="A33" s="51">
        <v>3</v>
      </c>
      <c r="B33" s="46" t="s">
        <v>66</v>
      </c>
      <c r="C33" s="192">
        <v>1475.3649234997063</v>
      </c>
      <c r="D33" s="192">
        <v>1841.0102834997065</v>
      </c>
      <c r="E33" s="192">
        <v>2465.0500511273708</v>
      </c>
      <c r="F33" s="192">
        <v>2242.8500511273701</v>
      </c>
      <c r="G33" s="192">
        <v>1474.5503190362062</v>
      </c>
      <c r="H33" s="192">
        <v>49.983419581760003</v>
      </c>
      <c r="I33" s="192">
        <v>594.02597265781958</v>
      </c>
      <c r="J33" s="192">
        <v>45.87</v>
      </c>
      <c r="K33" s="48"/>
      <c r="M33" s="56"/>
      <c r="N33" s="56"/>
      <c r="O33" s="56"/>
      <c r="P33" s="56"/>
      <c r="Q33" s="56"/>
      <c r="R33" s="56"/>
      <c r="AI33" s="41" t="s">
        <v>21</v>
      </c>
      <c r="AJ33" s="41" t="s">
        <v>66</v>
      </c>
    </row>
    <row r="34" spans="1:36" ht="17.25" customHeight="1">
      <c r="A34" s="51">
        <v>4</v>
      </c>
      <c r="B34" s="41" t="s">
        <v>68</v>
      </c>
      <c r="C34" s="53">
        <f>C32-C33</f>
        <v>386.47507650029365</v>
      </c>
      <c r="D34" s="53">
        <f t="shared" ref="D34:J34" si="26">D32-D33</f>
        <v>321.58971650029343</v>
      </c>
      <c r="E34" s="53">
        <f t="shared" si="26"/>
        <v>489.72994887262939</v>
      </c>
      <c r="F34" s="53">
        <f t="shared" si="26"/>
        <v>661.68994887262988</v>
      </c>
      <c r="G34" s="53">
        <f t="shared" si="26"/>
        <v>405.28968096379367</v>
      </c>
      <c r="H34" s="53">
        <f t="shared" si="26"/>
        <v>35.936580418239998</v>
      </c>
      <c r="I34" s="53">
        <f t="shared" si="26"/>
        <v>76.144027342180379</v>
      </c>
      <c r="J34" s="53">
        <f t="shared" si="26"/>
        <v>30.71</v>
      </c>
      <c r="K34" s="48"/>
      <c r="M34" s="56"/>
      <c r="N34" s="56"/>
      <c r="O34" s="56"/>
      <c r="P34" s="56"/>
      <c r="Q34" s="56"/>
      <c r="R34" s="56"/>
      <c r="AI34" s="41" t="s">
        <v>67</v>
      </c>
      <c r="AJ34" s="41" t="s">
        <v>68</v>
      </c>
    </row>
    <row r="35" spans="1:36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AI35" s="41" t="s">
        <v>70</v>
      </c>
      <c r="AJ35" s="44" t="s">
        <v>8</v>
      </c>
    </row>
    <row r="36" spans="1:36">
      <c r="A36" s="51">
        <v>1</v>
      </c>
      <c r="B36" s="41" t="s">
        <v>71</v>
      </c>
      <c r="C36" s="47">
        <f>标准成本!D4</f>
        <v>108.24849493956043</v>
      </c>
      <c r="D36" s="47">
        <f>标准成本!D18</f>
        <v>125.73486183361265</v>
      </c>
      <c r="E36" s="47">
        <f>标准成本!D32</f>
        <v>171.79268244183947</v>
      </c>
      <c r="F36" s="47">
        <f>标准成本!D45</f>
        <v>168.87169869148306</v>
      </c>
      <c r="G36" s="47">
        <f>标准成本!D58</f>
        <v>109.29502574183779</v>
      </c>
      <c r="H36" s="47">
        <f>标准成本!D71</f>
        <v>4.9954403628706183</v>
      </c>
      <c r="I36" s="47">
        <f>标准成本!D84</f>
        <v>38.96408598679006</v>
      </c>
      <c r="J36" s="47">
        <f>标准成本!D97</f>
        <v>4.4524071576889197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AI36" s="41" t="s">
        <v>67</v>
      </c>
      <c r="AJ36" s="41" t="s">
        <v>71</v>
      </c>
    </row>
    <row r="37" spans="1:36">
      <c r="A37" s="51">
        <v>2</v>
      </c>
      <c r="B37" s="41" t="s">
        <v>72</v>
      </c>
      <c r="C37" s="47">
        <f>标准成本!D6</f>
        <v>33.64038959431776</v>
      </c>
      <c r="D37" s="47">
        <f>标准成本!D20</f>
        <v>39.074628612916037</v>
      </c>
      <c r="E37" s="47">
        <f>标准成本!D34</f>
        <v>53.388019574989393</v>
      </c>
      <c r="F37" s="47">
        <f>标准成本!D47</f>
        <v>52.480265324775338</v>
      </c>
      <c r="G37" s="47">
        <f>标准成本!D60</f>
        <v>33.965620018359417</v>
      </c>
      <c r="H37" s="47">
        <f>标准成本!D73</f>
        <v>1.5524332240921788</v>
      </c>
      <c r="I37" s="47">
        <f>标准成本!D86</f>
        <v>12.108870737777647</v>
      </c>
      <c r="J37" s="47">
        <f>标准成本!D99</f>
        <v>1.383674770728341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AI37" s="41" t="s">
        <v>24</v>
      </c>
      <c r="AJ37" s="41" t="s">
        <v>72</v>
      </c>
    </row>
    <row r="38" spans="1:36">
      <c r="A38" s="51">
        <v>3</v>
      </c>
      <c r="B38" s="41" t="s">
        <v>73</v>
      </c>
      <c r="C38" s="47">
        <f>标准成本!D10</f>
        <v>18.618400000000001</v>
      </c>
      <c r="D38" s="47">
        <f>标准成本!D24</f>
        <v>21.626000000000001</v>
      </c>
      <c r="E38" s="47">
        <f>标准成本!D38</f>
        <v>29.547800000000002</v>
      </c>
      <c r="F38" s="47">
        <f>标准成本!D51</f>
        <v>29.045400000000001</v>
      </c>
      <c r="G38" s="47">
        <f>标准成本!D64</f>
        <v>18.798400000000001</v>
      </c>
      <c r="H38" s="47">
        <f>标准成本!D77</f>
        <v>0.85920000000000007</v>
      </c>
      <c r="I38" s="47">
        <f>标准成本!D90</f>
        <v>6.7016999999999998</v>
      </c>
      <c r="J38" s="47">
        <f>标准成本!D103</f>
        <v>0.76580000000000004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AI38" s="41" t="s">
        <v>30</v>
      </c>
      <c r="AJ38" s="41" t="s">
        <v>73</v>
      </c>
    </row>
    <row r="39" spans="1:36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AI39" s="41" t="s">
        <v>74</v>
      </c>
      <c r="AJ39" s="44" t="s">
        <v>75</v>
      </c>
    </row>
    <row r="40" spans="1:36">
      <c r="A40" s="51">
        <v>1</v>
      </c>
      <c r="B40" s="41" t="s">
        <v>77</v>
      </c>
      <c r="C40" s="48">
        <f>C34-C36-C37-C38</f>
        <v>225.96779196641546</v>
      </c>
      <c r="D40" s="48">
        <f t="shared" ref="D40:J40" si="27">D34-D36-D37-D38</f>
        <v>135.15422605376475</v>
      </c>
      <c r="E40" s="48">
        <f t="shared" si="27"/>
        <v>235.00144685580051</v>
      </c>
      <c r="F40" s="48">
        <f t="shared" si="27"/>
        <v>411.29258485637149</v>
      </c>
      <c r="G40" s="48">
        <f t="shared" si="27"/>
        <v>243.23063520359648</v>
      </c>
      <c r="H40" s="48">
        <f t="shared" si="27"/>
        <v>28.5295068312772</v>
      </c>
      <c r="I40" s="48">
        <f t="shared" si="27"/>
        <v>18.369370617612674</v>
      </c>
      <c r="J40" s="48">
        <f t="shared" si="27"/>
        <v>24.108118071582741</v>
      </c>
      <c r="K40" s="48"/>
      <c r="AI40" s="41" t="s">
        <v>19</v>
      </c>
      <c r="AJ40" s="41" t="s">
        <v>77</v>
      </c>
    </row>
    <row r="41" spans="1:36">
      <c r="A41" s="51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AI41" s="41" t="s">
        <v>21</v>
      </c>
      <c r="AJ41" s="41" t="s">
        <v>78</v>
      </c>
    </row>
    <row r="42" spans="1:36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AI42" s="41" t="s">
        <v>79</v>
      </c>
      <c r="AJ42" s="44" t="s">
        <v>80</v>
      </c>
    </row>
    <row r="43" spans="1:36">
      <c r="A43" s="51">
        <v>1</v>
      </c>
      <c r="B43" s="49" t="s">
        <v>81</v>
      </c>
      <c r="C43" s="47">
        <f>标准成本!D5</f>
        <v>83.782799999999995</v>
      </c>
      <c r="D43" s="47">
        <f>标准成本!D19</f>
        <v>97.316999999999993</v>
      </c>
      <c r="E43" s="47">
        <f>标准成本!D33</f>
        <v>132.96510000000001</v>
      </c>
      <c r="F43" s="47">
        <f>标准成本!D46</f>
        <v>130.70429999999999</v>
      </c>
      <c r="G43" s="47">
        <f>标准成本!D59</f>
        <v>84.592799999999997</v>
      </c>
      <c r="H43" s="47">
        <f>标准成本!D72</f>
        <v>3.8664000000000001</v>
      </c>
      <c r="I43" s="47">
        <f>标准成本!D85</f>
        <v>30.157649999999997</v>
      </c>
      <c r="J43" s="47">
        <f>标准成本!D98</f>
        <v>3.4460999999999999</v>
      </c>
      <c r="K43" s="48"/>
      <c r="AI43" s="41" t="s">
        <v>19</v>
      </c>
      <c r="AJ43" s="41" t="s">
        <v>81</v>
      </c>
    </row>
    <row r="44" spans="1:36">
      <c r="A44" s="51">
        <v>2</v>
      </c>
      <c r="B44" s="49" t="s">
        <v>82</v>
      </c>
      <c r="C44" s="47">
        <f>标准成本!D9</f>
        <v>14.708536</v>
      </c>
      <c r="D44" s="47">
        <f>标准成本!D23</f>
        <v>17.084540000000001</v>
      </c>
      <c r="E44" s="47">
        <f>标准成本!D37</f>
        <v>23.342762000000004</v>
      </c>
      <c r="F44" s="47">
        <f>标准成本!D50</f>
        <v>22.945866000000002</v>
      </c>
      <c r="G44" s="47">
        <f>标准成本!D63</f>
        <v>14.850736000000001</v>
      </c>
      <c r="H44" s="47">
        <f>标准成本!D76</f>
        <v>0.67876800000000004</v>
      </c>
      <c r="I44" s="47">
        <f>标准成本!D89</f>
        <v>5.2943430000000005</v>
      </c>
      <c r="J44" s="47">
        <f>标准成本!D102</f>
        <v>0.60498200000000002</v>
      </c>
      <c r="K44" s="48"/>
      <c r="AI44" s="41" t="s">
        <v>21</v>
      </c>
      <c r="AJ44" s="41" t="s">
        <v>82</v>
      </c>
    </row>
    <row r="45" spans="1:36">
      <c r="A45" s="51">
        <v>3</v>
      </c>
      <c r="B45" s="49" t="s">
        <v>83</v>
      </c>
      <c r="C45" s="47">
        <f>标准成本!D8</f>
        <v>75.522391771062516</v>
      </c>
      <c r="D45" s="47">
        <f>标准成本!D22</f>
        <v>87.722212673537896</v>
      </c>
      <c r="E45" s="47">
        <f>标准成本!D36</f>
        <v>119.85565502798313</v>
      </c>
      <c r="F45" s="47">
        <f>标准成本!D49</f>
        <v>117.8177543691842</v>
      </c>
      <c r="G45" s="47">
        <f>标准成本!D62</f>
        <v>76.25253133830735</v>
      </c>
      <c r="H45" s="47">
        <f>标准成本!D75</f>
        <v>3.4851995343153503</v>
      </c>
      <c r="I45" s="47">
        <f>标准成本!D88</f>
        <v>27.184312987803981</v>
      </c>
      <c r="J45" s="47">
        <f>标准成本!D101</f>
        <v>3.1063382255338632</v>
      </c>
      <c r="K45" s="48"/>
      <c r="AI45" s="41" t="s">
        <v>67</v>
      </c>
      <c r="AJ45" s="41" t="s">
        <v>83</v>
      </c>
    </row>
    <row r="46" spans="1:36" s="36" customFormat="1">
      <c r="A46" s="51">
        <v>4</v>
      </c>
      <c r="B46" s="49" t="s">
        <v>84</v>
      </c>
      <c r="C46" s="54">
        <f>C21/C6</f>
        <v>2.4304000000000001</v>
      </c>
      <c r="D46" s="54">
        <f t="shared" ref="D46:J46" si="28">D21/D6</f>
        <v>2.4303999999999997</v>
      </c>
      <c r="E46" s="54">
        <f t="shared" si="28"/>
        <v>2.4303999999999997</v>
      </c>
      <c r="F46" s="54">
        <f t="shared" si="28"/>
        <v>2.4303999999999997</v>
      </c>
      <c r="G46" s="54">
        <f t="shared" si="28"/>
        <v>2.4303999999999997</v>
      </c>
      <c r="H46" s="54">
        <f t="shared" si="28"/>
        <v>2.4303999999999997</v>
      </c>
      <c r="I46" s="54">
        <f t="shared" si="28"/>
        <v>2.4303999999999997</v>
      </c>
      <c r="J46" s="54">
        <f t="shared" si="28"/>
        <v>2.4303999999999997</v>
      </c>
      <c r="K46" s="54"/>
      <c r="AI46" s="49" t="s">
        <v>27</v>
      </c>
      <c r="AJ46" s="49" t="s">
        <v>86</v>
      </c>
    </row>
    <row r="47" spans="1:36" s="36" customFormat="1">
      <c r="A47" s="51">
        <v>5</v>
      </c>
      <c r="B47" s="49" t="s">
        <v>86</v>
      </c>
      <c r="C47" s="47">
        <f>标准成本!D11</f>
        <v>39.657191999999995</v>
      </c>
      <c r="D47" s="47">
        <f>标准成本!D25</f>
        <v>46.063379999999995</v>
      </c>
      <c r="E47" s="47">
        <f>标准成本!D39</f>
        <v>62.936814000000005</v>
      </c>
      <c r="F47" s="47">
        <f>标准成本!D52</f>
        <v>61.866701999999997</v>
      </c>
      <c r="G47" s="47">
        <f>标准成本!D65</f>
        <v>40.040591999999997</v>
      </c>
      <c r="H47" s="47">
        <f>标准成本!D78</f>
        <v>1.8300959999999999</v>
      </c>
      <c r="I47" s="47">
        <f>标准成本!D91</f>
        <v>14.274620999999998</v>
      </c>
      <c r="J47" s="47">
        <f>标准成本!D104</f>
        <v>1.631154</v>
      </c>
      <c r="K47" s="54"/>
      <c r="AI47" s="49" t="s">
        <v>27</v>
      </c>
      <c r="AJ47" s="49" t="s">
        <v>86</v>
      </c>
    </row>
    <row r="48" spans="1:36">
      <c r="A48" s="41" t="s">
        <v>79</v>
      </c>
      <c r="B48" s="44" t="s">
        <v>97</v>
      </c>
      <c r="C48" s="48">
        <f>C40-C43-C44-C45-C47-C46</f>
        <v>9.8664721953529462</v>
      </c>
      <c r="D48" s="48">
        <f t="shared" ref="D48:J48" si="29">D40-D43-D44-D45-D47-D46</f>
        <v>-115.46330661977315</v>
      </c>
      <c r="E48" s="48">
        <f t="shared" si="29"/>
        <v>-106.52928417218264</v>
      </c>
      <c r="F48" s="48">
        <f t="shared" si="29"/>
        <v>75.527562487187268</v>
      </c>
      <c r="G48" s="48">
        <f t="shared" si="29"/>
        <v>25.06357586528911</v>
      </c>
      <c r="H48" s="48">
        <f t="shared" si="29"/>
        <v>16.23864329696185</v>
      </c>
      <c r="I48" s="48">
        <f t="shared" si="29"/>
        <v>-60.9719563701913</v>
      </c>
      <c r="J48" s="48">
        <f t="shared" si="29"/>
        <v>12.889143846048874</v>
      </c>
      <c r="K48" s="48"/>
      <c r="AI48" s="41" t="s">
        <v>96</v>
      </c>
      <c r="AJ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4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42" t="s">
        <v>137</v>
      </c>
      <c r="B1" s="242"/>
      <c r="C1" s="246" t="s">
        <v>239</v>
      </c>
      <c r="D1" s="247"/>
      <c r="E1" s="247"/>
      <c r="F1" s="247"/>
      <c r="G1" s="247"/>
      <c r="H1" s="247"/>
      <c r="I1" s="247"/>
      <c r="J1" s="247"/>
      <c r="K1" s="248"/>
    </row>
    <row r="2" spans="1:40">
      <c r="A2" s="242" t="s">
        <v>138</v>
      </c>
      <c r="B2" s="242"/>
      <c r="C2" s="249" t="str">
        <f>'2023年'!C2:K2</f>
        <v>福田戴姆勒</v>
      </c>
      <c r="D2" s="249"/>
      <c r="E2" s="249"/>
      <c r="F2" s="249"/>
      <c r="G2" s="249"/>
      <c r="H2" s="249"/>
      <c r="I2" s="249"/>
      <c r="J2" s="249"/>
      <c r="K2" s="249"/>
    </row>
    <row r="3" spans="1:40">
      <c r="A3" s="242" t="s">
        <v>139</v>
      </c>
      <c r="B3" s="242"/>
      <c r="C3" s="148" t="str">
        <f>'2023年'!C3</f>
        <v>驾驶员座椅总成</v>
      </c>
      <c r="D3" s="148" t="str">
        <f>'2023年'!D3</f>
        <v>驾驶员座椅总成</v>
      </c>
      <c r="E3" s="148" t="str">
        <f>'2023年'!E3</f>
        <v>驾驶员座椅总成</v>
      </c>
      <c r="F3" s="148" t="str">
        <f>'2023年'!F3</f>
        <v>驾驶员座椅总成</v>
      </c>
      <c r="G3" s="148" t="str">
        <f>'2023年'!G3</f>
        <v>副驾驶座椅总成</v>
      </c>
      <c r="H3" s="148" t="str">
        <f>'2023年'!H3</f>
        <v>驾驶员底支架</v>
      </c>
      <c r="I3" s="148" t="str">
        <f>'2023年'!I3</f>
        <v>副驾驶功能座椅</v>
      </c>
      <c r="J3" s="148" t="str">
        <f>'2023年'!J3</f>
        <v>副驾驶员底支架</v>
      </c>
      <c r="K3" s="243" t="s">
        <v>15</v>
      </c>
    </row>
    <row r="4" spans="1:40">
      <c r="A4" s="242" t="s">
        <v>140</v>
      </c>
      <c r="B4" s="242"/>
      <c r="C4" s="148" t="str">
        <f>'2023年'!C4</f>
        <v>SHT0011947</v>
      </c>
      <c r="D4" s="148" t="str">
        <f>'2023年'!D4</f>
        <v>SHT0011948</v>
      </c>
      <c r="E4" s="148" t="str">
        <f>'2023年'!E4</f>
        <v>SHT0011950</v>
      </c>
      <c r="F4" s="148" t="str">
        <f>'2023年'!F4</f>
        <v>SHT0011949</v>
      </c>
      <c r="G4" s="148" t="str">
        <f>'2023年'!G4</f>
        <v>SHT0011951</v>
      </c>
      <c r="H4" s="148" t="str">
        <f>'2023年'!H4</f>
        <v>SHT0010844</v>
      </c>
      <c r="I4" s="148" t="str">
        <f>'2023年'!I4</f>
        <v>SHT0011952</v>
      </c>
      <c r="J4" s="148" t="str">
        <f>'2023年'!J4</f>
        <v>SHT0011878</v>
      </c>
      <c r="K4" s="244"/>
    </row>
    <row r="5" spans="1:40">
      <c r="A5" s="242" t="s">
        <v>141</v>
      </c>
      <c r="B5" s="242"/>
      <c r="C5" s="40"/>
      <c r="D5" s="40"/>
      <c r="E5" s="40"/>
      <c r="F5" s="40"/>
      <c r="G5" s="40"/>
      <c r="H5" s="40"/>
      <c r="I5" s="40"/>
      <c r="J5" s="40"/>
      <c r="K5" s="245"/>
      <c r="AN5" s="37" t="s">
        <v>16</v>
      </c>
    </row>
    <row r="6" spans="1:40" ht="17.25">
      <c r="A6" s="41" t="s">
        <v>14</v>
      </c>
      <c r="B6" s="42" t="s">
        <v>142</v>
      </c>
      <c r="C6" s="13">
        <f>销量!C10</f>
        <v>35000</v>
      </c>
      <c r="D6" s="13">
        <f>销量!D10</f>
        <v>5000</v>
      </c>
      <c r="E6" s="13">
        <f>销量!E10</f>
        <v>5000</v>
      </c>
      <c r="F6" s="13">
        <f>销量!F10</f>
        <v>5000</v>
      </c>
      <c r="G6" s="13">
        <f>销量!G10</f>
        <v>5000</v>
      </c>
      <c r="H6" s="13">
        <f>销量!H10</f>
        <v>55000</v>
      </c>
      <c r="I6" s="13">
        <f>销量!I10</f>
        <v>45000</v>
      </c>
      <c r="J6" s="13">
        <f>销量!J10</f>
        <v>45000</v>
      </c>
      <c r="K6" s="43">
        <f t="shared" ref="K6:K15" si="0">SUM(C6:J6)</f>
        <v>200000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65164400</v>
      </c>
      <c r="D7" s="43">
        <f>D6*销量!D8</f>
        <v>10813000</v>
      </c>
      <c r="E7" s="43">
        <f>E6*销量!E8</f>
        <v>14773900.000000002</v>
      </c>
      <c r="F7" s="43">
        <f>F6*销量!F8</f>
        <v>14522700</v>
      </c>
      <c r="G7" s="43">
        <f>G6*销量!G8</f>
        <v>9399200</v>
      </c>
      <c r="H7" s="43">
        <f>H6*销量!H8</f>
        <v>4725600</v>
      </c>
      <c r="I7" s="43">
        <f>I6*销量!I8</f>
        <v>30157650</v>
      </c>
      <c r="J7" s="43">
        <f>J6*销量!J8</f>
        <v>3446100</v>
      </c>
      <c r="K7" s="43">
        <f>SUM(C7:J7)</f>
        <v>153002550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>
        <f>C7*(1-销量!$O$7)</f>
        <v>651644.00000000058</v>
      </c>
      <c r="D8" s="43">
        <f>D7*(1-销量!$O$7)</f>
        <v>108130.0000000001</v>
      </c>
      <c r="E8" s="43">
        <f>E7*(1-销量!$O$7)</f>
        <v>147739.00000000015</v>
      </c>
      <c r="F8" s="43">
        <f>F7*(1-销量!$O$7)</f>
        <v>145227.00000000012</v>
      </c>
      <c r="G8" s="43">
        <f>G7*(1-销量!$O$7)</f>
        <v>93992.000000000087</v>
      </c>
      <c r="H8" s="43">
        <f>H7*(1-销量!$O$7)</f>
        <v>47256.000000000044</v>
      </c>
      <c r="I8" s="43">
        <f>I7*(1-销量!$O$7)</f>
        <v>301576.50000000029</v>
      </c>
      <c r="J8" s="43">
        <f>J7*(1-销量!$O$7)</f>
        <v>34461.000000000029</v>
      </c>
      <c r="K8" s="43">
        <f t="shared" si="0"/>
        <v>1530025.5000000012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64512756</v>
      </c>
      <c r="D9" s="43">
        <f t="shared" ref="D9:J9" si="1">+D7-D8</f>
        <v>10704870</v>
      </c>
      <c r="E9" s="43">
        <f t="shared" si="1"/>
        <v>14626161.000000002</v>
      </c>
      <c r="F9" s="43">
        <f t="shared" si="1"/>
        <v>14377473</v>
      </c>
      <c r="G9" s="43">
        <f t="shared" si="1"/>
        <v>9305208</v>
      </c>
      <c r="H9" s="43">
        <f t="shared" si="1"/>
        <v>4678344</v>
      </c>
      <c r="I9" s="43">
        <f t="shared" si="1"/>
        <v>29856073.5</v>
      </c>
      <c r="J9" s="43">
        <f t="shared" si="1"/>
        <v>3411639</v>
      </c>
      <c r="K9" s="43">
        <f t="shared" si="0"/>
        <v>151472524.5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51121394.599264823</v>
      </c>
      <c r="D10" s="43">
        <f t="shared" ref="D10:J10" si="2">D6*D33</f>
        <v>9113000.9033235461</v>
      </c>
      <c r="E10" s="43">
        <f t="shared" si="2"/>
        <v>12201997.753080485</v>
      </c>
      <c r="F10" s="43">
        <f t="shared" si="2"/>
        <v>11102107.753080482</v>
      </c>
      <c r="G10" s="43">
        <f t="shared" si="2"/>
        <v>7299024.0792292207</v>
      </c>
      <c r="H10" s="43">
        <f t="shared" si="2"/>
        <v>2721597.1962268325</v>
      </c>
      <c r="I10" s="43">
        <f t="shared" si="2"/>
        <v>26463857.08190586</v>
      </c>
      <c r="J10" s="43">
        <f t="shared" si="2"/>
        <v>2043508.4999999998</v>
      </c>
      <c r="K10" s="43">
        <f t="shared" si="0"/>
        <v>122066487.86611125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3788697.322884615</v>
      </c>
      <c r="D11" s="43">
        <f t="shared" ref="D11:J11" si="3">+D6*D36</f>
        <v>628674.30916806322</v>
      </c>
      <c r="E11" s="43">
        <f t="shared" si="3"/>
        <v>858963.41220919741</v>
      </c>
      <c r="F11" s="43">
        <f t="shared" si="3"/>
        <v>844358.49345741526</v>
      </c>
      <c r="G11" s="43">
        <f t="shared" si="3"/>
        <v>546475.1287091889</v>
      </c>
      <c r="H11" s="43">
        <f t="shared" si="3"/>
        <v>274749.21995788399</v>
      </c>
      <c r="I11" s="43">
        <f t="shared" si="3"/>
        <v>1753383.8694055527</v>
      </c>
      <c r="J11" s="43">
        <f t="shared" si="3"/>
        <v>200358.32209600139</v>
      </c>
      <c r="K11" s="43">
        <f t="shared" si="0"/>
        <v>8895660.0778879188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1177413.6358011216</v>
      </c>
      <c r="D12" s="43">
        <f t="shared" ref="D12:J12" si="4">+D6*D37</f>
        <v>195373.14306458019</v>
      </c>
      <c r="E12" s="43">
        <f t="shared" si="4"/>
        <v>266940.09787494695</v>
      </c>
      <c r="F12" s="43">
        <f t="shared" si="4"/>
        <v>262401.3266238767</v>
      </c>
      <c r="G12" s="43">
        <f t="shared" si="4"/>
        <v>169828.1000917971</v>
      </c>
      <c r="H12" s="43">
        <f t="shared" si="4"/>
        <v>85383.827325069826</v>
      </c>
      <c r="I12" s="43">
        <f t="shared" si="4"/>
        <v>544899.18319999415</v>
      </c>
      <c r="J12" s="43">
        <f t="shared" si="4"/>
        <v>62265.364682775347</v>
      </c>
      <c r="K12" s="43">
        <f t="shared" si="0"/>
        <v>2764504.6786641623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651644</v>
      </c>
      <c r="D13" s="43">
        <f t="shared" ref="D13:J13" si="5">+D6*D38</f>
        <v>108130</v>
      </c>
      <c r="E13" s="43">
        <f t="shared" si="5"/>
        <v>147739</v>
      </c>
      <c r="F13" s="43">
        <f t="shared" si="5"/>
        <v>145227</v>
      </c>
      <c r="G13" s="43">
        <f t="shared" si="5"/>
        <v>93992</v>
      </c>
      <c r="H13" s="43">
        <f t="shared" si="5"/>
        <v>47256.000000000007</v>
      </c>
      <c r="I13" s="43">
        <f t="shared" si="5"/>
        <v>301576.5</v>
      </c>
      <c r="J13" s="43">
        <f t="shared" si="5"/>
        <v>34461</v>
      </c>
      <c r="K13" s="43">
        <f t="shared" si="0"/>
        <v>1530025.5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5617754.9586857371</v>
      </c>
      <c r="D14" s="43">
        <f t="shared" ref="D14:J14" si="6">SUM(D11:D13)</f>
        <v>932177.45223264338</v>
      </c>
      <c r="E14" s="43">
        <f t="shared" si="6"/>
        <v>1273642.5100841443</v>
      </c>
      <c r="F14" s="43">
        <f t="shared" si="6"/>
        <v>1251986.820081292</v>
      </c>
      <c r="G14" s="43">
        <f t="shared" si="6"/>
        <v>810295.22880098596</v>
      </c>
      <c r="H14" s="43">
        <f t="shared" si="6"/>
        <v>407389.0472829538</v>
      </c>
      <c r="I14" s="43">
        <f t="shared" si="6"/>
        <v>2599859.552605547</v>
      </c>
      <c r="J14" s="43">
        <f t="shared" si="6"/>
        <v>297084.68677877676</v>
      </c>
      <c r="K14" s="43">
        <f t="shared" si="0"/>
        <v>13190190.25655208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7773606.44204944</v>
      </c>
      <c r="D15" s="43">
        <f t="shared" ref="D15:J15" si="7">+D9-D10-D14</f>
        <v>659691.64444381057</v>
      </c>
      <c r="E15" s="43">
        <f t="shared" si="7"/>
        <v>1150520.7368353722</v>
      </c>
      <c r="F15" s="43">
        <f t="shared" si="7"/>
        <v>2023378.4268382264</v>
      </c>
      <c r="G15" s="43">
        <f t="shared" si="7"/>
        <v>1195888.6919697933</v>
      </c>
      <c r="H15" s="43">
        <f t="shared" si="7"/>
        <v>1549357.7564902138</v>
      </c>
      <c r="I15" s="43">
        <f t="shared" si="7"/>
        <v>792356.86548859254</v>
      </c>
      <c r="J15" s="43">
        <f t="shared" si="7"/>
        <v>1071045.8132212234</v>
      </c>
      <c r="K15" s="43">
        <f t="shared" si="0"/>
        <v>16215846.377336672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>
        <f>+C15/C9</f>
        <v>0.12049719968636033</v>
      </c>
      <c r="D16" s="45">
        <f t="shared" ref="D16:J16" si="8">+D15/D9</f>
        <v>6.1625376528982659E-2</v>
      </c>
      <c r="E16" s="45">
        <f t="shared" si="8"/>
        <v>7.8661840030023744E-2</v>
      </c>
      <c r="F16" s="45">
        <f t="shared" si="8"/>
        <v>0.14073254923436312</v>
      </c>
      <c r="G16" s="45">
        <f t="shared" si="8"/>
        <v>0.12851821173366498</v>
      </c>
      <c r="H16" s="45">
        <f t="shared" si="8"/>
        <v>0.33117653522062801</v>
      </c>
      <c r="I16" s="45">
        <f t="shared" si="8"/>
        <v>2.6539218745177343E-2</v>
      </c>
      <c r="J16" s="45">
        <f t="shared" si="8"/>
        <v>0.31393878813708703</v>
      </c>
      <c r="K16" s="45">
        <f t="shared" ref="K16" si="9">+K15/K9</f>
        <v>0.10705470467904343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>
        <f>C6*C43+C18</f>
        <v>2935556.75</v>
      </c>
      <c r="D17" s="43">
        <f t="shared" ref="D17:J17" si="10">D6*D43+D18</f>
        <v>487036.24999999994</v>
      </c>
      <c r="E17" s="43">
        <f t="shared" si="10"/>
        <v>665276.75</v>
      </c>
      <c r="F17" s="43">
        <f t="shared" si="10"/>
        <v>653972.75</v>
      </c>
      <c r="G17" s="43">
        <f t="shared" si="10"/>
        <v>423415.25</v>
      </c>
      <c r="H17" s="43">
        <f t="shared" si="10"/>
        <v>217615.75</v>
      </c>
      <c r="I17" s="43">
        <f t="shared" si="10"/>
        <v>1361155.4999999998</v>
      </c>
      <c r="J17" s="43">
        <f t="shared" si="10"/>
        <v>159135.75</v>
      </c>
      <c r="K17" s="43">
        <f>SUM(C17:J17)</f>
        <v>6903164.75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>
        <f>$K$18/$K$6*C6</f>
        <v>3158.75</v>
      </c>
      <c r="D18" s="47">
        <f t="shared" ref="D18:J18" si="11">$K$18/$K$6*D6</f>
        <v>451.25</v>
      </c>
      <c r="E18" s="47">
        <f t="shared" si="11"/>
        <v>451.25</v>
      </c>
      <c r="F18" s="47">
        <f t="shared" si="11"/>
        <v>451.25</v>
      </c>
      <c r="G18" s="47">
        <f t="shared" si="11"/>
        <v>451.25</v>
      </c>
      <c r="H18" s="47">
        <f t="shared" si="11"/>
        <v>4963.75</v>
      </c>
      <c r="I18" s="47">
        <f t="shared" si="11"/>
        <v>4061.25</v>
      </c>
      <c r="J18" s="47">
        <f t="shared" si="11"/>
        <v>4061.25</v>
      </c>
      <c r="K18" s="47">
        <f>项目投资!D26</f>
        <v>18050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514798.76</v>
      </c>
      <c r="D19" s="43">
        <f t="shared" ref="D19:J19" si="12">D6*D44</f>
        <v>85422.7</v>
      </c>
      <c r="E19" s="43">
        <f t="shared" si="12"/>
        <v>116713.81000000003</v>
      </c>
      <c r="F19" s="43">
        <f t="shared" si="12"/>
        <v>114729.33000000002</v>
      </c>
      <c r="G19" s="43">
        <f t="shared" si="12"/>
        <v>74253.680000000008</v>
      </c>
      <c r="H19" s="43">
        <f t="shared" si="12"/>
        <v>37332.240000000005</v>
      </c>
      <c r="I19" s="43">
        <f t="shared" si="12"/>
        <v>238245.43500000003</v>
      </c>
      <c r="J19" s="43">
        <f t="shared" si="12"/>
        <v>27224.190000000002</v>
      </c>
      <c r="K19" s="43">
        <f>SUM(C19:J19)</f>
        <v>1208720.145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2643283.7119871881</v>
      </c>
      <c r="D20" s="43">
        <f t="shared" ref="D20:J20" si="13">D6*D45</f>
        <v>438611.06336768949</v>
      </c>
      <c r="E20" s="43">
        <f t="shared" si="13"/>
        <v>599278.27513991564</v>
      </c>
      <c r="F20" s="43">
        <f t="shared" si="13"/>
        <v>589088.77184592106</v>
      </c>
      <c r="G20" s="43">
        <f t="shared" si="13"/>
        <v>381262.65669153677</v>
      </c>
      <c r="H20" s="43">
        <f t="shared" si="13"/>
        <v>191685.97438734426</v>
      </c>
      <c r="I20" s="43">
        <f t="shared" si="13"/>
        <v>1223294.0844511793</v>
      </c>
      <c r="J20" s="43">
        <f t="shared" si="13"/>
        <v>139785.22014902384</v>
      </c>
      <c r="K20" s="43">
        <f>SUM(C20:J20)</f>
        <v>6206289.7580197984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>
        <f>$K$21/$K$6*C6</f>
        <v>8506.3999999999978</v>
      </c>
      <c r="D21" s="48">
        <f t="shared" ref="D21:J21" si="14">$K$21/$K$6*D6</f>
        <v>1215.1999999999998</v>
      </c>
      <c r="E21" s="48">
        <f t="shared" si="14"/>
        <v>1215.1999999999998</v>
      </c>
      <c r="F21" s="48">
        <f t="shared" si="14"/>
        <v>1215.1999999999998</v>
      </c>
      <c r="G21" s="48">
        <f t="shared" si="14"/>
        <v>1215.1999999999998</v>
      </c>
      <c r="H21" s="48">
        <f t="shared" si="14"/>
        <v>13367.199999999997</v>
      </c>
      <c r="I21" s="48">
        <f t="shared" si="14"/>
        <v>10936.799999999997</v>
      </c>
      <c r="J21" s="48">
        <f t="shared" si="14"/>
        <v>10936.799999999997</v>
      </c>
      <c r="K21" s="43">
        <f>项目投资!D27</f>
        <v>48607.999999999993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1388001.7199999997</v>
      </c>
      <c r="D22" s="43">
        <f t="shared" ref="D22:J22" si="15">D6*D47</f>
        <v>230316.89999999997</v>
      </c>
      <c r="E22" s="43">
        <f t="shared" si="15"/>
        <v>314684.07</v>
      </c>
      <c r="F22" s="43">
        <f t="shared" si="15"/>
        <v>309333.51</v>
      </c>
      <c r="G22" s="43">
        <f t="shared" si="15"/>
        <v>200202.96</v>
      </c>
      <c r="H22" s="43">
        <f t="shared" si="15"/>
        <v>100655.28</v>
      </c>
      <c r="I22" s="43">
        <f t="shared" si="15"/>
        <v>642357.94499999995</v>
      </c>
      <c r="J22" s="43">
        <f t="shared" si="15"/>
        <v>73401.929999999993</v>
      </c>
      <c r="K22" s="43">
        <f>SUM(C22:J22)</f>
        <v>3258954.3149999995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>
        <f>+C22+C21+C20+C19+C17</f>
        <v>7490147.341987188</v>
      </c>
      <c r="D23" s="48">
        <f t="shared" ref="D23:J23" si="16">+D22+D21+D20+D19+D17</f>
        <v>1242602.1133676893</v>
      </c>
      <c r="E23" s="48">
        <f t="shared" si="16"/>
        <v>1697168.1051399158</v>
      </c>
      <c r="F23" s="48">
        <f t="shared" si="16"/>
        <v>1668339.5618459212</v>
      </c>
      <c r="G23" s="48">
        <f t="shared" si="16"/>
        <v>1080349.7466915369</v>
      </c>
      <c r="H23" s="48">
        <f t="shared" si="16"/>
        <v>560656.44438734418</v>
      </c>
      <c r="I23" s="48">
        <f t="shared" si="16"/>
        <v>3475989.7644511787</v>
      </c>
      <c r="J23" s="48">
        <f t="shared" si="16"/>
        <v>410483.89014902385</v>
      </c>
      <c r="K23" s="48">
        <f t="shared" ref="K23" si="17">+K22+K21+K20+K19+K17</f>
        <v>17625736.968019798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>
        <f>+C15-C23</f>
        <v>283459.10006225202</v>
      </c>
      <c r="D24" s="48">
        <f t="shared" ref="D24:J24" si="18">+D15-D23</f>
        <v>-582910.46892387874</v>
      </c>
      <c r="E24" s="48">
        <f t="shared" si="18"/>
        <v>-546647.36830454366</v>
      </c>
      <c r="F24" s="48">
        <f t="shared" si="18"/>
        <v>355038.86499230517</v>
      </c>
      <c r="G24" s="48">
        <f t="shared" si="18"/>
        <v>115538.94527825643</v>
      </c>
      <c r="H24" s="48">
        <f t="shared" si="18"/>
        <v>988701.31210286962</v>
      </c>
      <c r="I24" s="48">
        <f t="shared" si="18"/>
        <v>-2683632.8989625862</v>
      </c>
      <c r="J24" s="48">
        <f t="shared" si="18"/>
        <v>660561.92307219957</v>
      </c>
      <c r="K24" s="48">
        <f t="shared" ref="K24" si="19">+K15-K23</f>
        <v>-1409890.5906831268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233</v>
      </c>
      <c r="C25" s="48">
        <f>IF(C24&lt;0,0,C24*0.15)</f>
        <v>42518.865009337802</v>
      </c>
      <c r="D25" s="48">
        <f t="shared" ref="D25:J25" si="20">IF(D24&lt;0,0,D24*0.15)</f>
        <v>0</v>
      </c>
      <c r="E25" s="48">
        <f t="shared" si="20"/>
        <v>0</v>
      </c>
      <c r="F25" s="48">
        <f t="shared" si="20"/>
        <v>53255.829748845776</v>
      </c>
      <c r="G25" s="48">
        <f t="shared" si="20"/>
        <v>17330.841791738465</v>
      </c>
      <c r="H25" s="48">
        <f t="shared" si="20"/>
        <v>148305.19681543045</v>
      </c>
      <c r="I25" s="48">
        <f t="shared" si="20"/>
        <v>0</v>
      </c>
      <c r="J25" s="48">
        <f t="shared" si="20"/>
        <v>99084.288460829936</v>
      </c>
      <c r="K25" s="48">
        <f>IF(K24&lt;0,0,K24*0.15)</f>
        <v>0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>
        <f t="shared" ref="C26" si="21">C24-C25</f>
        <v>240940.23505291421</v>
      </c>
      <c r="D26" s="48">
        <f t="shared" ref="D26:J26" si="22">D24-D25</f>
        <v>-582910.46892387874</v>
      </c>
      <c r="E26" s="48">
        <f t="shared" si="22"/>
        <v>-546647.36830454366</v>
      </c>
      <c r="F26" s="48">
        <f t="shared" si="22"/>
        <v>301783.0352434594</v>
      </c>
      <c r="G26" s="48">
        <f t="shared" si="22"/>
        <v>98208.103486517968</v>
      </c>
      <c r="H26" s="48">
        <f t="shared" si="22"/>
        <v>840396.1152874392</v>
      </c>
      <c r="I26" s="48">
        <f t="shared" si="22"/>
        <v>-2683632.8989625862</v>
      </c>
      <c r="J26" s="48">
        <f t="shared" si="22"/>
        <v>561477.63461136958</v>
      </c>
      <c r="K26" s="43">
        <f>K24-K25</f>
        <v>-1409890.5906831268</v>
      </c>
      <c r="L26" s="56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>
        <f t="shared" ref="C27:K27" si="23">C26/C7</f>
        <v>3.6974212154629554E-3</v>
      </c>
      <c r="D27" s="50">
        <f t="shared" ref="D27:J27" si="24">D26/D7</f>
        <v>-5.3908301944315062E-2</v>
      </c>
      <c r="E27" s="50">
        <f t="shared" si="24"/>
        <v>-3.7000884553472245E-2</v>
      </c>
      <c r="F27" s="50">
        <f t="shared" si="24"/>
        <v>2.0780091528673002E-2</v>
      </c>
      <c r="G27" s="50">
        <f t="shared" si="24"/>
        <v>1.0448559822805981E-2</v>
      </c>
      <c r="H27" s="50">
        <f t="shared" si="24"/>
        <v>0.17783902896720824</v>
      </c>
      <c r="I27" s="50">
        <f t="shared" si="24"/>
        <v>-8.8986804308776923E-2</v>
      </c>
      <c r="J27" s="50">
        <f t="shared" si="24"/>
        <v>0.16293132370255348</v>
      </c>
      <c r="K27" s="50">
        <f t="shared" si="23"/>
        <v>-9.2148176006421247E-3</v>
      </c>
      <c r="L27" s="56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1861.84</v>
      </c>
      <c r="D31" s="52">
        <f>'2023年'!D31</f>
        <v>2162.6</v>
      </c>
      <c r="E31" s="52">
        <f>'2023年'!E31</f>
        <v>2954.78</v>
      </c>
      <c r="F31" s="52">
        <f>'2023年'!F31</f>
        <v>2904.54</v>
      </c>
      <c r="G31" s="52">
        <f>'2023年'!G31</f>
        <v>1879.84</v>
      </c>
      <c r="H31" s="52">
        <f>'2023年'!H31</f>
        <v>85.92</v>
      </c>
      <c r="I31" s="52">
        <f>'2023年'!I31</f>
        <v>670.17</v>
      </c>
      <c r="J31" s="52">
        <f>'2023年'!J31</f>
        <v>76.58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>
        <f>C9/C6</f>
        <v>1843.2216000000001</v>
      </c>
      <c r="D32" s="43">
        <f t="shared" ref="D32:J32" si="25">D9/D6</f>
        <v>2140.9740000000002</v>
      </c>
      <c r="E32" s="43">
        <f t="shared" si="25"/>
        <v>2925.2322000000004</v>
      </c>
      <c r="F32" s="43">
        <f t="shared" si="25"/>
        <v>2875.4946</v>
      </c>
      <c r="G32" s="43">
        <f t="shared" si="25"/>
        <v>1861.0416</v>
      </c>
      <c r="H32" s="43">
        <f t="shared" si="25"/>
        <v>85.0608</v>
      </c>
      <c r="I32" s="43">
        <f t="shared" si="25"/>
        <v>663.4683</v>
      </c>
      <c r="J32" s="43">
        <f t="shared" si="25"/>
        <v>75.8142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157">
        <f>'2023年'!C33*(1-0.01)</f>
        <v>1460.6112742647092</v>
      </c>
      <c r="D33" s="157">
        <f>'2023年'!D33*(1-0.01)</f>
        <v>1822.6001806647093</v>
      </c>
      <c r="E33" s="157">
        <f>'2023年'!E33*(1-0.01)</f>
        <v>2440.3995506160973</v>
      </c>
      <c r="F33" s="157">
        <f>'2023年'!F33*(1-0.01)</f>
        <v>2220.4215506160963</v>
      </c>
      <c r="G33" s="157">
        <f>'2023年'!G33*(1-0.01)</f>
        <v>1459.8048158458441</v>
      </c>
      <c r="H33" s="157">
        <f>'2023年'!H33*(1-0.01)</f>
        <v>49.483585385942405</v>
      </c>
      <c r="I33" s="157">
        <f>'2023年'!I33*(1-0.01)</f>
        <v>588.08571293124135</v>
      </c>
      <c r="J33" s="157">
        <f>'2023年'!J33*(1-0.01)</f>
        <v>45.411299999999997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>
        <f>C32-C33</f>
        <v>382.61032573529087</v>
      </c>
      <c r="D34" s="53">
        <f t="shared" ref="D34:J34" si="26">D32-D33</f>
        <v>318.37381933529082</v>
      </c>
      <c r="E34" s="53">
        <f t="shared" si="26"/>
        <v>484.83264938390312</v>
      </c>
      <c r="F34" s="53">
        <f t="shared" si="26"/>
        <v>655.07304938390371</v>
      </c>
      <c r="G34" s="53">
        <f t="shared" si="26"/>
        <v>401.23678415415588</v>
      </c>
      <c r="H34" s="53">
        <f t="shared" si="26"/>
        <v>35.577214614057596</v>
      </c>
      <c r="I34" s="53">
        <f t="shared" si="26"/>
        <v>75.382587068758653</v>
      </c>
      <c r="J34" s="53">
        <f t="shared" si="26"/>
        <v>30.402900000000002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108.24849493956043</v>
      </c>
      <c r="D36" s="47">
        <f>'2023年'!D36</f>
        <v>125.73486183361265</v>
      </c>
      <c r="E36" s="47">
        <f>'2023年'!E36</f>
        <v>171.79268244183947</v>
      </c>
      <c r="F36" s="47">
        <f>'2023年'!F36</f>
        <v>168.87169869148306</v>
      </c>
      <c r="G36" s="47">
        <f>'2023年'!G36</f>
        <v>109.29502574183779</v>
      </c>
      <c r="H36" s="47">
        <f>'2023年'!H36</f>
        <v>4.9954403628706183</v>
      </c>
      <c r="I36" s="47">
        <f>'2023年'!I36</f>
        <v>38.96408598679006</v>
      </c>
      <c r="J36" s="47">
        <f>'2023年'!J36</f>
        <v>4.4524071576889197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33.64038959431776</v>
      </c>
      <c r="D37" s="47">
        <f>'2023年'!D37</f>
        <v>39.074628612916037</v>
      </c>
      <c r="E37" s="47">
        <f>'2023年'!E37</f>
        <v>53.388019574989393</v>
      </c>
      <c r="F37" s="47">
        <f>'2023年'!F37</f>
        <v>52.480265324775338</v>
      </c>
      <c r="G37" s="47">
        <f>'2023年'!G37</f>
        <v>33.965620018359417</v>
      </c>
      <c r="H37" s="47">
        <f>'2023年'!H37</f>
        <v>1.5524332240921788</v>
      </c>
      <c r="I37" s="47">
        <f>'2023年'!I37</f>
        <v>12.108870737777647</v>
      </c>
      <c r="J37" s="47">
        <f>'2023年'!J37</f>
        <v>1.383674770728341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18.618400000000001</v>
      </c>
      <c r="D38" s="47">
        <f>'2023年'!D38</f>
        <v>21.626000000000001</v>
      </c>
      <c r="E38" s="47">
        <f>'2023年'!E38</f>
        <v>29.547800000000002</v>
      </c>
      <c r="F38" s="47">
        <f>'2023年'!F38</f>
        <v>29.045400000000001</v>
      </c>
      <c r="G38" s="47">
        <f>'2023年'!G38</f>
        <v>18.798400000000001</v>
      </c>
      <c r="H38" s="47">
        <f>'2023年'!H38</f>
        <v>0.85920000000000007</v>
      </c>
      <c r="I38" s="47">
        <f>'2023年'!I38</f>
        <v>6.7016999999999998</v>
      </c>
      <c r="J38" s="47">
        <f>'2023年'!J38</f>
        <v>0.76580000000000004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>
        <f>C34-C36-C37-C38</f>
        <v>222.10304120141268</v>
      </c>
      <c r="D40" s="48">
        <f t="shared" ref="D40:J40" si="27">D34-D36-D37-D38</f>
        <v>131.93832888876213</v>
      </c>
      <c r="E40" s="48">
        <f t="shared" si="27"/>
        <v>230.10414736707423</v>
      </c>
      <c r="F40" s="48">
        <f t="shared" si="27"/>
        <v>404.67568536764531</v>
      </c>
      <c r="G40" s="48">
        <f t="shared" si="27"/>
        <v>239.17773839395869</v>
      </c>
      <c r="H40" s="48">
        <f t="shared" si="27"/>
        <v>28.170141027094797</v>
      </c>
      <c r="I40" s="48">
        <f t="shared" si="27"/>
        <v>17.607930344190947</v>
      </c>
      <c r="J40" s="48">
        <f t="shared" si="27"/>
        <v>23.801018071582742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83.782799999999995</v>
      </c>
      <c r="D43" s="47">
        <f>'2023年'!D43</f>
        <v>97.316999999999993</v>
      </c>
      <c r="E43" s="47">
        <f>'2023年'!E43</f>
        <v>132.96510000000001</v>
      </c>
      <c r="F43" s="47">
        <f>'2023年'!F43</f>
        <v>130.70429999999999</v>
      </c>
      <c r="G43" s="47">
        <f>'2023年'!G43</f>
        <v>84.592799999999997</v>
      </c>
      <c r="H43" s="47">
        <f>'2023年'!H43</f>
        <v>3.8664000000000001</v>
      </c>
      <c r="I43" s="47">
        <f>'2023年'!I43</f>
        <v>30.157649999999997</v>
      </c>
      <c r="J43" s="47">
        <f>'2023年'!J43</f>
        <v>3.4460999999999999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14.708536</v>
      </c>
      <c r="D44" s="47">
        <f>'2023年'!D44</f>
        <v>17.084540000000001</v>
      </c>
      <c r="E44" s="47">
        <f>'2023年'!E44</f>
        <v>23.342762000000004</v>
      </c>
      <c r="F44" s="47">
        <f>'2023年'!F44</f>
        <v>22.945866000000002</v>
      </c>
      <c r="G44" s="47">
        <f>'2023年'!G44</f>
        <v>14.850736000000001</v>
      </c>
      <c r="H44" s="47">
        <f>'2023年'!H44</f>
        <v>0.67876800000000004</v>
      </c>
      <c r="I44" s="47">
        <f>'2023年'!I44</f>
        <v>5.2943430000000005</v>
      </c>
      <c r="J44" s="47">
        <f>'2023年'!J44</f>
        <v>0.60498200000000002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75.522391771062516</v>
      </c>
      <c r="D45" s="47">
        <f>'2023年'!D45</f>
        <v>87.722212673537896</v>
      </c>
      <c r="E45" s="47">
        <f>'2023年'!E45</f>
        <v>119.85565502798313</v>
      </c>
      <c r="F45" s="47">
        <f>'2023年'!F45</f>
        <v>117.8177543691842</v>
      </c>
      <c r="G45" s="47">
        <f>'2023年'!G45</f>
        <v>76.25253133830735</v>
      </c>
      <c r="H45" s="47">
        <f>'2023年'!H45</f>
        <v>3.4851995343153503</v>
      </c>
      <c r="I45" s="47">
        <f>'2023年'!I45</f>
        <v>27.184312987803981</v>
      </c>
      <c r="J45" s="47">
        <f>'2023年'!J45</f>
        <v>3.1063382255338632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>
        <f>C21/C6</f>
        <v>0.24303999999999995</v>
      </c>
      <c r="D46" s="54">
        <f t="shared" ref="D46:J46" si="28">D21/D6</f>
        <v>0.24303999999999995</v>
      </c>
      <c r="E46" s="54">
        <f t="shared" si="28"/>
        <v>0.24303999999999995</v>
      </c>
      <c r="F46" s="54">
        <f t="shared" si="28"/>
        <v>0.24303999999999995</v>
      </c>
      <c r="G46" s="54">
        <f t="shared" si="28"/>
        <v>0.24303999999999995</v>
      </c>
      <c r="H46" s="54">
        <f t="shared" si="28"/>
        <v>0.24303999999999995</v>
      </c>
      <c r="I46" s="54">
        <f t="shared" si="28"/>
        <v>0.24303999999999995</v>
      </c>
      <c r="J46" s="54">
        <f t="shared" si="28"/>
        <v>0.24303999999999995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39.657191999999995</v>
      </c>
      <c r="D47" s="54">
        <f>'2023年'!D47</f>
        <v>46.063379999999995</v>
      </c>
      <c r="E47" s="54">
        <f>'2023年'!E47</f>
        <v>62.936814000000005</v>
      </c>
      <c r="F47" s="54">
        <f>'2023年'!F47</f>
        <v>61.866701999999997</v>
      </c>
      <c r="G47" s="54">
        <f>'2023年'!G47</f>
        <v>40.040591999999997</v>
      </c>
      <c r="H47" s="54">
        <f>'2023年'!H47</f>
        <v>1.8300959999999999</v>
      </c>
      <c r="I47" s="54">
        <f>'2023年'!I47</f>
        <v>14.274620999999998</v>
      </c>
      <c r="J47" s="54">
        <f>'2023年'!J47</f>
        <v>1.631154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>
        <f>C40-C43-C44-C45-C47-C46</f>
        <v>8.1890814303501642</v>
      </c>
      <c r="D48" s="48">
        <f t="shared" ref="D48:J48" si="29">D40-D43-D44-D45-D47-D46</f>
        <v>-116.49184378477575</v>
      </c>
      <c r="E48" s="48">
        <f t="shared" si="29"/>
        <v>-109.23922366090891</v>
      </c>
      <c r="F48" s="48">
        <f t="shared" si="29"/>
        <v>71.098022998461133</v>
      </c>
      <c r="G48" s="48">
        <f t="shared" si="29"/>
        <v>23.198039055651321</v>
      </c>
      <c r="H48" s="48">
        <f t="shared" si="29"/>
        <v>18.066637492779446</v>
      </c>
      <c r="I48" s="48">
        <f t="shared" si="29"/>
        <v>-59.546036643613029</v>
      </c>
      <c r="J48" s="48">
        <f t="shared" si="29"/>
        <v>14.769403846048876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E24" sqref="E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19" width="9" style="37" customWidth="1"/>
    <col min="20" max="32" width="9" style="37"/>
    <col min="33" max="33" width="4.375" style="37" customWidth="1"/>
    <col min="34" max="34" width="13.875" style="37" customWidth="1"/>
    <col min="35" max="16384" width="9" style="37"/>
  </cols>
  <sheetData>
    <row r="1" spans="1:35">
      <c r="A1" s="242" t="s">
        <v>137</v>
      </c>
      <c r="B1" s="242"/>
      <c r="C1" s="246" t="s">
        <v>229</v>
      </c>
      <c r="D1" s="247"/>
      <c r="E1" s="247"/>
      <c r="F1" s="247"/>
      <c r="G1" s="247"/>
      <c r="H1" s="247"/>
      <c r="I1" s="247"/>
      <c r="J1" s="247"/>
      <c r="K1" s="248"/>
    </row>
    <row r="2" spans="1:35">
      <c r="A2" s="242" t="s">
        <v>138</v>
      </c>
      <c r="B2" s="242"/>
      <c r="C2" s="250" t="str">
        <f>'2023年'!C2:K2</f>
        <v>福田戴姆勒</v>
      </c>
      <c r="D2" s="251"/>
      <c r="E2" s="251"/>
      <c r="F2" s="251"/>
      <c r="G2" s="251"/>
      <c r="H2" s="251"/>
      <c r="I2" s="251"/>
      <c r="J2" s="251"/>
      <c r="K2" s="252"/>
    </row>
    <row r="3" spans="1:35">
      <c r="A3" s="242" t="s">
        <v>139</v>
      </c>
      <c r="B3" s="242"/>
      <c r="C3" s="148" t="str">
        <f>'2023年'!C3</f>
        <v>驾驶员座椅总成</v>
      </c>
      <c r="D3" s="148" t="str">
        <f>'2023年'!D3</f>
        <v>驾驶员座椅总成</v>
      </c>
      <c r="E3" s="148" t="str">
        <f>'2023年'!E3</f>
        <v>驾驶员座椅总成</v>
      </c>
      <c r="F3" s="148" t="str">
        <f>'2023年'!F3</f>
        <v>驾驶员座椅总成</v>
      </c>
      <c r="G3" s="148" t="str">
        <f>'2023年'!G3</f>
        <v>副驾驶座椅总成</v>
      </c>
      <c r="H3" s="148" t="str">
        <f>'2023年'!H3</f>
        <v>驾驶员底支架</v>
      </c>
      <c r="I3" s="148" t="str">
        <f>'2023年'!I3</f>
        <v>副驾驶功能座椅</v>
      </c>
      <c r="J3" s="148" t="str">
        <f>'2023年'!J3</f>
        <v>副驾驶员底支架</v>
      </c>
      <c r="K3" s="243" t="s">
        <v>15</v>
      </c>
    </row>
    <row r="4" spans="1:35" ht="16.5" customHeight="1">
      <c r="A4" s="242" t="s">
        <v>140</v>
      </c>
      <c r="B4" s="242"/>
      <c r="C4" s="148" t="str">
        <f>'2023年'!C4</f>
        <v>SHT0011947</v>
      </c>
      <c r="D4" s="148" t="str">
        <f>'2023年'!D4</f>
        <v>SHT0011948</v>
      </c>
      <c r="E4" s="148" t="str">
        <f>'2023年'!E4</f>
        <v>SHT0011950</v>
      </c>
      <c r="F4" s="148" t="str">
        <f>'2023年'!F4</f>
        <v>SHT0011949</v>
      </c>
      <c r="G4" s="148" t="str">
        <f>'2023年'!G4</f>
        <v>SHT0011951</v>
      </c>
      <c r="H4" s="148" t="str">
        <f>'2023年'!H4</f>
        <v>SHT0010844</v>
      </c>
      <c r="I4" s="148" t="str">
        <f>'2023年'!I4</f>
        <v>SHT0011952</v>
      </c>
      <c r="J4" s="148" t="str">
        <f>'2023年'!J4</f>
        <v>SHT0011878</v>
      </c>
      <c r="K4" s="244"/>
    </row>
    <row r="5" spans="1:35">
      <c r="A5" s="242" t="s">
        <v>141</v>
      </c>
      <c r="B5" s="242"/>
      <c r="C5" s="40"/>
      <c r="D5" s="40"/>
      <c r="E5" s="40"/>
      <c r="F5" s="40"/>
      <c r="G5" s="40"/>
      <c r="H5" s="40"/>
      <c r="I5" s="40"/>
      <c r="J5" s="40"/>
      <c r="K5" s="245"/>
      <c r="AI5" s="37" t="s">
        <v>16</v>
      </c>
    </row>
    <row r="6" spans="1:35" ht="17.25">
      <c r="A6" s="41" t="s">
        <v>14</v>
      </c>
      <c r="B6" s="42" t="s">
        <v>142</v>
      </c>
      <c r="C6" s="13">
        <f>销量!C11</f>
        <v>35000</v>
      </c>
      <c r="D6" s="13">
        <f>销量!D11</f>
        <v>5000</v>
      </c>
      <c r="E6" s="13">
        <f>销量!E11</f>
        <v>5000</v>
      </c>
      <c r="F6" s="13">
        <f>销量!F11</f>
        <v>5000</v>
      </c>
      <c r="G6" s="13">
        <f>销量!G11</f>
        <v>5000</v>
      </c>
      <c r="H6" s="13">
        <f>销量!H11</f>
        <v>55000</v>
      </c>
      <c r="I6" s="13">
        <f>销量!I11</f>
        <v>45000</v>
      </c>
      <c r="J6" s="13">
        <f>销量!J11</f>
        <v>45000</v>
      </c>
      <c r="K6" s="43">
        <f>SUM(C6:J6)</f>
        <v>200000</v>
      </c>
      <c r="AG6" s="41" t="s">
        <v>14</v>
      </c>
      <c r="AH6" s="42" t="s">
        <v>3</v>
      </c>
      <c r="AI6" s="37" t="s">
        <v>17</v>
      </c>
    </row>
    <row r="7" spans="1:35">
      <c r="A7" s="147">
        <v>1</v>
      </c>
      <c r="B7" s="42" t="s">
        <v>18</v>
      </c>
      <c r="C7" s="43">
        <f>C6*销量!C8</f>
        <v>65164400</v>
      </c>
      <c r="D7" s="43">
        <f>D6*销量!D8</f>
        <v>10813000</v>
      </c>
      <c r="E7" s="43">
        <f>E6*销量!E8</f>
        <v>14773900.000000002</v>
      </c>
      <c r="F7" s="43">
        <f>F6*销量!F8</f>
        <v>14522700</v>
      </c>
      <c r="G7" s="43">
        <f>G6*销量!G8</f>
        <v>9399200</v>
      </c>
      <c r="H7" s="43">
        <f>H6*销量!H8</f>
        <v>4725600</v>
      </c>
      <c r="I7" s="43">
        <f>I6*销量!I8</f>
        <v>30157650</v>
      </c>
      <c r="J7" s="43">
        <f>J6*销量!J8</f>
        <v>3446100</v>
      </c>
      <c r="K7" s="43">
        <f t="shared" ref="K7:K17" si="0">SUM(C7:J7)</f>
        <v>153002550</v>
      </c>
      <c r="L7" s="38"/>
      <c r="AG7" s="41" t="s">
        <v>19</v>
      </c>
      <c r="AH7" s="42" t="s">
        <v>18</v>
      </c>
      <c r="AI7" s="37" t="s">
        <v>17</v>
      </c>
    </row>
    <row r="8" spans="1:35">
      <c r="A8" s="147">
        <v>2</v>
      </c>
      <c r="B8" s="147" t="s">
        <v>20</v>
      </c>
      <c r="C8" s="43">
        <f>C7*(1-销量!$O$8)</f>
        <v>1296771.5599999947</v>
      </c>
      <c r="D8" s="43">
        <f>D7*(1-销量!$O$8)</f>
        <v>215178.69999999911</v>
      </c>
      <c r="E8" s="43">
        <f>E7*(1-销量!$O$8)</f>
        <v>294000.60999999882</v>
      </c>
      <c r="F8" s="43">
        <f>F7*(1-销量!$O$8)</f>
        <v>289001.72999999882</v>
      </c>
      <c r="G8" s="43">
        <f>G7*(1-销量!$O$8)</f>
        <v>187044.07999999923</v>
      </c>
      <c r="H8" s="43">
        <f>H7*(1-销量!$O$8)</f>
        <v>94039.439999999609</v>
      </c>
      <c r="I8" s="43">
        <f>I7*(1-销量!$O$8)</f>
        <v>600137.23499999754</v>
      </c>
      <c r="J8" s="43">
        <f>J7*(1-销量!$O$8)</f>
        <v>68577.389999999723</v>
      </c>
      <c r="K8" s="43">
        <f t="shared" si="0"/>
        <v>3044750.7449999875</v>
      </c>
      <c r="L8" s="58"/>
      <c r="AG8" s="41" t="s">
        <v>21</v>
      </c>
      <c r="AH8" s="147" t="s">
        <v>22</v>
      </c>
      <c r="AI8" s="37" t="s">
        <v>17</v>
      </c>
    </row>
    <row r="9" spans="1:35">
      <c r="A9" s="147">
        <v>3</v>
      </c>
      <c r="B9" s="42" t="s">
        <v>23</v>
      </c>
      <c r="C9" s="43">
        <f>+C7-C8</f>
        <v>63867628.440000005</v>
      </c>
      <c r="D9" s="43">
        <f t="shared" ref="D9:J9" si="1">+D7-D8</f>
        <v>10597821.300000001</v>
      </c>
      <c r="E9" s="43">
        <f t="shared" si="1"/>
        <v>14479899.390000002</v>
      </c>
      <c r="F9" s="43">
        <f t="shared" si="1"/>
        <v>14233698.270000001</v>
      </c>
      <c r="G9" s="43">
        <f t="shared" si="1"/>
        <v>9212155.9199999999</v>
      </c>
      <c r="H9" s="43">
        <f t="shared" si="1"/>
        <v>4631560.5600000005</v>
      </c>
      <c r="I9" s="43">
        <f t="shared" si="1"/>
        <v>29557512.765000001</v>
      </c>
      <c r="J9" s="43">
        <f t="shared" si="1"/>
        <v>3377522.6100000003</v>
      </c>
      <c r="K9" s="43">
        <f t="shared" si="0"/>
        <v>149957799.25500003</v>
      </c>
      <c r="AG9" s="41" t="s">
        <v>24</v>
      </c>
      <c r="AH9" s="42" t="s">
        <v>23</v>
      </c>
      <c r="AI9" s="37" t="s">
        <v>25</v>
      </c>
    </row>
    <row r="10" spans="1:35">
      <c r="A10" s="147">
        <v>4</v>
      </c>
      <c r="B10" s="41" t="s">
        <v>26</v>
      </c>
      <c r="C10" s="43">
        <f t="shared" ref="C10:J10" si="2">C6*C33</f>
        <v>50610180.653272174</v>
      </c>
      <c r="D10" s="43">
        <f t="shared" si="2"/>
        <v>9021870.8942903113</v>
      </c>
      <c r="E10" s="43">
        <f t="shared" si="2"/>
        <v>12079977.77554968</v>
      </c>
      <c r="F10" s="43">
        <f t="shared" si="2"/>
        <v>10991086.675549677</v>
      </c>
      <c r="G10" s="43">
        <f t="shared" si="2"/>
        <v>7226033.8384369286</v>
      </c>
      <c r="H10" s="43">
        <f t="shared" si="2"/>
        <v>2694381.2242645635</v>
      </c>
      <c r="I10" s="43">
        <f t="shared" si="2"/>
        <v>26199218.511086803</v>
      </c>
      <c r="J10" s="43">
        <f t="shared" si="2"/>
        <v>2023073.4149999998</v>
      </c>
      <c r="K10" s="43">
        <f t="shared" si="0"/>
        <v>120845822.98745014</v>
      </c>
      <c r="AG10" s="41" t="s">
        <v>27</v>
      </c>
      <c r="AH10" s="41" t="s">
        <v>26</v>
      </c>
      <c r="AI10" s="37" t="s">
        <v>28</v>
      </c>
    </row>
    <row r="11" spans="1:35">
      <c r="A11" s="147">
        <v>5</v>
      </c>
      <c r="B11" s="41" t="s">
        <v>29</v>
      </c>
      <c r="C11" s="43">
        <f>+C6*C36</f>
        <v>3788697.322884615</v>
      </c>
      <c r="D11" s="43">
        <f t="shared" ref="D11:J11" si="3">+D6*D36</f>
        <v>628674.30916806322</v>
      </c>
      <c r="E11" s="43">
        <f t="shared" si="3"/>
        <v>858963.41220919741</v>
      </c>
      <c r="F11" s="43">
        <f t="shared" si="3"/>
        <v>844358.49345741526</v>
      </c>
      <c r="G11" s="43">
        <f t="shared" si="3"/>
        <v>546475.1287091889</v>
      </c>
      <c r="H11" s="43">
        <f t="shared" si="3"/>
        <v>274749.21995788399</v>
      </c>
      <c r="I11" s="43">
        <f t="shared" si="3"/>
        <v>1753383.8694055527</v>
      </c>
      <c r="J11" s="43">
        <f t="shared" si="3"/>
        <v>200358.32209600139</v>
      </c>
      <c r="K11" s="43">
        <f t="shared" si="0"/>
        <v>8895660.0778879188</v>
      </c>
      <c r="AG11" s="41" t="s">
        <v>30</v>
      </c>
      <c r="AH11" s="41" t="s">
        <v>29</v>
      </c>
    </row>
    <row r="12" spans="1:35">
      <c r="A12" s="147">
        <v>6</v>
      </c>
      <c r="B12" s="41" t="s">
        <v>31</v>
      </c>
      <c r="C12" s="43">
        <f>+C6*C37</f>
        <v>1177413.6358011216</v>
      </c>
      <c r="D12" s="43">
        <f t="shared" ref="D12:J12" si="4">+D6*D37</f>
        <v>195373.14306458019</v>
      </c>
      <c r="E12" s="43">
        <f t="shared" si="4"/>
        <v>266940.09787494695</v>
      </c>
      <c r="F12" s="43">
        <f t="shared" si="4"/>
        <v>262401.3266238767</v>
      </c>
      <c r="G12" s="43">
        <f t="shared" si="4"/>
        <v>169828.1000917971</v>
      </c>
      <c r="H12" s="43">
        <f t="shared" si="4"/>
        <v>85383.827325069826</v>
      </c>
      <c r="I12" s="43">
        <f t="shared" si="4"/>
        <v>544899.18319999415</v>
      </c>
      <c r="J12" s="43">
        <f t="shared" si="4"/>
        <v>62265.364682775347</v>
      </c>
      <c r="K12" s="43">
        <f t="shared" si="0"/>
        <v>2764504.6786641623</v>
      </c>
      <c r="AG12" s="41" t="s">
        <v>32</v>
      </c>
      <c r="AH12" s="41" t="s">
        <v>31</v>
      </c>
    </row>
    <row r="13" spans="1:35">
      <c r="A13" s="147">
        <v>7</v>
      </c>
      <c r="B13" s="41" t="s">
        <v>33</v>
      </c>
      <c r="C13" s="43">
        <f>+C6*C38</f>
        <v>651644</v>
      </c>
      <c r="D13" s="43">
        <f t="shared" ref="D13:J13" si="5">+D6*D38</f>
        <v>108130</v>
      </c>
      <c r="E13" s="43">
        <f t="shared" si="5"/>
        <v>147739</v>
      </c>
      <c r="F13" s="43">
        <f t="shared" si="5"/>
        <v>145227</v>
      </c>
      <c r="G13" s="43">
        <f t="shared" si="5"/>
        <v>93992</v>
      </c>
      <c r="H13" s="43">
        <f t="shared" si="5"/>
        <v>47256.000000000007</v>
      </c>
      <c r="I13" s="43">
        <f t="shared" si="5"/>
        <v>301576.5</v>
      </c>
      <c r="J13" s="43">
        <f t="shared" si="5"/>
        <v>34461</v>
      </c>
      <c r="K13" s="43">
        <f t="shared" si="0"/>
        <v>1530025.5</v>
      </c>
      <c r="AG13" s="41" t="s">
        <v>34</v>
      </c>
      <c r="AH13" s="41" t="s">
        <v>33</v>
      </c>
      <c r="AI13" s="37" t="s">
        <v>17</v>
      </c>
    </row>
    <row r="14" spans="1:35">
      <c r="A14" s="147">
        <v>8</v>
      </c>
      <c r="B14" s="44" t="s">
        <v>35</v>
      </c>
      <c r="C14" s="43">
        <f>SUM(C11:C13)</f>
        <v>5617754.9586857371</v>
      </c>
      <c r="D14" s="43">
        <f t="shared" ref="D14:J14" si="6">SUM(D11:D13)</f>
        <v>932177.45223264338</v>
      </c>
      <c r="E14" s="43">
        <f t="shared" si="6"/>
        <v>1273642.5100841443</v>
      </c>
      <c r="F14" s="43">
        <f t="shared" si="6"/>
        <v>1251986.820081292</v>
      </c>
      <c r="G14" s="43">
        <f t="shared" si="6"/>
        <v>810295.22880098596</v>
      </c>
      <c r="H14" s="43">
        <f t="shared" si="6"/>
        <v>407389.0472829538</v>
      </c>
      <c r="I14" s="43">
        <f t="shared" si="6"/>
        <v>2599859.552605547</v>
      </c>
      <c r="J14" s="43">
        <f t="shared" si="6"/>
        <v>297084.68677877676</v>
      </c>
      <c r="K14" s="43">
        <f t="shared" si="0"/>
        <v>13190190.25655208</v>
      </c>
      <c r="AG14" s="41" t="s">
        <v>36</v>
      </c>
      <c r="AH14" s="44" t="s">
        <v>35</v>
      </c>
    </row>
    <row r="15" spans="1:35">
      <c r="A15" s="147">
        <v>9</v>
      </c>
      <c r="B15" s="44" t="s">
        <v>37</v>
      </c>
      <c r="C15" s="43">
        <f>+C9-C10-C14</f>
        <v>7639692.8280420937</v>
      </c>
      <c r="D15" s="43">
        <f t="shared" ref="D15:J15" si="7">+D9-D10-D14</f>
        <v>643772.9534770461</v>
      </c>
      <c r="E15" s="43">
        <f t="shared" si="7"/>
        <v>1126279.1043661782</v>
      </c>
      <c r="F15" s="43">
        <f t="shared" si="7"/>
        <v>1990624.7743690328</v>
      </c>
      <c r="G15" s="43">
        <f t="shared" si="7"/>
        <v>1175826.8527620854</v>
      </c>
      <c r="H15" s="43">
        <f t="shared" si="7"/>
        <v>1529790.2884524832</v>
      </c>
      <c r="I15" s="43">
        <f t="shared" si="7"/>
        <v>758434.70130765066</v>
      </c>
      <c r="J15" s="43">
        <f t="shared" si="7"/>
        <v>1057364.5082212237</v>
      </c>
      <c r="K15" s="43">
        <f t="shared" si="0"/>
        <v>15921786.010997795</v>
      </c>
      <c r="AG15" s="41" t="s">
        <v>38</v>
      </c>
      <c r="AH15" s="44" t="s">
        <v>37</v>
      </c>
    </row>
    <row r="16" spans="1:35">
      <c r="A16" s="147">
        <v>10</v>
      </c>
      <c r="B16" s="41" t="s">
        <v>39</v>
      </c>
      <c r="C16" s="45">
        <f>+C15/C9</f>
        <v>0.11961760620592245</v>
      </c>
      <c r="D16" s="45">
        <f t="shared" ref="D16:J16" si="8">+D15/D9</f>
        <v>6.0745783048544708E-2</v>
      </c>
      <c r="E16" s="45">
        <f t="shared" si="8"/>
        <v>7.7782246549585862E-2</v>
      </c>
      <c r="F16" s="45">
        <f t="shared" si="8"/>
        <v>0.13985295575392526</v>
      </c>
      <c r="G16" s="45">
        <f t="shared" si="8"/>
        <v>0.12763861825322703</v>
      </c>
      <c r="H16" s="45">
        <f t="shared" si="8"/>
        <v>0.33029694174019031</v>
      </c>
      <c r="I16" s="45">
        <f t="shared" si="8"/>
        <v>2.5659625264739378E-2</v>
      </c>
      <c r="J16" s="45">
        <f t="shared" si="8"/>
        <v>0.31305919465664911</v>
      </c>
      <c r="K16" s="45">
        <f t="shared" ref="K16" si="9">+K15/K9</f>
        <v>0.10617511119860554</v>
      </c>
      <c r="AG16" s="41" t="s">
        <v>40</v>
      </c>
      <c r="AH16" s="41" t="s">
        <v>39</v>
      </c>
    </row>
    <row r="17" spans="1:35">
      <c r="A17" s="147">
        <v>11</v>
      </c>
      <c r="B17" s="41" t="s">
        <v>41</v>
      </c>
      <c r="C17" s="43">
        <f>C6*C43+C18</f>
        <v>2935556.75</v>
      </c>
      <c r="D17" s="43">
        <f t="shared" ref="D17:J17" si="10">D6*D43+D18</f>
        <v>487036.24999999994</v>
      </c>
      <c r="E17" s="43">
        <f t="shared" si="10"/>
        <v>665276.75</v>
      </c>
      <c r="F17" s="43">
        <f t="shared" si="10"/>
        <v>653972.75</v>
      </c>
      <c r="G17" s="43">
        <f t="shared" si="10"/>
        <v>423415.25</v>
      </c>
      <c r="H17" s="43">
        <f t="shared" si="10"/>
        <v>217615.75</v>
      </c>
      <c r="I17" s="43">
        <f t="shared" si="10"/>
        <v>1361155.4999999998</v>
      </c>
      <c r="J17" s="43">
        <f t="shared" si="10"/>
        <v>159135.75</v>
      </c>
      <c r="K17" s="43">
        <f t="shared" si="0"/>
        <v>6903164.75</v>
      </c>
      <c r="L17" s="58"/>
      <c r="AG17" s="41" t="s">
        <v>42</v>
      </c>
      <c r="AH17" s="41" t="s">
        <v>41</v>
      </c>
    </row>
    <row r="18" spans="1:35" s="35" customFormat="1">
      <c r="A18" s="147">
        <v>12</v>
      </c>
      <c r="B18" s="46" t="s">
        <v>143</v>
      </c>
      <c r="C18" s="47">
        <f>$K$18/$K$6*C6</f>
        <v>3158.75</v>
      </c>
      <c r="D18" s="47">
        <f t="shared" ref="D18:J18" si="11">$K$18/$K$6*D6</f>
        <v>451.25</v>
      </c>
      <c r="E18" s="47">
        <f t="shared" si="11"/>
        <v>451.25</v>
      </c>
      <c r="F18" s="47">
        <f t="shared" si="11"/>
        <v>451.25</v>
      </c>
      <c r="G18" s="47">
        <f t="shared" si="11"/>
        <v>451.25</v>
      </c>
      <c r="H18" s="47">
        <f t="shared" si="11"/>
        <v>4963.75</v>
      </c>
      <c r="I18" s="47">
        <f t="shared" si="11"/>
        <v>4061.25</v>
      </c>
      <c r="J18" s="47">
        <f t="shared" si="11"/>
        <v>4061.25</v>
      </c>
      <c r="K18" s="47">
        <f>项目投资!D26</f>
        <v>18050</v>
      </c>
      <c r="L18" s="59" t="s">
        <v>144</v>
      </c>
      <c r="M18" s="59"/>
      <c r="N18" s="59"/>
    </row>
    <row r="19" spans="1:35">
      <c r="A19" s="147">
        <v>13</v>
      </c>
      <c r="B19" s="41" t="s">
        <v>43</v>
      </c>
      <c r="C19" s="43">
        <f>C6*C44</f>
        <v>514798.76</v>
      </c>
      <c r="D19" s="43">
        <f t="shared" ref="D19:J19" si="12">D6*D44</f>
        <v>85422.7</v>
      </c>
      <c r="E19" s="43">
        <f t="shared" si="12"/>
        <v>116713.81000000003</v>
      </c>
      <c r="F19" s="43">
        <f t="shared" si="12"/>
        <v>114729.33000000002</v>
      </c>
      <c r="G19" s="43">
        <f t="shared" si="12"/>
        <v>74253.680000000008</v>
      </c>
      <c r="H19" s="43">
        <f t="shared" si="12"/>
        <v>37332.240000000005</v>
      </c>
      <c r="I19" s="43">
        <f t="shared" si="12"/>
        <v>238245.43500000003</v>
      </c>
      <c r="J19" s="43">
        <f t="shared" si="12"/>
        <v>27224.190000000002</v>
      </c>
      <c r="K19" s="43">
        <f t="shared" ref="K19:K20" si="13">SUM(C19:J19)</f>
        <v>1208720.145</v>
      </c>
      <c r="L19" s="35"/>
      <c r="AG19" s="41" t="s">
        <v>44</v>
      </c>
      <c r="AH19" s="41" t="s">
        <v>43</v>
      </c>
      <c r="AI19" s="37" t="s">
        <v>17</v>
      </c>
    </row>
    <row r="20" spans="1:35">
      <c r="A20" s="147">
        <v>14</v>
      </c>
      <c r="B20" s="41" t="s">
        <v>45</v>
      </c>
      <c r="C20" s="43">
        <f>C6*C45</f>
        <v>2643283.7119871881</v>
      </c>
      <c r="D20" s="43">
        <f t="shared" ref="D20:J20" si="14">D6*D45</f>
        <v>438611.06336768949</v>
      </c>
      <c r="E20" s="43">
        <f t="shared" si="14"/>
        <v>599278.27513991564</v>
      </c>
      <c r="F20" s="43">
        <f t="shared" si="14"/>
        <v>589088.77184592106</v>
      </c>
      <c r="G20" s="43">
        <f t="shared" si="14"/>
        <v>381262.65669153677</v>
      </c>
      <c r="H20" s="43">
        <f t="shared" si="14"/>
        <v>191685.97438734426</v>
      </c>
      <c r="I20" s="43">
        <f t="shared" si="14"/>
        <v>1223294.0844511793</v>
      </c>
      <c r="J20" s="43">
        <f t="shared" si="14"/>
        <v>139785.22014902384</v>
      </c>
      <c r="K20" s="43">
        <f t="shared" si="13"/>
        <v>6206289.7580197984</v>
      </c>
      <c r="AG20" s="41" t="s">
        <v>46</v>
      </c>
      <c r="AH20" s="41" t="s">
        <v>45</v>
      </c>
    </row>
    <row r="21" spans="1:35">
      <c r="A21" s="147">
        <v>15</v>
      </c>
      <c r="B21" s="41" t="s">
        <v>47</v>
      </c>
      <c r="C21" s="48">
        <f>$K$21/$K$6*C6</f>
        <v>8506.3999999999978</v>
      </c>
      <c r="D21" s="48">
        <f t="shared" ref="D21:J21" si="15">$K$21/$K$6*D6</f>
        <v>1215.1999999999998</v>
      </c>
      <c r="E21" s="48">
        <f t="shared" si="15"/>
        <v>1215.1999999999998</v>
      </c>
      <c r="F21" s="48">
        <f t="shared" si="15"/>
        <v>1215.1999999999998</v>
      </c>
      <c r="G21" s="48">
        <f t="shared" si="15"/>
        <v>1215.1999999999998</v>
      </c>
      <c r="H21" s="48">
        <f t="shared" si="15"/>
        <v>13367.199999999997</v>
      </c>
      <c r="I21" s="48">
        <f t="shared" si="15"/>
        <v>10936.799999999997</v>
      </c>
      <c r="J21" s="48">
        <f t="shared" si="15"/>
        <v>10936.799999999997</v>
      </c>
      <c r="K21" s="43">
        <f>项目投资!G27</f>
        <v>48607.999999999993</v>
      </c>
      <c r="AG21" s="41"/>
      <c r="AH21" s="41"/>
    </row>
    <row r="22" spans="1:35">
      <c r="A22" s="147">
        <v>16</v>
      </c>
      <c r="B22" s="41" t="s">
        <v>48</v>
      </c>
      <c r="C22" s="43">
        <f>C6*C47</f>
        <v>1388001.7199999997</v>
      </c>
      <c r="D22" s="43">
        <f t="shared" ref="D22:J22" si="16">D6*D47</f>
        <v>230316.89999999997</v>
      </c>
      <c r="E22" s="43">
        <f t="shared" si="16"/>
        <v>314684.07</v>
      </c>
      <c r="F22" s="43">
        <f t="shared" si="16"/>
        <v>309333.51</v>
      </c>
      <c r="G22" s="43">
        <f t="shared" si="16"/>
        <v>200202.96</v>
      </c>
      <c r="H22" s="43">
        <f t="shared" si="16"/>
        <v>100655.28</v>
      </c>
      <c r="I22" s="43">
        <f t="shared" si="16"/>
        <v>642357.94499999995</v>
      </c>
      <c r="J22" s="43">
        <f t="shared" si="16"/>
        <v>73401.929999999993</v>
      </c>
      <c r="K22" s="43">
        <f t="shared" ref="K22" si="17">SUM(C22:J22)</f>
        <v>3258954.3149999995</v>
      </c>
      <c r="AG22" s="41" t="s">
        <v>49</v>
      </c>
      <c r="AH22" s="41" t="s">
        <v>48</v>
      </c>
    </row>
    <row r="23" spans="1:35">
      <c r="A23" s="147">
        <v>17</v>
      </c>
      <c r="B23" s="44" t="s">
        <v>50</v>
      </c>
      <c r="C23" s="48">
        <f>+C22+C21+C20+C19+C17</f>
        <v>7490147.341987188</v>
      </c>
      <c r="D23" s="48">
        <f t="shared" ref="D23:J23" si="18">+D22+D21+D20+D19+D17</f>
        <v>1242602.1133676893</v>
      </c>
      <c r="E23" s="48">
        <f>+E22+E21+E20+E19+E17</f>
        <v>1697168.1051399158</v>
      </c>
      <c r="F23" s="48">
        <f t="shared" si="18"/>
        <v>1668339.5618459212</v>
      </c>
      <c r="G23" s="48">
        <f t="shared" si="18"/>
        <v>1080349.7466915369</v>
      </c>
      <c r="H23" s="48">
        <f t="shared" si="18"/>
        <v>560656.44438734418</v>
      </c>
      <c r="I23" s="48">
        <f t="shared" si="18"/>
        <v>3475989.7644511787</v>
      </c>
      <c r="J23" s="48">
        <f t="shared" si="18"/>
        <v>410483.89014902385</v>
      </c>
      <c r="K23" s="48">
        <f t="shared" ref="K23" si="19">+K22+K21+K20+K19+K17</f>
        <v>17625736.968019798</v>
      </c>
      <c r="AG23" s="41" t="s">
        <v>51</v>
      </c>
      <c r="AH23" s="44" t="s">
        <v>50</v>
      </c>
    </row>
    <row r="24" spans="1:35">
      <c r="A24" s="147">
        <v>18</v>
      </c>
      <c r="B24" s="49" t="s">
        <v>52</v>
      </c>
      <c r="C24" s="48">
        <f>+C15-C23</f>
        <v>149545.48605490569</v>
      </c>
      <c r="D24" s="48">
        <f t="shared" ref="D24:J24" si="20">+D15-D23</f>
        <v>-598829.1598906432</v>
      </c>
      <c r="E24" s="48">
        <f t="shared" si="20"/>
        <v>-570889.00077373767</v>
      </c>
      <c r="F24" s="48">
        <f t="shared" si="20"/>
        <v>322285.21252311161</v>
      </c>
      <c r="G24" s="48">
        <f t="shared" si="20"/>
        <v>95477.106070548529</v>
      </c>
      <c r="H24" s="48">
        <f t="shared" si="20"/>
        <v>969133.84406513907</v>
      </c>
      <c r="I24" s="48">
        <f t="shared" si="20"/>
        <v>-2717555.0631435281</v>
      </c>
      <c r="J24" s="48">
        <f t="shared" si="20"/>
        <v>646880.61807219987</v>
      </c>
      <c r="K24" s="48">
        <f t="shared" ref="K24" si="21">+K15-K23</f>
        <v>-1703950.9570220038</v>
      </c>
      <c r="M24" s="60"/>
      <c r="AG24" s="41" t="s">
        <v>53</v>
      </c>
      <c r="AH24" s="41" t="s">
        <v>52</v>
      </c>
    </row>
    <row r="25" spans="1:35">
      <c r="A25" s="147">
        <v>19</v>
      </c>
      <c r="B25" s="41" t="s">
        <v>231</v>
      </c>
      <c r="C25" s="48">
        <f>IF(C24&lt;0,0,C24*0.15)</f>
        <v>22431.822908235852</v>
      </c>
      <c r="D25" s="48">
        <f t="shared" ref="D25:J25" si="22">IF(D24&lt;0,0,D24*0.15)</f>
        <v>0</v>
      </c>
      <c r="E25" s="48">
        <f t="shared" si="22"/>
        <v>0</v>
      </c>
      <c r="F25" s="48">
        <f t="shared" si="22"/>
        <v>48342.78187846674</v>
      </c>
      <c r="G25" s="48">
        <f t="shared" si="22"/>
        <v>14321.56591058228</v>
      </c>
      <c r="H25" s="48">
        <f t="shared" si="22"/>
        <v>145370.07660977085</v>
      </c>
      <c r="I25" s="48">
        <f t="shared" si="22"/>
        <v>0</v>
      </c>
      <c r="J25" s="48">
        <f t="shared" si="22"/>
        <v>97032.09271082998</v>
      </c>
      <c r="K25" s="48">
        <f>IF(K24&lt;0,0,K24*0.15)</f>
        <v>0</v>
      </c>
      <c r="L25" s="56"/>
      <c r="M25" s="56"/>
      <c r="N25" s="56"/>
      <c r="AG25" s="41" t="s">
        <v>55</v>
      </c>
      <c r="AH25" s="41" t="s">
        <v>54</v>
      </c>
    </row>
    <row r="26" spans="1:35">
      <c r="A26" s="147">
        <v>20</v>
      </c>
      <c r="B26" s="41" t="s">
        <v>56</v>
      </c>
      <c r="C26" s="48">
        <f t="shared" ref="C26" si="23">C24-C25</f>
        <v>127113.66314666983</v>
      </c>
      <c r="D26" s="48">
        <f t="shared" ref="D26:J26" si="24">D24-D25</f>
        <v>-598829.1598906432</v>
      </c>
      <c r="E26" s="48">
        <f t="shared" si="24"/>
        <v>-570889.00077373767</v>
      </c>
      <c r="F26" s="48">
        <f t="shared" si="24"/>
        <v>273942.43064464489</v>
      </c>
      <c r="G26" s="48">
        <f t="shared" si="24"/>
        <v>81155.540159966244</v>
      </c>
      <c r="H26" s="48">
        <f t="shared" si="24"/>
        <v>823763.76745536819</v>
      </c>
      <c r="I26" s="48">
        <f t="shared" si="24"/>
        <v>-2717555.0631435281</v>
      </c>
      <c r="J26" s="48">
        <f t="shared" si="24"/>
        <v>549848.52536136983</v>
      </c>
      <c r="K26" s="43">
        <f>+SUM(C26:J26)</f>
        <v>-2031449.2970398902</v>
      </c>
      <c r="L26" s="56"/>
      <c r="M26" s="56"/>
      <c r="N26" s="56"/>
      <c r="AG26" s="41" t="s">
        <v>57</v>
      </c>
      <c r="AH26" s="41" t="s">
        <v>56</v>
      </c>
    </row>
    <row r="27" spans="1:35">
      <c r="A27" s="147">
        <v>21</v>
      </c>
      <c r="B27" s="41" t="s">
        <v>60</v>
      </c>
      <c r="C27" s="50">
        <f t="shared" ref="C27:K27" si="25">C26/C7</f>
        <v>1.9506611454516551E-3</v>
      </c>
      <c r="D27" s="50">
        <f t="shared" ref="D27:J27" si="26">D26/D7</f>
        <v>-5.5380482742129214E-2</v>
      </c>
      <c r="E27" s="50">
        <f t="shared" si="26"/>
        <v>-3.8641726339946635E-2</v>
      </c>
      <c r="F27" s="50">
        <f t="shared" si="26"/>
        <v>1.8863050992215281E-2</v>
      </c>
      <c r="G27" s="50">
        <f t="shared" si="26"/>
        <v>8.6343029364165293E-3</v>
      </c>
      <c r="H27" s="50">
        <f t="shared" si="26"/>
        <v>0.17431940228867618</v>
      </c>
      <c r="I27" s="50">
        <f t="shared" si="26"/>
        <v>-9.0111632144531426E-2</v>
      </c>
      <c r="J27" s="50">
        <f t="shared" si="26"/>
        <v>0.15955675266572933</v>
      </c>
      <c r="K27" s="50">
        <f t="shared" si="25"/>
        <v>-1.3277225098796655E-2</v>
      </c>
      <c r="L27" s="56"/>
      <c r="M27" s="56"/>
      <c r="N27" s="56"/>
      <c r="AG27" s="41" t="s">
        <v>59</v>
      </c>
      <c r="AH27" s="41" t="s">
        <v>60</v>
      </c>
    </row>
    <row r="28" spans="1:35">
      <c r="L28" s="56"/>
      <c r="M28" s="56"/>
      <c r="N28" s="56"/>
    </row>
    <row r="29" spans="1:35">
      <c r="A29" s="37" t="s">
        <v>61</v>
      </c>
      <c r="K29" s="38" t="s">
        <v>145</v>
      </c>
      <c r="L29" s="56"/>
      <c r="M29" s="56"/>
      <c r="N29" s="56"/>
      <c r="AG29" s="37" t="s">
        <v>61</v>
      </c>
    </row>
    <row r="30" spans="1:35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G30" s="41" t="s">
        <v>64</v>
      </c>
      <c r="AH30" s="44" t="s">
        <v>63</v>
      </c>
    </row>
    <row r="31" spans="1:35">
      <c r="A31" s="147">
        <v>1</v>
      </c>
      <c r="B31" s="46" t="s">
        <v>65</v>
      </c>
      <c r="C31" s="52">
        <f>'2023年'!C31</f>
        <v>1861.84</v>
      </c>
      <c r="D31" s="52">
        <f>'2023年'!D31</f>
        <v>2162.6</v>
      </c>
      <c r="E31" s="52">
        <f>'2023年'!E31</f>
        <v>2954.78</v>
      </c>
      <c r="F31" s="52">
        <f>'2023年'!F31</f>
        <v>2904.54</v>
      </c>
      <c r="G31" s="52">
        <f>'2023年'!G31</f>
        <v>1879.84</v>
      </c>
      <c r="H31" s="52">
        <f>'2023年'!H31</f>
        <v>85.92</v>
      </c>
      <c r="I31" s="52">
        <f>'2023年'!I31</f>
        <v>670.17</v>
      </c>
      <c r="J31" s="52">
        <f>'2023年'!J31</f>
        <v>76.58</v>
      </c>
      <c r="K31" s="48"/>
      <c r="L31" s="56"/>
      <c r="M31" s="56"/>
      <c r="N31" s="56"/>
      <c r="P31" s="56"/>
      <c r="AG31" s="41" t="s">
        <v>19</v>
      </c>
      <c r="AH31" s="41" t="s">
        <v>65</v>
      </c>
    </row>
    <row r="32" spans="1:35">
      <c r="A32" s="147">
        <v>2</v>
      </c>
      <c r="B32" s="41" t="s">
        <v>146</v>
      </c>
      <c r="C32" s="43">
        <f>C9/C6</f>
        <v>1824.7893840000002</v>
      </c>
      <c r="D32" s="43">
        <f t="shared" ref="D32:J32" si="27">D9/D6</f>
        <v>2119.5642600000001</v>
      </c>
      <c r="E32" s="43">
        <f t="shared" si="27"/>
        <v>2895.9798780000006</v>
      </c>
      <c r="F32" s="43">
        <f t="shared" si="27"/>
        <v>2846.7396540000004</v>
      </c>
      <c r="G32" s="43">
        <f t="shared" si="27"/>
        <v>1842.431184</v>
      </c>
      <c r="H32" s="43">
        <f t="shared" si="27"/>
        <v>84.210192000000006</v>
      </c>
      <c r="I32" s="43">
        <f t="shared" si="27"/>
        <v>656.833617</v>
      </c>
      <c r="J32" s="43">
        <f t="shared" si="27"/>
        <v>75.056058000000007</v>
      </c>
      <c r="K32" s="48"/>
      <c r="L32" s="56"/>
      <c r="M32" s="56"/>
      <c r="N32" s="56"/>
      <c r="O32" s="56"/>
      <c r="P32" s="56"/>
      <c r="Q32" s="56"/>
      <c r="R32" s="56"/>
      <c r="AG32" s="41"/>
      <c r="AH32" s="41"/>
    </row>
    <row r="33" spans="1:34">
      <c r="A33" s="147">
        <v>3</v>
      </c>
      <c r="B33" s="46" t="s">
        <v>66</v>
      </c>
      <c r="C33" s="43">
        <f>'2024年'!C33*(1-0.01)</f>
        <v>1446.0051615220621</v>
      </c>
      <c r="D33" s="43">
        <f>'2024年'!D33*(1-0.01)</f>
        <v>1804.3741788580621</v>
      </c>
      <c r="E33" s="43">
        <f>'2024年'!E33*(1-0.01)</f>
        <v>2415.995555109936</v>
      </c>
      <c r="F33" s="43">
        <f>'2024年'!F33*(1-0.01)</f>
        <v>2198.2173351099354</v>
      </c>
      <c r="G33" s="43">
        <f>'2024年'!G33*(1-0.01)</f>
        <v>1445.2067676873858</v>
      </c>
      <c r="H33" s="43">
        <f>'2024年'!H33*(1-0.01)</f>
        <v>48.988749532082977</v>
      </c>
      <c r="I33" s="43">
        <f>'2024年'!I33*(1-0.01)</f>
        <v>582.20485580192894</v>
      </c>
      <c r="J33" s="43">
        <f>'2024年'!J33*(1-0.01)</f>
        <v>44.957186999999998</v>
      </c>
      <c r="K33" s="48"/>
      <c r="M33" s="56"/>
      <c r="N33" s="56"/>
      <c r="O33" s="56"/>
      <c r="P33" s="56"/>
      <c r="Q33" s="56"/>
      <c r="R33" s="56"/>
      <c r="AG33" s="41" t="s">
        <v>21</v>
      </c>
      <c r="AH33" s="41" t="s">
        <v>66</v>
      </c>
    </row>
    <row r="34" spans="1:34" ht="17.25" customHeight="1">
      <c r="A34" s="147">
        <v>4</v>
      </c>
      <c r="B34" s="41" t="s">
        <v>68</v>
      </c>
      <c r="C34" s="53">
        <f>C32-C33</f>
        <v>378.7842224779381</v>
      </c>
      <c r="D34" s="53">
        <f t="shared" ref="D34:J34" si="28">D32-D33</f>
        <v>315.19008114193798</v>
      </c>
      <c r="E34" s="53">
        <f t="shared" si="28"/>
        <v>479.9843228900645</v>
      </c>
      <c r="F34" s="53">
        <f t="shared" si="28"/>
        <v>648.52231889006498</v>
      </c>
      <c r="G34" s="53">
        <f t="shared" si="28"/>
        <v>397.22441631261427</v>
      </c>
      <c r="H34" s="53">
        <f t="shared" si="28"/>
        <v>35.221442467917029</v>
      </c>
      <c r="I34" s="53">
        <f t="shared" si="28"/>
        <v>74.628761198071061</v>
      </c>
      <c r="J34" s="53">
        <f t="shared" si="28"/>
        <v>30.09887100000001</v>
      </c>
      <c r="K34" s="48"/>
      <c r="M34" s="56"/>
      <c r="N34" s="56"/>
      <c r="O34" s="56"/>
      <c r="P34" s="56"/>
      <c r="Q34" s="56"/>
      <c r="R34" s="56"/>
      <c r="AG34" s="41" t="s">
        <v>67</v>
      </c>
      <c r="AH34" s="41" t="s">
        <v>68</v>
      </c>
    </row>
    <row r="35" spans="1:34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AG35" s="41" t="s">
        <v>70</v>
      </c>
      <c r="AH35" s="44" t="s">
        <v>8</v>
      </c>
    </row>
    <row r="36" spans="1:34">
      <c r="A36" s="147">
        <v>1</v>
      </c>
      <c r="B36" s="41" t="s">
        <v>71</v>
      </c>
      <c r="C36" s="47">
        <f>'2023年'!C36</f>
        <v>108.24849493956043</v>
      </c>
      <c r="D36" s="47">
        <f>'2023年'!D36</f>
        <v>125.73486183361265</v>
      </c>
      <c r="E36" s="47">
        <f>'2023年'!E36</f>
        <v>171.79268244183947</v>
      </c>
      <c r="F36" s="47">
        <f>'2023年'!F36</f>
        <v>168.87169869148306</v>
      </c>
      <c r="G36" s="47">
        <f>'2023年'!G36</f>
        <v>109.29502574183779</v>
      </c>
      <c r="H36" s="47">
        <f>'2023年'!H36</f>
        <v>4.9954403628706183</v>
      </c>
      <c r="I36" s="47">
        <f>'2023年'!I36</f>
        <v>38.96408598679006</v>
      </c>
      <c r="J36" s="47">
        <f>'2023年'!J36</f>
        <v>4.4524071576889197</v>
      </c>
      <c r="K36" s="52"/>
      <c r="L36" s="56"/>
      <c r="M36" s="56"/>
      <c r="N36" s="56"/>
      <c r="O36" s="56"/>
      <c r="P36" s="56"/>
      <c r="Q36" s="56"/>
      <c r="R36" s="56"/>
      <c r="S36" s="56"/>
      <c r="AG36" s="41" t="s">
        <v>67</v>
      </c>
      <c r="AH36" s="41" t="s">
        <v>71</v>
      </c>
    </row>
    <row r="37" spans="1:34">
      <c r="A37" s="147">
        <v>2</v>
      </c>
      <c r="B37" s="41" t="s">
        <v>72</v>
      </c>
      <c r="C37" s="47">
        <f>'2023年'!C37</f>
        <v>33.64038959431776</v>
      </c>
      <c r="D37" s="47">
        <f>'2023年'!D37</f>
        <v>39.074628612916037</v>
      </c>
      <c r="E37" s="47">
        <f>'2023年'!E37</f>
        <v>53.388019574989393</v>
      </c>
      <c r="F37" s="47">
        <f>'2023年'!F37</f>
        <v>52.480265324775338</v>
      </c>
      <c r="G37" s="47">
        <f>'2023年'!G37</f>
        <v>33.965620018359417</v>
      </c>
      <c r="H37" s="47">
        <f>'2023年'!H37</f>
        <v>1.5524332240921788</v>
      </c>
      <c r="I37" s="47">
        <f>'2023年'!I37</f>
        <v>12.108870737777647</v>
      </c>
      <c r="J37" s="47">
        <f>'2023年'!J37</f>
        <v>1.383674770728341</v>
      </c>
      <c r="K37" s="52"/>
      <c r="L37" s="56"/>
      <c r="M37" s="56"/>
      <c r="N37" s="56"/>
      <c r="O37" s="56"/>
      <c r="P37" s="56"/>
      <c r="Q37" s="56"/>
      <c r="R37" s="56"/>
      <c r="S37" s="56"/>
      <c r="AG37" s="41" t="s">
        <v>24</v>
      </c>
      <c r="AH37" s="41" t="s">
        <v>72</v>
      </c>
    </row>
    <row r="38" spans="1:34">
      <c r="A38" s="147">
        <v>3</v>
      </c>
      <c r="B38" s="41" t="s">
        <v>73</v>
      </c>
      <c r="C38" s="47">
        <f>'2023年'!C38</f>
        <v>18.618400000000001</v>
      </c>
      <c r="D38" s="47">
        <f>'2023年'!D38</f>
        <v>21.626000000000001</v>
      </c>
      <c r="E38" s="47">
        <f>'2023年'!E38</f>
        <v>29.547800000000002</v>
      </c>
      <c r="F38" s="47">
        <f>'2023年'!F38</f>
        <v>29.045400000000001</v>
      </c>
      <c r="G38" s="47">
        <f>'2023年'!G38</f>
        <v>18.798400000000001</v>
      </c>
      <c r="H38" s="47">
        <f>'2023年'!H38</f>
        <v>0.85920000000000007</v>
      </c>
      <c r="I38" s="47">
        <f>'2023年'!I38</f>
        <v>6.7016999999999998</v>
      </c>
      <c r="J38" s="47">
        <f>'2023年'!J38</f>
        <v>0.76580000000000004</v>
      </c>
      <c r="K38" s="52"/>
      <c r="L38" s="56"/>
      <c r="M38" s="56"/>
      <c r="N38" s="56"/>
      <c r="O38" s="56"/>
      <c r="P38" s="56"/>
      <c r="Q38" s="56"/>
      <c r="R38" s="56"/>
      <c r="S38" s="56"/>
      <c r="AG38" s="41" t="s">
        <v>30</v>
      </c>
      <c r="AH38" s="41" t="s">
        <v>73</v>
      </c>
    </row>
    <row r="39" spans="1:34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AG39" s="41" t="s">
        <v>74</v>
      </c>
      <c r="AH39" s="44" t="s">
        <v>75</v>
      </c>
    </row>
    <row r="40" spans="1:34">
      <c r="A40" s="147">
        <v>1</v>
      </c>
      <c r="B40" s="41" t="s">
        <v>77</v>
      </c>
      <c r="C40" s="48">
        <f>C34-C36-C37-C38</f>
        <v>218.27693794405991</v>
      </c>
      <c r="D40" s="48">
        <f t="shared" ref="D40:J40" si="29">D34-D36-D37-D38</f>
        <v>128.75459069540929</v>
      </c>
      <c r="E40" s="48">
        <f t="shared" si="29"/>
        <v>225.25582087323565</v>
      </c>
      <c r="F40" s="48">
        <f t="shared" si="29"/>
        <v>398.12495487380659</v>
      </c>
      <c r="G40" s="48">
        <f t="shared" si="29"/>
        <v>235.16537055241707</v>
      </c>
      <c r="H40" s="48">
        <f t="shared" si="29"/>
        <v>27.81436888095423</v>
      </c>
      <c r="I40" s="48">
        <f t="shared" si="29"/>
        <v>16.854104473503355</v>
      </c>
      <c r="J40" s="48">
        <f t="shared" si="29"/>
        <v>23.49698907158275</v>
      </c>
      <c r="K40" s="48"/>
      <c r="AG40" s="41" t="s">
        <v>19</v>
      </c>
      <c r="AH40" s="41" t="s">
        <v>77</v>
      </c>
    </row>
    <row r="41" spans="1:34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AG41" s="41" t="s">
        <v>21</v>
      </c>
      <c r="AH41" s="41" t="s">
        <v>78</v>
      </c>
    </row>
    <row r="42" spans="1:34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AG42" s="41" t="s">
        <v>79</v>
      </c>
      <c r="AH42" s="44" t="s">
        <v>80</v>
      </c>
    </row>
    <row r="43" spans="1:34">
      <c r="A43" s="147">
        <v>1</v>
      </c>
      <c r="B43" s="49" t="s">
        <v>81</v>
      </c>
      <c r="C43" s="47">
        <f>'2023年'!C43</f>
        <v>83.782799999999995</v>
      </c>
      <c r="D43" s="47">
        <f>'2023年'!D43</f>
        <v>97.316999999999993</v>
      </c>
      <c r="E43" s="47">
        <f>'2023年'!E43</f>
        <v>132.96510000000001</v>
      </c>
      <c r="F43" s="47">
        <f>'2023年'!F43</f>
        <v>130.70429999999999</v>
      </c>
      <c r="G43" s="47">
        <f>'2023年'!G43</f>
        <v>84.592799999999997</v>
      </c>
      <c r="H43" s="47">
        <f>'2023年'!H43</f>
        <v>3.8664000000000001</v>
      </c>
      <c r="I43" s="47">
        <f>'2023年'!I43</f>
        <v>30.157649999999997</v>
      </c>
      <c r="J43" s="47">
        <f>'2023年'!J43</f>
        <v>3.4460999999999999</v>
      </c>
      <c r="K43" s="48"/>
      <c r="AG43" s="41" t="s">
        <v>19</v>
      </c>
      <c r="AH43" s="41" t="s">
        <v>81</v>
      </c>
    </row>
    <row r="44" spans="1:34">
      <c r="A44" s="147">
        <v>2</v>
      </c>
      <c r="B44" s="49" t="s">
        <v>82</v>
      </c>
      <c r="C44" s="47">
        <f>'2023年'!C44</f>
        <v>14.708536</v>
      </c>
      <c r="D44" s="47">
        <f>'2023年'!D44</f>
        <v>17.084540000000001</v>
      </c>
      <c r="E44" s="47">
        <f>'2023年'!E44</f>
        <v>23.342762000000004</v>
      </c>
      <c r="F44" s="47">
        <f>'2023年'!F44</f>
        <v>22.945866000000002</v>
      </c>
      <c r="G44" s="47">
        <f>'2023年'!G44</f>
        <v>14.850736000000001</v>
      </c>
      <c r="H44" s="47">
        <f>'2023年'!H44</f>
        <v>0.67876800000000004</v>
      </c>
      <c r="I44" s="47">
        <f>'2023年'!I44</f>
        <v>5.2943430000000005</v>
      </c>
      <c r="J44" s="47">
        <f>'2023年'!J44</f>
        <v>0.60498200000000002</v>
      </c>
      <c r="K44" s="48"/>
      <c r="AG44" s="41" t="s">
        <v>21</v>
      </c>
      <c r="AH44" s="41" t="s">
        <v>82</v>
      </c>
    </row>
    <row r="45" spans="1:34">
      <c r="A45" s="147">
        <v>3</v>
      </c>
      <c r="B45" s="49" t="s">
        <v>83</v>
      </c>
      <c r="C45" s="47">
        <f>'2023年'!C45</f>
        <v>75.522391771062516</v>
      </c>
      <c r="D45" s="47">
        <f>'2023年'!D45</f>
        <v>87.722212673537896</v>
      </c>
      <c r="E45" s="47">
        <f>'2023年'!E45</f>
        <v>119.85565502798313</v>
      </c>
      <c r="F45" s="47">
        <f>'2023年'!F45</f>
        <v>117.8177543691842</v>
      </c>
      <c r="G45" s="47">
        <f>'2023年'!G45</f>
        <v>76.25253133830735</v>
      </c>
      <c r="H45" s="47">
        <f>'2023年'!H45</f>
        <v>3.4851995343153503</v>
      </c>
      <c r="I45" s="47">
        <f>'2023年'!I45</f>
        <v>27.184312987803981</v>
      </c>
      <c r="J45" s="47">
        <f>'2023年'!J45</f>
        <v>3.1063382255338632</v>
      </c>
      <c r="K45" s="48"/>
      <c r="AG45" s="41" t="s">
        <v>67</v>
      </c>
      <c r="AH45" s="41" t="s">
        <v>83</v>
      </c>
    </row>
    <row r="46" spans="1:34" s="36" customFormat="1">
      <c r="A46" s="147">
        <v>4</v>
      </c>
      <c r="B46" s="49" t="s">
        <v>84</v>
      </c>
      <c r="C46" s="54">
        <f>C21/C6</f>
        <v>0.24303999999999995</v>
      </c>
      <c r="D46" s="54">
        <f t="shared" ref="D46:J46" si="30">D21/D6</f>
        <v>0.24303999999999995</v>
      </c>
      <c r="E46" s="54">
        <f t="shared" si="30"/>
        <v>0.24303999999999995</v>
      </c>
      <c r="F46" s="54">
        <f t="shared" si="30"/>
        <v>0.24303999999999995</v>
      </c>
      <c r="G46" s="54">
        <f t="shared" si="30"/>
        <v>0.24303999999999995</v>
      </c>
      <c r="H46" s="54">
        <f t="shared" si="30"/>
        <v>0.24303999999999995</v>
      </c>
      <c r="I46" s="54">
        <f t="shared" si="30"/>
        <v>0.24303999999999995</v>
      </c>
      <c r="J46" s="54">
        <f t="shared" si="30"/>
        <v>0.24303999999999995</v>
      </c>
      <c r="K46" s="54"/>
      <c r="AG46" s="49" t="s">
        <v>27</v>
      </c>
      <c r="AH46" s="49" t="s">
        <v>86</v>
      </c>
    </row>
    <row r="47" spans="1:34" s="36" customFormat="1">
      <c r="A47" s="147">
        <v>5</v>
      </c>
      <c r="B47" s="49" t="s">
        <v>86</v>
      </c>
      <c r="C47" s="54">
        <f>'2023年'!C47</f>
        <v>39.657191999999995</v>
      </c>
      <c r="D47" s="54">
        <f>'2023年'!D47</f>
        <v>46.063379999999995</v>
      </c>
      <c r="E47" s="54">
        <f>'2023年'!E47</f>
        <v>62.936814000000005</v>
      </c>
      <c r="F47" s="54">
        <f>'2023年'!F47</f>
        <v>61.866701999999997</v>
      </c>
      <c r="G47" s="54">
        <f>'2023年'!G47</f>
        <v>40.040591999999997</v>
      </c>
      <c r="H47" s="54">
        <f>'2023年'!H47</f>
        <v>1.8300959999999999</v>
      </c>
      <c r="I47" s="54">
        <f>'2023年'!I47</f>
        <v>14.274620999999998</v>
      </c>
      <c r="J47" s="54">
        <f>'2023年'!J47</f>
        <v>1.631154</v>
      </c>
      <c r="K47" s="54"/>
      <c r="AG47" s="49" t="s">
        <v>27</v>
      </c>
      <c r="AH47" s="49" t="s">
        <v>86</v>
      </c>
    </row>
    <row r="48" spans="1:34">
      <c r="A48" s="41" t="s">
        <v>79</v>
      </c>
      <c r="B48" s="44" t="s">
        <v>97</v>
      </c>
      <c r="C48" s="48">
        <f>C40-C43-C44-C45-C47-C46</f>
        <v>4.3629781729973951</v>
      </c>
      <c r="D48" s="48">
        <f t="shared" ref="D48:J48" si="31">D40-D43-D44-D45-D47-D46</f>
        <v>-119.67558197812859</v>
      </c>
      <c r="E48" s="48">
        <f t="shared" si="31"/>
        <v>-114.08755015474749</v>
      </c>
      <c r="F48" s="48">
        <f t="shared" si="31"/>
        <v>64.547292504622405</v>
      </c>
      <c r="G48" s="48">
        <f t="shared" si="31"/>
        <v>19.185671214109703</v>
      </c>
      <c r="H48" s="48">
        <f t="shared" si="31"/>
        <v>17.710865346638879</v>
      </c>
      <c r="I48" s="48">
        <f t="shared" si="31"/>
        <v>-60.299862514300621</v>
      </c>
      <c r="J48" s="48">
        <f t="shared" si="31"/>
        <v>14.465374846048883</v>
      </c>
      <c r="K48" s="48"/>
      <c r="AG48" s="41" t="s">
        <v>96</v>
      </c>
      <c r="AH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6" sqref="K6:K27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42" t="s">
        <v>137</v>
      </c>
      <c r="B1" s="242"/>
      <c r="C1" s="246" t="s">
        <v>230</v>
      </c>
      <c r="D1" s="247"/>
      <c r="E1" s="247"/>
      <c r="F1" s="247"/>
      <c r="G1" s="247"/>
      <c r="H1" s="247"/>
      <c r="I1" s="247"/>
      <c r="J1" s="247"/>
      <c r="K1" s="248"/>
    </row>
    <row r="2" spans="1:40">
      <c r="A2" s="242" t="s">
        <v>138</v>
      </c>
      <c r="B2" s="242"/>
      <c r="C2" s="249" t="str">
        <f>'2023年'!C2:K2</f>
        <v>福田戴姆勒</v>
      </c>
      <c r="D2" s="249"/>
      <c r="E2" s="249"/>
      <c r="F2" s="249"/>
      <c r="G2" s="249"/>
      <c r="H2" s="249"/>
      <c r="I2" s="249"/>
      <c r="J2" s="249"/>
      <c r="K2" s="249"/>
    </row>
    <row r="3" spans="1:40">
      <c r="A3" s="242" t="s">
        <v>139</v>
      </c>
      <c r="B3" s="242"/>
      <c r="C3" s="148" t="str">
        <f>'2023年'!C3</f>
        <v>驾驶员座椅总成</v>
      </c>
      <c r="D3" s="148" t="str">
        <f>'2023年'!D3</f>
        <v>驾驶员座椅总成</v>
      </c>
      <c r="E3" s="148" t="str">
        <f>'2023年'!E3</f>
        <v>驾驶员座椅总成</v>
      </c>
      <c r="F3" s="148" t="str">
        <f>'2023年'!F3</f>
        <v>驾驶员座椅总成</v>
      </c>
      <c r="G3" s="148" t="str">
        <f>'2023年'!G3</f>
        <v>副驾驶座椅总成</v>
      </c>
      <c r="H3" s="148" t="str">
        <f>'2023年'!H3</f>
        <v>驾驶员底支架</v>
      </c>
      <c r="I3" s="148" t="str">
        <f>'2023年'!I3</f>
        <v>副驾驶功能座椅</v>
      </c>
      <c r="J3" s="148" t="str">
        <f>'2023年'!J3</f>
        <v>副驾驶员底支架</v>
      </c>
      <c r="K3" s="243" t="s">
        <v>15</v>
      </c>
    </row>
    <row r="4" spans="1:40">
      <c r="A4" s="242" t="s">
        <v>140</v>
      </c>
      <c r="B4" s="242"/>
      <c r="C4" s="148" t="str">
        <f>'2023年'!C4</f>
        <v>SHT0011947</v>
      </c>
      <c r="D4" s="148" t="str">
        <f>'2023年'!D4</f>
        <v>SHT0011948</v>
      </c>
      <c r="E4" s="148" t="str">
        <f>'2023年'!E4</f>
        <v>SHT0011950</v>
      </c>
      <c r="F4" s="148" t="str">
        <f>'2023年'!F4</f>
        <v>SHT0011949</v>
      </c>
      <c r="G4" s="148" t="str">
        <f>'2023年'!G4</f>
        <v>SHT0011951</v>
      </c>
      <c r="H4" s="148" t="str">
        <f>'2023年'!H4</f>
        <v>SHT0010844</v>
      </c>
      <c r="I4" s="148" t="str">
        <f>'2023年'!I4</f>
        <v>SHT0011952</v>
      </c>
      <c r="J4" s="148" t="str">
        <f>'2023年'!J4</f>
        <v>SHT0011878</v>
      </c>
      <c r="K4" s="244"/>
    </row>
    <row r="5" spans="1:40">
      <c r="A5" s="242" t="s">
        <v>141</v>
      </c>
      <c r="B5" s="242"/>
      <c r="C5" s="40"/>
      <c r="D5" s="40"/>
      <c r="E5" s="40"/>
      <c r="F5" s="40"/>
      <c r="G5" s="40"/>
      <c r="H5" s="40"/>
      <c r="I5" s="40"/>
      <c r="J5" s="40"/>
      <c r="K5" s="245"/>
      <c r="AN5" s="37" t="s">
        <v>16</v>
      </c>
    </row>
    <row r="6" spans="1:40" ht="17.25">
      <c r="A6" s="41" t="s">
        <v>14</v>
      </c>
      <c r="B6" s="42" t="s">
        <v>142</v>
      </c>
      <c r="C6" s="13">
        <f>销量!C12</f>
        <v>35000</v>
      </c>
      <c r="D6" s="13">
        <f>销量!D12</f>
        <v>5000</v>
      </c>
      <c r="E6" s="13">
        <f>销量!E12</f>
        <v>5000</v>
      </c>
      <c r="F6" s="13">
        <f>销量!F12</f>
        <v>5000</v>
      </c>
      <c r="G6" s="13">
        <f>销量!G12</f>
        <v>5000</v>
      </c>
      <c r="H6" s="13">
        <f>销量!H12</f>
        <v>55000</v>
      </c>
      <c r="I6" s="13">
        <f>销量!I12</f>
        <v>45000</v>
      </c>
      <c r="J6" s="13">
        <f>销量!J12</f>
        <v>45000</v>
      </c>
      <c r="K6" s="43">
        <f>SUM(C6:J6)</f>
        <v>200000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65164400</v>
      </c>
      <c r="D7" s="43">
        <f>D6*销量!D8</f>
        <v>10813000</v>
      </c>
      <c r="E7" s="43">
        <f>E6*销量!E8</f>
        <v>14773900.000000002</v>
      </c>
      <c r="F7" s="43">
        <f>F6*销量!F8</f>
        <v>14522700</v>
      </c>
      <c r="G7" s="43">
        <f>G6*销量!G8</f>
        <v>9399200</v>
      </c>
      <c r="H7" s="43">
        <f>H6*销量!H8</f>
        <v>4725600</v>
      </c>
      <c r="I7" s="43">
        <f>I6*销量!I8</f>
        <v>30157650</v>
      </c>
      <c r="J7" s="43">
        <f>J6*销量!J8</f>
        <v>3446100</v>
      </c>
      <c r="K7" s="43">
        <f t="shared" ref="K7:K22" si="0">SUM(C7:J7)</f>
        <v>153002550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>
        <f>C7*(1-销量!$O$9)</f>
        <v>1935447.8443999984</v>
      </c>
      <c r="D8" s="43">
        <f>D7*(1-销量!$O$9)</f>
        <v>321156.91299999977</v>
      </c>
      <c r="E8" s="43">
        <f>E7*(1-销量!$O$9)</f>
        <v>438799.6038999997</v>
      </c>
      <c r="F8" s="43">
        <f>F7*(1-销量!$O$9)</f>
        <v>431338.71269999968</v>
      </c>
      <c r="G8" s="43">
        <f>G7*(1-销量!$O$9)</f>
        <v>279165.6391999998</v>
      </c>
      <c r="H8" s="43">
        <f>H7*(1-销量!$O$9)</f>
        <v>140355.0455999999</v>
      </c>
      <c r="I8" s="43">
        <f>I7*(1-销量!$O$9)</f>
        <v>895712.36264999933</v>
      </c>
      <c r="J8" s="43">
        <f>J7*(1-销量!$O$9)</f>
        <v>102352.61609999993</v>
      </c>
      <c r="K8" s="43">
        <f t="shared" si="0"/>
        <v>4544328.737549996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63228952.155600004</v>
      </c>
      <c r="D9" s="43">
        <f t="shared" ref="D9:J9" si="1">+D7-D8</f>
        <v>10491843.086999999</v>
      </c>
      <c r="E9" s="43">
        <f t="shared" si="1"/>
        <v>14335100.396100001</v>
      </c>
      <c r="F9" s="43">
        <f t="shared" si="1"/>
        <v>14091361.2873</v>
      </c>
      <c r="G9" s="43">
        <f t="shared" si="1"/>
        <v>9120034.3607999999</v>
      </c>
      <c r="H9" s="43">
        <f t="shared" si="1"/>
        <v>4585244.9544000002</v>
      </c>
      <c r="I9" s="43">
        <f t="shared" si="1"/>
        <v>29261937.63735</v>
      </c>
      <c r="J9" s="43">
        <f t="shared" si="1"/>
        <v>3343747.3839000002</v>
      </c>
      <c r="K9" s="43">
        <f t="shared" si="0"/>
        <v>148458221.26245001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50104078.846739449</v>
      </c>
      <c r="D10" s="43">
        <f t="shared" ref="D10:J10" si="2">D6*D33</f>
        <v>8931652.1853474062</v>
      </c>
      <c r="E10" s="43">
        <f t="shared" si="2"/>
        <v>11959177.997794183</v>
      </c>
      <c r="F10" s="43">
        <f t="shared" si="2"/>
        <v>10881175.80879418</v>
      </c>
      <c r="G10" s="43">
        <f t="shared" si="2"/>
        <v>7153773.5000525592</v>
      </c>
      <c r="H10" s="43">
        <f t="shared" si="2"/>
        <v>2667437.4120219182</v>
      </c>
      <c r="I10" s="43">
        <f t="shared" si="2"/>
        <v>25937226.325975932</v>
      </c>
      <c r="J10" s="43">
        <f t="shared" si="2"/>
        <v>2002842.6808499999</v>
      </c>
      <c r="K10" s="43">
        <f t="shared" si="0"/>
        <v>119637364.75757563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3788697.322884615</v>
      </c>
      <c r="D11" s="43">
        <f t="shared" ref="D11:J11" si="3">+D6*D36</f>
        <v>628674.30916806322</v>
      </c>
      <c r="E11" s="43">
        <f t="shared" si="3"/>
        <v>858963.41220919741</v>
      </c>
      <c r="F11" s="43">
        <f t="shared" si="3"/>
        <v>844358.49345741526</v>
      </c>
      <c r="G11" s="43">
        <f t="shared" si="3"/>
        <v>546475.1287091889</v>
      </c>
      <c r="H11" s="43">
        <f t="shared" si="3"/>
        <v>274749.21995788399</v>
      </c>
      <c r="I11" s="43">
        <f t="shared" si="3"/>
        <v>1753383.8694055527</v>
      </c>
      <c r="J11" s="43">
        <f t="shared" si="3"/>
        <v>200358.32209600139</v>
      </c>
      <c r="K11" s="43">
        <f t="shared" si="0"/>
        <v>8895660.0778879188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1177413.6358011216</v>
      </c>
      <c r="D12" s="43">
        <f t="shared" ref="D12:J12" si="4">+D6*D37</f>
        <v>195373.14306458019</v>
      </c>
      <c r="E12" s="43">
        <f t="shared" si="4"/>
        <v>266940.09787494695</v>
      </c>
      <c r="F12" s="43">
        <f t="shared" si="4"/>
        <v>262401.3266238767</v>
      </c>
      <c r="G12" s="43">
        <f t="shared" si="4"/>
        <v>169828.1000917971</v>
      </c>
      <c r="H12" s="43">
        <f t="shared" si="4"/>
        <v>85383.827325069826</v>
      </c>
      <c r="I12" s="43">
        <f t="shared" si="4"/>
        <v>544899.18319999415</v>
      </c>
      <c r="J12" s="43">
        <f t="shared" si="4"/>
        <v>62265.364682775347</v>
      </c>
      <c r="K12" s="43">
        <f t="shared" si="0"/>
        <v>2764504.6786641623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651644</v>
      </c>
      <c r="D13" s="43">
        <f t="shared" ref="D13:J13" si="5">+D6*D38</f>
        <v>108130</v>
      </c>
      <c r="E13" s="43">
        <f t="shared" si="5"/>
        <v>147739</v>
      </c>
      <c r="F13" s="43">
        <f t="shared" si="5"/>
        <v>145227</v>
      </c>
      <c r="G13" s="43">
        <f t="shared" si="5"/>
        <v>93992</v>
      </c>
      <c r="H13" s="43">
        <f t="shared" si="5"/>
        <v>47256.000000000007</v>
      </c>
      <c r="I13" s="43">
        <f t="shared" si="5"/>
        <v>301576.5</v>
      </c>
      <c r="J13" s="43">
        <f t="shared" si="5"/>
        <v>34461</v>
      </c>
      <c r="K13" s="43">
        <f t="shared" si="0"/>
        <v>1530025.5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5617754.9586857371</v>
      </c>
      <c r="D14" s="43">
        <f t="shared" ref="D14:J14" si="6">SUM(D11:D13)</f>
        <v>932177.45223264338</v>
      </c>
      <c r="E14" s="43">
        <f t="shared" si="6"/>
        <v>1273642.5100841443</v>
      </c>
      <c r="F14" s="43">
        <f t="shared" si="6"/>
        <v>1251986.820081292</v>
      </c>
      <c r="G14" s="43">
        <f t="shared" si="6"/>
        <v>810295.22880098596</v>
      </c>
      <c r="H14" s="43">
        <f t="shared" si="6"/>
        <v>407389.0472829538</v>
      </c>
      <c r="I14" s="43">
        <f t="shared" si="6"/>
        <v>2599859.552605547</v>
      </c>
      <c r="J14" s="43">
        <f t="shared" si="6"/>
        <v>297084.68677877676</v>
      </c>
      <c r="K14" s="43">
        <f t="shared" si="0"/>
        <v>13190190.25655208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7507118.3501748182</v>
      </c>
      <c r="D15" s="43">
        <f t="shared" ref="D15:J15" si="7">+D9-D10-D14</f>
        <v>628013.44941994979</v>
      </c>
      <c r="E15" s="43">
        <f t="shared" si="7"/>
        <v>1102279.8882216741</v>
      </c>
      <c r="F15" s="43">
        <f t="shared" si="7"/>
        <v>1958198.6584245281</v>
      </c>
      <c r="G15" s="43">
        <f t="shared" si="7"/>
        <v>1155965.6319464548</v>
      </c>
      <c r="H15" s="43">
        <f t="shared" si="7"/>
        <v>1510418.4950951282</v>
      </c>
      <c r="I15" s="43">
        <f t="shared" si="7"/>
        <v>724851.75876852125</v>
      </c>
      <c r="J15" s="43">
        <f t="shared" si="7"/>
        <v>1043820.0162712235</v>
      </c>
      <c r="K15" s="43">
        <f t="shared" si="0"/>
        <v>15630666.248322301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>
        <f>+C15/C9</f>
        <v>0.11872912794285385</v>
      </c>
      <c r="D16" s="45">
        <f t="shared" ref="D16:J16" si="8">+D15/D9</f>
        <v>5.9857304785476136E-2</v>
      </c>
      <c r="E16" s="45">
        <f t="shared" si="8"/>
        <v>7.6893768286517172E-2</v>
      </c>
      <c r="F16" s="45">
        <f t="shared" si="8"/>
        <v>0.13896447749085655</v>
      </c>
      <c r="G16" s="45">
        <f t="shared" si="8"/>
        <v>0.12675013999015841</v>
      </c>
      <c r="H16" s="45">
        <f t="shared" si="8"/>
        <v>0.32940846347712155</v>
      </c>
      <c r="I16" s="45">
        <f t="shared" si="8"/>
        <v>2.477114700167083E-2</v>
      </c>
      <c r="J16" s="45">
        <f t="shared" si="8"/>
        <v>0.31217071639358046</v>
      </c>
      <c r="K16" s="45">
        <f t="shared" ref="K16" si="9">+K15/K9</f>
        <v>0.10528663293553694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>
        <f>C6*C43+C18</f>
        <v>2935556.75</v>
      </c>
      <c r="D17" s="43">
        <f t="shared" ref="D17:J17" si="10">D6*D43+D18</f>
        <v>487036.24999999994</v>
      </c>
      <c r="E17" s="43">
        <f t="shared" si="10"/>
        <v>665276.75</v>
      </c>
      <c r="F17" s="43">
        <f t="shared" si="10"/>
        <v>653972.75</v>
      </c>
      <c r="G17" s="43">
        <f t="shared" si="10"/>
        <v>423415.25</v>
      </c>
      <c r="H17" s="43">
        <f t="shared" si="10"/>
        <v>217615.75</v>
      </c>
      <c r="I17" s="43">
        <f t="shared" si="10"/>
        <v>1361155.4999999998</v>
      </c>
      <c r="J17" s="43">
        <f t="shared" si="10"/>
        <v>159135.75</v>
      </c>
      <c r="K17" s="43">
        <f t="shared" si="0"/>
        <v>6903164.75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>
        <f>$K$18/$K$6*C6</f>
        <v>3158.75</v>
      </c>
      <c r="D18" s="47">
        <f t="shared" ref="D18:J18" si="11">$K$18/$K$6*D6</f>
        <v>451.25</v>
      </c>
      <c r="E18" s="47">
        <f t="shared" si="11"/>
        <v>451.25</v>
      </c>
      <c r="F18" s="47">
        <f t="shared" si="11"/>
        <v>451.25</v>
      </c>
      <c r="G18" s="47">
        <f t="shared" si="11"/>
        <v>451.25</v>
      </c>
      <c r="H18" s="47">
        <f t="shared" si="11"/>
        <v>4963.75</v>
      </c>
      <c r="I18" s="47">
        <f t="shared" si="11"/>
        <v>4061.25</v>
      </c>
      <c r="J18" s="47">
        <f t="shared" si="11"/>
        <v>4061.25</v>
      </c>
      <c r="K18" s="47">
        <f>项目投资!D26</f>
        <v>18050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514798.76</v>
      </c>
      <c r="D19" s="43">
        <f t="shared" ref="D19:J19" si="12">D6*D44</f>
        <v>85422.7</v>
      </c>
      <c r="E19" s="43">
        <f t="shared" si="12"/>
        <v>116713.81000000003</v>
      </c>
      <c r="F19" s="43">
        <f t="shared" si="12"/>
        <v>114729.33000000002</v>
      </c>
      <c r="G19" s="43">
        <f t="shared" si="12"/>
        <v>74253.680000000008</v>
      </c>
      <c r="H19" s="43">
        <f t="shared" si="12"/>
        <v>37332.240000000005</v>
      </c>
      <c r="I19" s="43">
        <f t="shared" si="12"/>
        <v>238245.43500000003</v>
      </c>
      <c r="J19" s="43">
        <f t="shared" si="12"/>
        <v>27224.190000000002</v>
      </c>
      <c r="K19" s="43">
        <f t="shared" si="0"/>
        <v>1208720.145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2643283.7119871881</v>
      </c>
      <c r="D20" s="43">
        <f t="shared" ref="D20:J20" si="13">D6*D45</f>
        <v>438611.06336768949</v>
      </c>
      <c r="E20" s="43">
        <f t="shared" si="13"/>
        <v>599278.27513991564</v>
      </c>
      <c r="F20" s="43">
        <f t="shared" si="13"/>
        <v>589088.77184592106</v>
      </c>
      <c r="G20" s="43">
        <f t="shared" si="13"/>
        <v>381262.65669153677</v>
      </c>
      <c r="H20" s="43">
        <f t="shared" si="13"/>
        <v>191685.97438734426</v>
      </c>
      <c r="I20" s="43">
        <f t="shared" si="13"/>
        <v>1223294.0844511793</v>
      </c>
      <c r="J20" s="43">
        <f t="shared" si="13"/>
        <v>139785.22014902384</v>
      </c>
      <c r="K20" s="43">
        <f t="shared" si="0"/>
        <v>6206289.7580197984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>
        <f>$K$21/$K$6*C6</f>
        <v>8506.3999999999978</v>
      </c>
      <c r="D21" s="48">
        <f t="shared" ref="D21:J21" si="14">$K$21/$K$6*D6</f>
        <v>1215.1999999999998</v>
      </c>
      <c r="E21" s="48">
        <f t="shared" si="14"/>
        <v>1215.1999999999998</v>
      </c>
      <c r="F21" s="48">
        <f t="shared" si="14"/>
        <v>1215.1999999999998</v>
      </c>
      <c r="G21" s="48">
        <f t="shared" si="14"/>
        <v>1215.1999999999998</v>
      </c>
      <c r="H21" s="48">
        <f t="shared" si="14"/>
        <v>13367.199999999997</v>
      </c>
      <c r="I21" s="48">
        <f t="shared" si="14"/>
        <v>10936.799999999997</v>
      </c>
      <c r="J21" s="48">
        <f t="shared" si="14"/>
        <v>10936.799999999997</v>
      </c>
      <c r="K21" s="43">
        <f>项目投资!H27</f>
        <v>48607.999999999993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1388001.7199999997</v>
      </c>
      <c r="D22" s="43">
        <f t="shared" ref="D22:J22" si="15">D6*D47</f>
        <v>230316.89999999997</v>
      </c>
      <c r="E22" s="43">
        <f t="shared" si="15"/>
        <v>314684.07</v>
      </c>
      <c r="F22" s="43">
        <f t="shared" si="15"/>
        <v>309333.51</v>
      </c>
      <c r="G22" s="43">
        <f t="shared" si="15"/>
        <v>200202.96</v>
      </c>
      <c r="H22" s="43">
        <f t="shared" si="15"/>
        <v>100655.28</v>
      </c>
      <c r="I22" s="43">
        <f t="shared" si="15"/>
        <v>642357.94499999995</v>
      </c>
      <c r="J22" s="43">
        <f t="shared" si="15"/>
        <v>73401.929999999993</v>
      </c>
      <c r="K22" s="43">
        <f t="shared" si="0"/>
        <v>3258954.3149999995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>
        <f>+C22+C21+C20+C19+C17</f>
        <v>7490147.341987188</v>
      </c>
      <c r="D23" s="48">
        <f t="shared" ref="D23:J23" si="16">+D22+D21+D20+D19+D17</f>
        <v>1242602.1133676893</v>
      </c>
      <c r="E23" s="48">
        <f t="shared" si="16"/>
        <v>1697168.1051399158</v>
      </c>
      <c r="F23" s="48">
        <f t="shared" si="16"/>
        <v>1668339.5618459212</v>
      </c>
      <c r="G23" s="48">
        <f t="shared" si="16"/>
        <v>1080349.7466915369</v>
      </c>
      <c r="H23" s="48">
        <f t="shared" si="16"/>
        <v>560656.44438734418</v>
      </c>
      <c r="I23" s="48">
        <f t="shared" si="16"/>
        <v>3475989.7644511787</v>
      </c>
      <c r="J23" s="48">
        <f t="shared" si="16"/>
        <v>410483.89014902385</v>
      </c>
      <c r="K23" s="48">
        <f t="shared" ref="K23" si="17">+K22+K21+K20+K19+K17</f>
        <v>17625736.968019798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>
        <f>+C15-C23</f>
        <v>16971.008187630214</v>
      </c>
      <c r="D24" s="48">
        <f t="shared" ref="D24:J24" si="18">+D15-D23</f>
        <v>-614588.66394773952</v>
      </c>
      <c r="E24" s="48">
        <f t="shared" si="18"/>
        <v>-594888.2169182417</v>
      </c>
      <c r="F24" s="48">
        <f t="shared" si="18"/>
        <v>289859.09657860687</v>
      </c>
      <c r="G24" s="48">
        <f t="shared" si="18"/>
        <v>75615.885254917899</v>
      </c>
      <c r="H24" s="48">
        <f t="shared" si="18"/>
        <v>949762.05070778402</v>
      </c>
      <c r="I24" s="48">
        <f t="shared" si="18"/>
        <v>-2751138.0056826575</v>
      </c>
      <c r="J24" s="48">
        <f t="shared" si="18"/>
        <v>633336.1261221997</v>
      </c>
      <c r="K24" s="48">
        <f t="shared" ref="K24" si="19">+K15-K23</f>
        <v>-1995070.7196974978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231</v>
      </c>
      <c r="C25" s="48">
        <f>IF(C24&lt;0,0,C24*0.15)</f>
        <v>2545.6512281445321</v>
      </c>
      <c r="D25" s="48">
        <f t="shared" ref="D25:J25" si="20">IF(D24&lt;0,0,D24*0.15)</f>
        <v>0</v>
      </c>
      <c r="E25" s="48">
        <f t="shared" si="20"/>
        <v>0</v>
      </c>
      <c r="F25" s="48">
        <f t="shared" si="20"/>
        <v>43478.864486791026</v>
      </c>
      <c r="G25" s="48">
        <f t="shared" si="20"/>
        <v>11342.382788237685</v>
      </c>
      <c r="H25" s="48">
        <f t="shared" si="20"/>
        <v>142464.3076061676</v>
      </c>
      <c r="I25" s="48">
        <f t="shared" si="20"/>
        <v>0</v>
      </c>
      <c r="J25" s="48">
        <f t="shared" si="20"/>
        <v>95000.418918329946</v>
      </c>
      <c r="K25" s="48">
        <f>IF(K24&lt;0,0,K24*0.15)</f>
        <v>0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>
        <f t="shared" ref="C26" si="21">C24-C25</f>
        <v>14425.356959485682</v>
      </c>
      <c r="D26" s="48">
        <f t="shared" ref="D26:J26" si="22">D24-D25</f>
        <v>-614588.66394773952</v>
      </c>
      <c r="E26" s="48">
        <f t="shared" si="22"/>
        <v>-594888.2169182417</v>
      </c>
      <c r="F26" s="48">
        <f t="shared" si="22"/>
        <v>246380.23209181585</v>
      </c>
      <c r="G26" s="48">
        <f t="shared" si="22"/>
        <v>64273.502466680213</v>
      </c>
      <c r="H26" s="48">
        <f t="shared" si="22"/>
        <v>807297.74310161639</v>
      </c>
      <c r="I26" s="48">
        <f t="shared" si="22"/>
        <v>-2751138.0056826575</v>
      </c>
      <c r="J26" s="48">
        <f t="shared" si="22"/>
        <v>538335.70720386971</v>
      </c>
      <c r="K26" s="43">
        <f>+SUM(C26:J26)</f>
        <v>-2289902.3447251706</v>
      </c>
      <c r="L26" s="56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>
        <f t="shared" ref="C27:K27" si="23">C26/C7</f>
        <v>2.2136867614043376E-4</v>
      </c>
      <c r="D27" s="50">
        <f t="shared" ref="D27:J27" si="24">D26/D7</f>
        <v>-5.6837941731965186E-2</v>
      </c>
      <c r="E27" s="50">
        <f t="shared" si="24"/>
        <v>-4.0266159708556418E-2</v>
      </c>
      <c r="F27" s="50">
        <f t="shared" si="24"/>
        <v>1.6965180861121958E-2</v>
      </c>
      <c r="G27" s="50">
        <f t="shared" si="24"/>
        <v>6.8381886188909917E-3</v>
      </c>
      <c r="H27" s="50">
        <f t="shared" si="24"/>
        <v>0.17083497187692914</v>
      </c>
      <c r="I27" s="50">
        <f t="shared" si="24"/>
        <v>-9.122521170192828E-2</v>
      </c>
      <c r="J27" s="50">
        <f t="shared" si="24"/>
        <v>0.15621592733927331</v>
      </c>
      <c r="K27" s="50">
        <f t="shared" si="23"/>
        <v>-1.4966432551125263E-2</v>
      </c>
      <c r="L27" s="56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1861.84</v>
      </c>
      <c r="D31" s="52">
        <f>'2023年'!D31</f>
        <v>2162.6</v>
      </c>
      <c r="E31" s="52">
        <f>'2023年'!E31</f>
        <v>2954.78</v>
      </c>
      <c r="F31" s="52">
        <f>'2023年'!F31</f>
        <v>2904.54</v>
      </c>
      <c r="G31" s="52">
        <f>'2023年'!G31</f>
        <v>1879.84</v>
      </c>
      <c r="H31" s="52">
        <f>'2023年'!H31</f>
        <v>85.92</v>
      </c>
      <c r="I31" s="52">
        <f>'2023年'!I31</f>
        <v>670.17</v>
      </c>
      <c r="J31" s="52">
        <f>'2023年'!J31</f>
        <v>76.58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>
        <f>C9/C6</f>
        <v>1806.5414901600002</v>
      </c>
      <c r="D32" s="43">
        <f t="shared" ref="D32:J32" si="25">D9/D6</f>
        <v>2098.3686173999999</v>
      </c>
      <c r="E32" s="43">
        <f t="shared" si="25"/>
        <v>2867.0200792200003</v>
      </c>
      <c r="F32" s="43">
        <f t="shared" si="25"/>
        <v>2818.2722574600002</v>
      </c>
      <c r="G32" s="43">
        <f t="shared" si="25"/>
        <v>1824.0068721600001</v>
      </c>
      <c r="H32" s="43">
        <f t="shared" si="25"/>
        <v>83.368090080000002</v>
      </c>
      <c r="I32" s="43">
        <f t="shared" si="25"/>
        <v>650.26528083000005</v>
      </c>
      <c r="J32" s="43">
        <f t="shared" si="25"/>
        <v>74.305497420000009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43">
        <f>'2025年'!C33*(1-0.01)</f>
        <v>1431.5451099068414</v>
      </c>
      <c r="D33" s="43">
        <f>'2025年'!D33*(1-0.01)</f>
        <v>1786.3304370694814</v>
      </c>
      <c r="E33" s="43">
        <f>'2025年'!E33*(1-0.01)</f>
        <v>2391.8355995588367</v>
      </c>
      <c r="F33" s="43">
        <f>'2025年'!F33*(1-0.01)</f>
        <v>2176.2351617588361</v>
      </c>
      <c r="G33" s="43">
        <f>'2025年'!G33*(1-0.01)</f>
        <v>1430.7547000105119</v>
      </c>
      <c r="H33" s="43">
        <f>'2025年'!H33*(1-0.01)</f>
        <v>48.498862036762148</v>
      </c>
      <c r="I33" s="43">
        <f>'2025年'!I33*(1-0.01)</f>
        <v>576.38280724390961</v>
      </c>
      <c r="J33" s="43">
        <f>'2025年'!J33*(1-0.01)</f>
        <v>44.507615129999998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>
        <f>C32-C33</f>
        <v>374.9963802531588</v>
      </c>
      <c r="D34" s="53">
        <f t="shared" ref="D34:J34" si="26">D32-D33</f>
        <v>312.03818033051857</v>
      </c>
      <c r="E34" s="53">
        <f t="shared" si="26"/>
        <v>475.18447966116355</v>
      </c>
      <c r="F34" s="53">
        <f t="shared" si="26"/>
        <v>642.03709570116416</v>
      </c>
      <c r="G34" s="53">
        <f t="shared" si="26"/>
        <v>393.25217214948816</v>
      </c>
      <c r="H34" s="53">
        <f t="shared" si="26"/>
        <v>34.869228043237854</v>
      </c>
      <c r="I34" s="53">
        <f t="shared" si="26"/>
        <v>73.882473586090441</v>
      </c>
      <c r="J34" s="53">
        <f t="shared" si="26"/>
        <v>29.797882290000011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108.24849493956043</v>
      </c>
      <c r="D36" s="47">
        <f>'2023年'!D36</f>
        <v>125.73486183361265</v>
      </c>
      <c r="E36" s="47">
        <f>'2023年'!E36</f>
        <v>171.79268244183947</v>
      </c>
      <c r="F36" s="47">
        <f>'2023年'!F36</f>
        <v>168.87169869148306</v>
      </c>
      <c r="G36" s="47">
        <f>'2023年'!G36</f>
        <v>109.29502574183779</v>
      </c>
      <c r="H36" s="47">
        <f>'2023年'!H36</f>
        <v>4.9954403628706183</v>
      </c>
      <c r="I36" s="47">
        <f>'2023年'!I36</f>
        <v>38.96408598679006</v>
      </c>
      <c r="J36" s="47">
        <f>'2023年'!J36</f>
        <v>4.4524071576889197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33.64038959431776</v>
      </c>
      <c r="D37" s="47">
        <f>'2023年'!D37</f>
        <v>39.074628612916037</v>
      </c>
      <c r="E37" s="47">
        <f>'2023年'!E37</f>
        <v>53.388019574989393</v>
      </c>
      <c r="F37" s="47">
        <f>'2023年'!F37</f>
        <v>52.480265324775338</v>
      </c>
      <c r="G37" s="47">
        <f>'2023年'!G37</f>
        <v>33.965620018359417</v>
      </c>
      <c r="H37" s="47">
        <f>'2023年'!H37</f>
        <v>1.5524332240921788</v>
      </c>
      <c r="I37" s="47">
        <f>'2023年'!I37</f>
        <v>12.108870737777647</v>
      </c>
      <c r="J37" s="47">
        <f>'2023年'!J37</f>
        <v>1.383674770728341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18.618400000000001</v>
      </c>
      <c r="D38" s="47">
        <f>'2023年'!D38</f>
        <v>21.626000000000001</v>
      </c>
      <c r="E38" s="47">
        <f>'2023年'!E38</f>
        <v>29.547800000000002</v>
      </c>
      <c r="F38" s="47">
        <f>'2023年'!F38</f>
        <v>29.045400000000001</v>
      </c>
      <c r="G38" s="47">
        <f>'2023年'!G38</f>
        <v>18.798400000000001</v>
      </c>
      <c r="H38" s="47">
        <f>'2023年'!H38</f>
        <v>0.85920000000000007</v>
      </c>
      <c r="I38" s="47">
        <f>'2023年'!I38</f>
        <v>6.7016999999999998</v>
      </c>
      <c r="J38" s="47">
        <f>'2023年'!J38</f>
        <v>0.76580000000000004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>
        <f>C34-C36-C37-C38</f>
        <v>214.48909571928061</v>
      </c>
      <c r="D40" s="48">
        <f t="shared" ref="D40:J40" si="27">D34-D36-D37-D38</f>
        <v>125.60268988398988</v>
      </c>
      <c r="E40" s="48">
        <f t="shared" si="27"/>
        <v>220.45597764433469</v>
      </c>
      <c r="F40" s="48">
        <f t="shared" si="27"/>
        <v>391.63973168490577</v>
      </c>
      <c r="G40" s="48">
        <f t="shared" si="27"/>
        <v>231.19312638929097</v>
      </c>
      <c r="H40" s="48">
        <f t="shared" si="27"/>
        <v>27.462154456275055</v>
      </c>
      <c r="I40" s="48">
        <f t="shared" si="27"/>
        <v>16.107816861522736</v>
      </c>
      <c r="J40" s="48">
        <f t="shared" si="27"/>
        <v>23.196000361582751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83.782799999999995</v>
      </c>
      <c r="D43" s="47">
        <f>'2023年'!D43</f>
        <v>97.316999999999993</v>
      </c>
      <c r="E43" s="47">
        <f>'2023年'!E43</f>
        <v>132.96510000000001</v>
      </c>
      <c r="F43" s="47">
        <f>'2023年'!F43</f>
        <v>130.70429999999999</v>
      </c>
      <c r="G43" s="47">
        <f>'2023年'!G43</f>
        <v>84.592799999999997</v>
      </c>
      <c r="H43" s="47">
        <f>'2023年'!H43</f>
        <v>3.8664000000000001</v>
      </c>
      <c r="I43" s="47">
        <f>'2023年'!I43</f>
        <v>30.157649999999997</v>
      </c>
      <c r="J43" s="47">
        <f>'2023年'!J43</f>
        <v>3.4460999999999999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14.708536</v>
      </c>
      <c r="D44" s="47">
        <f>'2023年'!D44</f>
        <v>17.084540000000001</v>
      </c>
      <c r="E44" s="47">
        <f>'2023年'!E44</f>
        <v>23.342762000000004</v>
      </c>
      <c r="F44" s="47">
        <f>'2023年'!F44</f>
        <v>22.945866000000002</v>
      </c>
      <c r="G44" s="47">
        <f>'2023年'!G44</f>
        <v>14.850736000000001</v>
      </c>
      <c r="H44" s="47">
        <f>'2023年'!H44</f>
        <v>0.67876800000000004</v>
      </c>
      <c r="I44" s="47">
        <f>'2023年'!I44</f>
        <v>5.2943430000000005</v>
      </c>
      <c r="J44" s="47">
        <f>'2023年'!J44</f>
        <v>0.60498200000000002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75.522391771062516</v>
      </c>
      <c r="D45" s="47">
        <f>'2023年'!D45</f>
        <v>87.722212673537896</v>
      </c>
      <c r="E45" s="47">
        <f>'2023年'!E45</f>
        <v>119.85565502798313</v>
      </c>
      <c r="F45" s="47">
        <f>'2023年'!F45</f>
        <v>117.8177543691842</v>
      </c>
      <c r="G45" s="47">
        <f>'2023年'!G45</f>
        <v>76.25253133830735</v>
      </c>
      <c r="H45" s="47">
        <f>'2023年'!H45</f>
        <v>3.4851995343153503</v>
      </c>
      <c r="I45" s="47">
        <f>'2023年'!I45</f>
        <v>27.184312987803981</v>
      </c>
      <c r="J45" s="47">
        <f>'2023年'!J45</f>
        <v>3.1063382255338632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>
        <f>C21/C6</f>
        <v>0.24303999999999995</v>
      </c>
      <c r="D46" s="54">
        <f t="shared" ref="D46:J46" si="28">D21/D6</f>
        <v>0.24303999999999995</v>
      </c>
      <c r="E46" s="54">
        <f t="shared" si="28"/>
        <v>0.24303999999999995</v>
      </c>
      <c r="F46" s="54">
        <f t="shared" si="28"/>
        <v>0.24303999999999995</v>
      </c>
      <c r="G46" s="54">
        <f t="shared" si="28"/>
        <v>0.24303999999999995</v>
      </c>
      <c r="H46" s="54">
        <f t="shared" si="28"/>
        <v>0.24303999999999995</v>
      </c>
      <c r="I46" s="54">
        <f t="shared" si="28"/>
        <v>0.24303999999999995</v>
      </c>
      <c r="J46" s="54">
        <f t="shared" si="28"/>
        <v>0.24303999999999995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39.657191999999995</v>
      </c>
      <c r="D47" s="54">
        <f>'2023年'!D47</f>
        <v>46.063379999999995</v>
      </c>
      <c r="E47" s="54">
        <f>'2023年'!E47</f>
        <v>62.936814000000005</v>
      </c>
      <c r="F47" s="54">
        <f>'2023年'!F47</f>
        <v>61.866701999999997</v>
      </c>
      <c r="G47" s="54">
        <f>'2023年'!G47</f>
        <v>40.040591999999997</v>
      </c>
      <c r="H47" s="54">
        <f>'2023年'!H47</f>
        <v>1.8300959999999999</v>
      </c>
      <c r="I47" s="54">
        <f>'2023年'!I47</f>
        <v>14.274620999999998</v>
      </c>
      <c r="J47" s="54">
        <f>'2023年'!J47</f>
        <v>1.631154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>
        <f>C40-C43-C44-C45-C47-C46</f>
        <v>0.57513594821809799</v>
      </c>
      <c r="D48" s="48">
        <f t="shared" ref="D48:J48" si="29">D40-D43-D44-D45-D47-D46</f>
        <v>-122.827482789548</v>
      </c>
      <c r="E48" s="48">
        <f t="shared" si="29"/>
        <v>-118.88739338364844</v>
      </c>
      <c r="F48" s="48">
        <f t="shared" si="29"/>
        <v>58.062069315721587</v>
      </c>
      <c r="G48" s="48">
        <f t="shared" si="29"/>
        <v>15.213427050983597</v>
      </c>
      <c r="H48" s="48">
        <f t="shared" si="29"/>
        <v>17.358650921959704</v>
      </c>
      <c r="I48" s="48">
        <f t="shared" si="29"/>
        <v>-61.04615012628124</v>
      </c>
      <c r="J48" s="48">
        <f t="shared" si="29"/>
        <v>14.164386136048885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38" activePane="bottomRight" state="frozen"/>
      <selection pane="topRight"/>
      <selection pane="bottomLeft"/>
      <selection pane="bottomRight" activeCell="K6" sqref="K6:K27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42" t="s">
        <v>137</v>
      </c>
      <c r="B1" s="242"/>
      <c r="C1" s="246" t="s">
        <v>238</v>
      </c>
      <c r="D1" s="247"/>
      <c r="E1" s="247"/>
      <c r="F1" s="247"/>
      <c r="G1" s="247"/>
      <c r="H1" s="247"/>
      <c r="I1" s="247"/>
      <c r="J1" s="247"/>
      <c r="K1" s="248"/>
    </row>
    <row r="2" spans="1:40">
      <c r="A2" s="242" t="s">
        <v>138</v>
      </c>
      <c r="B2" s="242"/>
      <c r="C2" s="249" t="str">
        <f>'2023年'!C2:K2</f>
        <v>福田戴姆勒</v>
      </c>
      <c r="D2" s="249"/>
      <c r="E2" s="249"/>
      <c r="F2" s="249"/>
      <c r="G2" s="249"/>
      <c r="H2" s="249"/>
      <c r="I2" s="249"/>
      <c r="J2" s="249"/>
      <c r="K2" s="249"/>
    </row>
    <row r="3" spans="1:40">
      <c r="A3" s="242" t="s">
        <v>139</v>
      </c>
      <c r="B3" s="242"/>
      <c r="C3" s="148" t="str">
        <f>'2023年'!C3</f>
        <v>驾驶员座椅总成</v>
      </c>
      <c r="D3" s="148" t="str">
        <f>'2023年'!D3</f>
        <v>驾驶员座椅总成</v>
      </c>
      <c r="E3" s="148" t="str">
        <f>'2023年'!E3</f>
        <v>驾驶员座椅总成</v>
      </c>
      <c r="F3" s="148" t="str">
        <f>'2023年'!F3</f>
        <v>驾驶员座椅总成</v>
      </c>
      <c r="G3" s="148" t="str">
        <f>'2023年'!G3</f>
        <v>副驾驶座椅总成</v>
      </c>
      <c r="H3" s="148" t="str">
        <f>'2023年'!H3</f>
        <v>驾驶员底支架</v>
      </c>
      <c r="I3" s="148" t="str">
        <f>'2023年'!I3</f>
        <v>副驾驶功能座椅</v>
      </c>
      <c r="J3" s="148" t="str">
        <f>'2023年'!J3</f>
        <v>副驾驶员底支架</v>
      </c>
      <c r="K3" s="243" t="s">
        <v>15</v>
      </c>
    </row>
    <row r="4" spans="1:40">
      <c r="A4" s="242" t="s">
        <v>140</v>
      </c>
      <c r="B4" s="242"/>
      <c r="C4" s="148" t="str">
        <f>'2023年'!C4</f>
        <v>SHT0011947</v>
      </c>
      <c r="D4" s="148" t="str">
        <f>'2023年'!D4</f>
        <v>SHT0011948</v>
      </c>
      <c r="E4" s="148" t="str">
        <f>'2023年'!E4</f>
        <v>SHT0011950</v>
      </c>
      <c r="F4" s="148" t="str">
        <f>'2023年'!F4</f>
        <v>SHT0011949</v>
      </c>
      <c r="G4" s="148" t="str">
        <f>'2023年'!G4</f>
        <v>SHT0011951</v>
      </c>
      <c r="H4" s="148" t="str">
        <f>'2023年'!H4</f>
        <v>SHT0010844</v>
      </c>
      <c r="I4" s="148" t="str">
        <f>'2023年'!I4</f>
        <v>SHT0011952</v>
      </c>
      <c r="J4" s="148" t="str">
        <f>'2023年'!J4</f>
        <v>SHT0011878</v>
      </c>
      <c r="K4" s="244"/>
    </row>
    <row r="5" spans="1:40">
      <c r="A5" s="242" t="s">
        <v>141</v>
      </c>
      <c r="B5" s="242"/>
      <c r="C5" s="40"/>
      <c r="D5" s="40"/>
      <c r="E5" s="40"/>
      <c r="F5" s="40"/>
      <c r="G5" s="40"/>
      <c r="H5" s="40"/>
      <c r="I5" s="40"/>
      <c r="J5" s="40"/>
      <c r="K5" s="245"/>
      <c r="AN5" s="37" t="s">
        <v>16</v>
      </c>
    </row>
    <row r="6" spans="1:40" ht="17.25">
      <c r="A6" s="41" t="s">
        <v>14</v>
      </c>
      <c r="B6" s="42" t="s">
        <v>142</v>
      </c>
      <c r="C6" s="13">
        <f>销量!C13</f>
        <v>35000</v>
      </c>
      <c r="D6" s="13">
        <f>销量!D13</f>
        <v>5000</v>
      </c>
      <c r="E6" s="13">
        <f>销量!E13</f>
        <v>5000</v>
      </c>
      <c r="F6" s="13">
        <f>销量!F13</f>
        <v>5000</v>
      </c>
      <c r="G6" s="13">
        <f>销量!G13</f>
        <v>5000</v>
      </c>
      <c r="H6" s="13">
        <f>销量!H13</f>
        <v>55000</v>
      </c>
      <c r="I6" s="13">
        <f>销量!I13</f>
        <v>45000</v>
      </c>
      <c r="J6" s="13">
        <f>销量!J13</f>
        <v>45000</v>
      </c>
      <c r="K6" s="43">
        <f t="shared" ref="K6:K15" si="0">SUM(C6:J6)</f>
        <v>200000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65164400</v>
      </c>
      <c r="D7" s="43">
        <f>D6*销量!D8</f>
        <v>10813000</v>
      </c>
      <c r="E7" s="43">
        <f>E6*销量!E8</f>
        <v>14773900.000000002</v>
      </c>
      <c r="F7" s="43">
        <f>F6*销量!F8</f>
        <v>14522700</v>
      </c>
      <c r="G7" s="43">
        <f>G6*销量!G8</f>
        <v>9399200</v>
      </c>
      <c r="H7" s="43">
        <f>H6*销量!H8</f>
        <v>4725600</v>
      </c>
      <c r="I7" s="43">
        <f>I6*销量!I8</f>
        <v>30157650</v>
      </c>
      <c r="J7" s="43">
        <f>J6*销量!J8</f>
        <v>3446100</v>
      </c>
      <c r="K7" s="43">
        <f t="shared" si="0"/>
        <v>153002550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>
        <f>C7*(1-销量!$O$10)</f>
        <v>2567737.3659559963</v>
      </c>
      <c r="D8" s="43">
        <f>D7*(1-销量!$O$10)</f>
        <v>426075.3438699994</v>
      </c>
      <c r="E8" s="43">
        <f>E7*(1-销量!$O$10)</f>
        <v>582150.6078609993</v>
      </c>
      <c r="F8" s="43">
        <f>F7*(1-销量!$O$10)</f>
        <v>572252.32557299919</v>
      </c>
      <c r="G8" s="43">
        <f>G7*(1-销量!$O$10)</f>
        <v>370365.98280799948</v>
      </c>
      <c r="H8" s="43">
        <f>H7*(1-销量!$O$10)</f>
        <v>186207.49514399972</v>
      </c>
      <c r="I8" s="43">
        <f>I7*(1-销量!$O$10)</f>
        <v>1188331.7390234983</v>
      </c>
      <c r="J8" s="43">
        <f>J7*(1-销量!$O$10)</f>
        <v>135790.08993899979</v>
      </c>
      <c r="K8" s="43">
        <f t="shared" si="0"/>
        <v>6028910.9501744919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62596662.634044006</v>
      </c>
      <c r="D9" s="43">
        <f t="shared" ref="D9:J9" si="1">+D7-D8</f>
        <v>10386924.656130001</v>
      </c>
      <c r="E9" s="43">
        <f t="shared" si="1"/>
        <v>14191749.392139003</v>
      </c>
      <c r="F9" s="43">
        <f t="shared" si="1"/>
        <v>13950447.674427001</v>
      </c>
      <c r="G9" s="43">
        <f t="shared" si="1"/>
        <v>9028834.0171920005</v>
      </c>
      <c r="H9" s="43">
        <f t="shared" si="1"/>
        <v>4539392.5048560007</v>
      </c>
      <c r="I9" s="43">
        <f t="shared" si="1"/>
        <v>28969318.260976501</v>
      </c>
      <c r="J9" s="43">
        <f t="shared" si="1"/>
        <v>3310309.9100610004</v>
      </c>
      <c r="K9" s="43">
        <f t="shared" si="0"/>
        <v>146973639.04982552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49603038.058272049</v>
      </c>
      <c r="D10" s="43">
        <f t="shared" ref="D10:J10" si="2">D6*D33</f>
        <v>8842335.6634939332</v>
      </c>
      <c r="E10" s="43">
        <f t="shared" si="2"/>
        <v>11839586.217816243</v>
      </c>
      <c r="F10" s="43">
        <f t="shared" si="2"/>
        <v>10772364.050706238</v>
      </c>
      <c r="G10" s="43">
        <f t="shared" si="2"/>
        <v>7082235.7650520336</v>
      </c>
      <c r="H10" s="43">
        <f t="shared" si="2"/>
        <v>2640763.0379016986</v>
      </c>
      <c r="I10" s="43">
        <f t="shared" si="2"/>
        <v>25677854.062716175</v>
      </c>
      <c r="J10" s="43">
        <f t="shared" si="2"/>
        <v>1982814.2540414999</v>
      </c>
      <c r="K10" s="43">
        <f t="shared" si="0"/>
        <v>118440991.10999987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3788697.322884615</v>
      </c>
      <c r="D11" s="43">
        <f t="shared" ref="D11:J11" si="3">+D6*D36</f>
        <v>628674.30916806322</v>
      </c>
      <c r="E11" s="43">
        <f t="shared" si="3"/>
        <v>858963.41220919741</v>
      </c>
      <c r="F11" s="43">
        <f t="shared" si="3"/>
        <v>844358.49345741526</v>
      </c>
      <c r="G11" s="43">
        <f t="shared" si="3"/>
        <v>546475.1287091889</v>
      </c>
      <c r="H11" s="43">
        <f t="shared" si="3"/>
        <v>274749.21995788399</v>
      </c>
      <c r="I11" s="43">
        <f t="shared" si="3"/>
        <v>1753383.8694055527</v>
      </c>
      <c r="J11" s="43">
        <f t="shared" si="3"/>
        <v>200358.32209600139</v>
      </c>
      <c r="K11" s="43">
        <f t="shared" si="0"/>
        <v>8895660.0778879188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1177413.6358011216</v>
      </c>
      <c r="D12" s="43">
        <f t="shared" ref="D12:J12" si="4">+D6*D37</f>
        <v>195373.14306458019</v>
      </c>
      <c r="E12" s="43">
        <f t="shared" si="4"/>
        <v>266940.09787494695</v>
      </c>
      <c r="F12" s="43">
        <f t="shared" si="4"/>
        <v>262401.3266238767</v>
      </c>
      <c r="G12" s="43">
        <f t="shared" si="4"/>
        <v>169828.1000917971</v>
      </c>
      <c r="H12" s="43">
        <f t="shared" si="4"/>
        <v>85383.827325069826</v>
      </c>
      <c r="I12" s="43">
        <f t="shared" si="4"/>
        <v>544899.18319999415</v>
      </c>
      <c r="J12" s="43">
        <f t="shared" si="4"/>
        <v>62265.364682775347</v>
      </c>
      <c r="K12" s="43">
        <f t="shared" si="0"/>
        <v>2764504.6786641623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651644</v>
      </c>
      <c r="D13" s="43">
        <f t="shared" ref="D13:J13" si="5">+D6*D38</f>
        <v>108130</v>
      </c>
      <c r="E13" s="43">
        <f t="shared" si="5"/>
        <v>147739</v>
      </c>
      <c r="F13" s="43">
        <f t="shared" si="5"/>
        <v>145227</v>
      </c>
      <c r="G13" s="43">
        <f t="shared" si="5"/>
        <v>93992</v>
      </c>
      <c r="H13" s="43">
        <f t="shared" si="5"/>
        <v>47256.000000000007</v>
      </c>
      <c r="I13" s="43">
        <f t="shared" si="5"/>
        <v>301576.5</v>
      </c>
      <c r="J13" s="43">
        <f t="shared" si="5"/>
        <v>34461</v>
      </c>
      <c r="K13" s="43">
        <f t="shared" si="0"/>
        <v>1530025.5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5617754.9586857371</v>
      </c>
      <c r="D14" s="43">
        <f t="shared" ref="D14:J14" si="6">SUM(D11:D13)</f>
        <v>932177.45223264338</v>
      </c>
      <c r="E14" s="43">
        <f t="shared" si="6"/>
        <v>1273642.5100841443</v>
      </c>
      <c r="F14" s="43">
        <f t="shared" si="6"/>
        <v>1251986.820081292</v>
      </c>
      <c r="G14" s="43">
        <f t="shared" si="6"/>
        <v>810295.22880098596</v>
      </c>
      <c r="H14" s="43">
        <f t="shared" si="6"/>
        <v>407389.0472829538</v>
      </c>
      <c r="I14" s="43">
        <f t="shared" si="6"/>
        <v>2599859.552605547</v>
      </c>
      <c r="J14" s="43">
        <f t="shared" si="6"/>
        <v>297084.68677877676</v>
      </c>
      <c r="K14" s="43">
        <f t="shared" si="0"/>
        <v>13190190.25655208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7375869.6170862205</v>
      </c>
      <c r="D15" s="43">
        <f t="shared" ref="D15:J15" si="7">+D9-D10-D14</f>
        <v>612411.54040342441</v>
      </c>
      <c r="E15" s="43">
        <f t="shared" si="7"/>
        <v>1078520.6642386154</v>
      </c>
      <c r="F15" s="43">
        <f t="shared" si="7"/>
        <v>1926096.8036394713</v>
      </c>
      <c r="G15" s="43">
        <f t="shared" si="7"/>
        <v>1136303.023338981</v>
      </c>
      <c r="H15" s="43">
        <f t="shared" si="7"/>
        <v>1491240.4196713483</v>
      </c>
      <c r="I15" s="43">
        <f t="shared" si="7"/>
        <v>691604.64565477893</v>
      </c>
      <c r="J15" s="43">
        <f t="shared" si="7"/>
        <v>1030410.9692407236</v>
      </c>
      <c r="K15" s="43">
        <f t="shared" si="0"/>
        <v>15342457.683273563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>
        <f>+C15/C9</f>
        <v>0.11783167515187556</v>
      </c>
      <c r="D16" s="45">
        <f t="shared" ref="D16:J16" si="8">+D15/D9</f>
        <v>5.8959851994497763E-2</v>
      </c>
      <c r="E16" s="45">
        <f t="shared" si="8"/>
        <v>7.5996315495538716E-2</v>
      </c>
      <c r="F16" s="45">
        <f t="shared" si="8"/>
        <v>0.13806702469987822</v>
      </c>
      <c r="G16" s="45">
        <f t="shared" si="8"/>
        <v>0.12585268719918005</v>
      </c>
      <c r="H16" s="45">
        <f t="shared" si="8"/>
        <v>0.32851101068614325</v>
      </c>
      <c r="I16" s="45">
        <f t="shared" si="8"/>
        <v>2.3873694210692353E-2</v>
      </c>
      <c r="J16" s="45">
        <f t="shared" si="8"/>
        <v>0.31127326360260205</v>
      </c>
      <c r="K16" s="45">
        <f t="shared" ref="K16" si="9">+K15/K9</f>
        <v>0.10438918014455856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>
        <f>C6*C43+C18</f>
        <v>2935556.75</v>
      </c>
      <c r="D17" s="43">
        <f t="shared" ref="D17:J17" si="10">D6*D43+D18</f>
        <v>487036.24999999994</v>
      </c>
      <c r="E17" s="43">
        <f t="shared" si="10"/>
        <v>665276.75</v>
      </c>
      <c r="F17" s="43">
        <f t="shared" si="10"/>
        <v>653972.75</v>
      </c>
      <c r="G17" s="43">
        <f t="shared" si="10"/>
        <v>423415.25</v>
      </c>
      <c r="H17" s="43">
        <f t="shared" si="10"/>
        <v>217615.75</v>
      </c>
      <c r="I17" s="43">
        <f t="shared" si="10"/>
        <v>1361155.4999999998</v>
      </c>
      <c r="J17" s="43">
        <f t="shared" si="10"/>
        <v>159135.75</v>
      </c>
      <c r="K17" s="43">
        <f>SUM(C17:J17)</f>
        <v>6903164.75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>
        <f>$K$18/$K$6*C6</f>
        <v>3158.75</v>
      </c>
      <c r="D18" s="47">
        <f t="shared" ref="D18:J18" si="11">$K$18/$K$6*D6</f>
        <v>451.25</v>
      </c>
      <c r="E18" s="47">
        <f t="shared" si="11"/>
        <v>451.25</v>
      </c>
      <c r="F18" s="47">
        <f t="shared" si="11"/>
        <v>451.25</v>
      </c>
      <c r="G18" s="47">
        <f t="shared" si="11"/>
        <v>451.25</v>
      </c>
      <c r="H18" s="47">
        <f t="shared" si="11"/>
        <v>4963.75</v>
      </c>
      <c r="I18" s="47">
        <f t="shared" si="11"/>
        <v>4061.25</v>
      </c>
      <c r="J18" s="47">
        <f t="shared" si="11"/>
        <v>4061.25</v>
      </c>
      <c r="K18" s="47">
        <f>项目投资!D26</f>
        <v>18050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514798.76</v>
      </c>
      <c r="D19" s="43">
        <f t="shared" ref="D19:J19" si="12">D6*D44</f>
        <v>85422.7</v>
      </c>
      <c r="E19" s="43">
        <f t="shared" si="12"/>
        <v>116713.81000000003</v>
      </c>
      <c r="F19" s="43">
        <f t="shared" si="12"/>
        <v>114729.33000000002</v>
      </c>
      <c r="G19" s="43">
        <f t="shared" si="12"/>
        <v>74253.680000000008</v>
      </c>
      <c r="H19" s="43">
        <f t="shared" si="12"/>
        <v>37332.240000000005</v>
      </c>
      <c r="I19" s="43">
        <f t="shared" si="12"/>
        <v>238245.43500000003</v>
      </c>
      <c r="J19" s="43">
        <f t="shared" si="12"/>
        <v>27224.190000000002</v>
      </c>
      <c r="K19" s="43">
        <f>SUM(C19:J19)</f>
        <v>1208720.145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2643283.7119871881</v>
      </c>
      <c r="D20" s="43">
        <f t="shared" ref="D20:J20" si="13">D6*D45</f>
        <v>438611.06336768949</v>
      </c>
      <c r="E20" s="43">
        <f t="shared" si="13"/>
        <v>599278.27513991564</v>
      </c>
      <c r="F20" s="43">
        <f t="shared" si="13"/>
        <v>589088.77184592106</v>
      </c>
      <c r="G20" s="43">
        <f t="shared" si="13"/>
        <v>381262.65669153677</v>
      </c>
      <c r="H20" s="43">
        <f t="shared" si="13"/>
        <v>191685.97438734426</v>
      </c>
      <c r="I20" s="43">
        <f t="shared" si="13"/>
        <v>1223294.0844511793</v>
      </c>
      <c r="J20" s="43">
        <f t="shared" si="13"/>
        <v>139785.22014902384</v>
      </c>
      <c r="K20" s="43">
        <f>SUM(C20:J20)</f>
        <v>6206289.7580197984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>
        <f>$K$21/$K$6*C6</f>
        <v>8506.3999999999978</v>
      </c>
      <c r="D21" s="48">
        <f t="shared" ref="D21:J21" si="14">$K$21/$K$6*D6</f>
        <v>1215.1999999999998</v>
      </c>
      <c r="E21" s="48">
        <f t="shared" si="14"/>
        <v>1215.1999999999998</v>
      </c>
      <c r="F21" s="48">
        <f t="shared" si="14"/>
        <v>1215.1999999999998</v>
      </c>
      <c r="G21" s="48">
        <f t="shared" si="14"/>
        <v>1215.1999999999998</v>
      </c>
      <c r="H21" s="48">
        <f t="shared" si="14"/>
        <v>13367.199999999997</v>
      </c>
      <c r="I21" s="48">
        <f t="shared" si="14"/>
        <v>10936.799999999997</v>
      </c>
      <c r="J21" s="48">
        <f t="shared" si="14"/>
        <v>10936.799999999997</v>
      </c>
      <c r="K21" s="43">
        <f>项目投资!D27</f>
        <v>48607.999999999993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1388001.7199999997</v>
      </c>
      <c r="D22" s="43">
        <f t="shared" ref="D22:J22" si="15">D6*D47</f>
        <v>230316.89999999997</v>
      </c>
      <c r="E22" s="43">
        <f t="shared" si="15"/>
        <v>314684.07</v>
      </c>
      <c r="F22" s="43">
        <f t="shared" si="15"/>
        <v>309333.51</v>
      </c>
      <c r="G22" s="43">
        <f t="shared" si="15"/>
        <v>200202.96</v>
      </c>
      <c r="H22" s="43">
        <f t="shared" si="15"/>
        <v>100655.28</v>
      </c>
      <c r="I22" s="43">
        <f t="shared" si="15"/>
        <v>642357.94499999995</v>
      </c>
      <c r="J22" s="43">
        <f t="shared" si="15"/>
        <v>73401.929999999993</v>
      </c>
      <c r="K22" s="43">
        <f>SUM(C22:J22)</f>
        <v>3258954.3149999995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>
        <f>+C22+C21+C20+C19+C17</f>
        <v>7490147.341987188</v>
      </c>
      <c r="D23" s="48">
        <f t="shared" ref="D23:J23" si="16">+D22+D21+D20+D19+D17</f>
        <v>1242602.1133676893</v>
      </c>
      <c r="E23" s="48">
        <f t="shared" si="16"/>
        <v>1697168.1051399158</v>
      </c>
      <c r="F23" s="48">
        <f t="shared" si="16"/>
        <v>1668339.5618459212</v>
      </c>
      <c r="G23" s="48">
        <f t="shared" si="16"/>
        <v>1080349.7466915369</v>
      </c>
      <c r="H23" s="48">
        <f t="shared" si="16"/>
        <v>560656.44438734418</v>
      </c>
      <c r="I23" s="48">
        <f t="shared" si="16"/>
        <v>3475989.7644511787</v>
      </c>
      <c r="J23" s="48">
        <f t="shared" si="16"/>
        <v>410483.89014902385</v>
      </c>
      <c r="K23" s="48">
        <f t="shared" ref="K23" si="17">+K22+K21+K20+K19+K17</f>
        <v>17625736.968019798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>
        <f>+C15-C23</f>
        <v>-114277.72490096744</v>
      </c>
      <c r="D24" s="48">
        <f t="shared" ref="D24:J24" si="18">+D15-D23</f>
        <v>-630190.57296426489</v>
      </c>
      <c r="E24" s="48">
        <f t="shared" si="18"/>
        <v>-618647.4409013004</v>
      </c>
      <c r="F24" s="48">
        <f t="shared" si="18"/>
        <v>257757.24179355009</v>
      </c>
      <c r="G24" s="48">
        <f t="shared" si="18"/>
        <v>55953.276647444116</v>
      </c>
      <c r="H24" s="48">
        <f t="shared" si="18"/>
        <v>930583.97528400412</v>
      </c>
      <c r="I24" s="48">
        <f t="shared" si="18"/>
        <v>-2784385.1187963998</v>
      </c>
      <c r="J24" s="48">
        <f t="shared" si="18"/>
        <v>619927.07909169979</v>
      </c>
      <c r="K24" s="48">
        <f t="shared" ref="K24" si="19">+K15-K23</f>
        <v>-2283279.2847462352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235</v>
      </c>
      <c r="C25" s="48">
        <f>IF(C24&lt;0,0,C24*0.15)</f>
        <v>0</v>
      </c>
      <c r="D25" s="48">
        <f t="shared" ref="D25:J25" si="20">IF(D24&lt;0,0,D24*0.15)</f>
        <v>0</v>
      </c>
      <c r="E25" s="48">
        <f t="shared" si="20"/>
        <v>0</v>
      </c>
      <c r="F25" s="48">
        <f t="shared" si="20"/>
        <v>38663.586269032508</v>
      </c>
      <c r="G25" s="48">
        <f t="shared" si="20"/>
        <v>8392.9914971166163</v>
      </c>
      <c r="H25" s="48">
        <f t="shared" si="20"/>
        <v>139587.59629260062</v>
      </c>
      <c r="I25" s="48">
        <f t="shared" si="20"/>
        <v>0</v>
      </c>
      <c r="J25" s="48">
        <f t="shared" si="20"/>
        <v>92989.061863754963</v>
      </c>
      <c r="K25" s="48">
        <f>IF(K24&lt;0,0,K24*0.15)</f>
        <v>0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>
        <f t="shared" ref="C26" si="21">C24-C25</f>
        <v>-114277.72490096744</v>
      </c>
      <c r="D26" s="48">
        <f t="shared" ref="D26:J26" si="22">D24-D25</f>
        <v>-630190.57296426489</v>
      </c>
      <c r="E26" s="48">
        <f t="shared" si="22"/>
        <v>-618647.4409013004</v>
      </c>
      <c r="F26" s="48">
        <f t="shared" si="22"/>
        <v>219093.65552451758</v>
      </c>
      <c r="G26" s="48">
        <f t="shared" si="22"/>
        <v>47560.285150327501</v>
      </c>
      <c r="H26" s="48">
        <f t="shared" si="22"/>
        <v>790996.3789914035</v>
      </c>
      <c r="I26" s="48">
        <f t="shared" si="22"/>
        <v>-2784385.1187963998</v>
      </c>
      <c r="J26" s="48">
        <f t="shared" si="22"/>
        <v>526938.0172279448</v>
      </c>
      <c r="K26" s="43">
        <f>K24-K25</f>
        <v>-2283279.2847462352</v>
      </c>
      <c r="L26" s="165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>
        <f t="shared" ref="C27:K27" si="23">C26/C7</f>
        <v>-1.7536833746795405E-3</v>
      </c>
      <c r="D27" s="50">
        <f t="shared" ref="D27:J27" si="24">D26/D7</f>
        <v>-5.8280826131902795E-2</v>
      </c>
      <c r="E27" s="50">
        <f t="shared" si="24"/>
        <v>-4.1874348743480075E-2</v>
      </c>
      <c r="F27" s="50">
        <f t="shared" si="24"/>
        <v>1.5086289431339736E-2</v>
      </c>
      <c r="G27" s="50">
        <f t="shared" si="24"/>
        <v>5.0600354445407593E-3</v>
      </c>
      <c r="H27" s="50">
        <f t="shared" si="24"/>
        <v>0.16738538576929987</v>
      </c>
      <c r="I27" s="50">
        <f t="shared" si="24"/>
        <v>-9.232765546375131E-2</v>
      </c>
      <c r="J27" s="50">
        <f t="shared" si="24"/>
        <v>0.1529085102660819</v>
      </c>
      <c r="K27" s="50">
        <f t="shared" si="23"/>
        <v>-1.4923145298860935E-2</v>
      </c>
      <c r="L27" s="163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1861.84</v>
      </c>
      <c r="D31" s="52">
        <f>'2023年'!D31</f>
        <v>2162.6</v>
      </c>
      <c r="E31" s="52">
        <f>'2023年'!E31</f>
        <v>2954.78</v>
      </c>
      <c r="F31" s="52">
        <f>'2023年'!F31</f>
        <v>2904.54</v>
      </c>
      <c r="G31" s="52">
        <f>'2023年'!G31</f>
        <v>1879.84</v>
      </c>
      <c r="H31" s="52">
        <f>'2023年'!H31</f>
        <v>85.92</v>
      </c>
      <c r="I31" s="52">
        <f>'2023年'!I31</f>
        <v>670.17</v>
      </c>
      <c r="J31" s="52">
        <f>'2023年'!J31</f>
        <v>76.58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>
        <f>C9/C6</f>
        <v>1788.4760752584002</v>
      </c>
      <c r="D32" s="43">
        <f t="shared" ref="D32:J32" si="25">D9/D6</f>
        <v>2077.3849312260004</v>
      </c>
      <c r="E32" s="43">
        <f t="shared" si="25"/>
        <v>2838.3498784278004</v>
      </c>
      <c r="F32" s="43">
        <f t="shared" si="25"/>
        <v>2790.0895348854001</v>
      </c>
      <c r="G32" s="43">
        <f t="shared" si="25"/>
        <v>1805.7668034384001</v>
      </c>
      <c r="H32" s="43">
        <f t="shared" si="25"/>
        <v>82.534409179200011</v>
      </c>
      <c r="I32" s="43">
        <f t="shared" si="25"/>
        <v>643.76262802170004</v>
      </c>
      <c r="J32" s="43">
        <f t="shared" si="25"/>
        <v>73.562442445800002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43">
        <f>'2026年'!C33*(1-0.01)</f>
        <v>1417.2296588077729</v>
      </c>
      <c r="D33" s="43">
        <f>'2026年'!D33*(1-0.01)</f>
        <v>1768.4671326987866</v>
      </c>
      <c r="E33" s="43">
        <f>'2026年'!E33*(1-0.01)</f>
        <v>2367.9172435632486</v>
      </c>
      <c r="F33" s="43">
        <f>'2026年'!F33*(1-0.01)</f>
        <v>2154.4728101412475</v>
      </c>
      <c r="G33" s="43">
        <f>'2026年'!G33*(1-0.01)</f>
        <v>1416.4471530104067</v>
      </c>
      <c r="H33" s="43">
        <f>'2026年'!H33*(1-0.01)</f>
        <v>48.013873416394524</v>
      </c>
      <c r="I33" s="43">
        <f>'2026年'!I33*(1-0.01)</f>
        <v>570.61897917147053</v>
      </c>
      <c r="J33" s="43">
        <f>'2026年'!J33*(1-0.01)</f>
        <v>44.062538978699997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>
        <f>C32-C33</f>
        <v>371.24641645062729</v>
      </c>
      <c r="D34" s="53">
        <f t="shared" ref="D34:J34" si="26">D32-D33</f>
        <v>308.91779852721379</v>
      </c>
      <c r="E34" s="53">
        <f t="shared" si="26"/>
        <v>470.4326348645518</v>
      </c>
      <c r="F34" s="53">
        <f t="shared" si="26"/>
        <v>635.61672474415263</v>
      </c>
      <c r="G34" s="53">
        <f t="shared" si="26"/>
        <v>389.31965042799334</v>
      </c>
      <c r="H34" s="53">
        <f t="shared" si="26"/>
        <v>34.520535762805487</v>
      </c>
      <c r="I34" s="53">
        <f t="shared" si="26"/>
        <v>73.143648850229511</v>
      </c>
      <c r="J34" s="53">
        <f t="shared" si="26"/>
        <v>29.499903467100005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108.24849493956043</v>
      </c>
      <c r="D36" s="47">
        <f>'2023年'!D36</f>
        <v>125.73486183361265</v>
      </c>
      <c r="E36" s="47">
        <f>'2023年'!E36</f>
        <v>171.79268244183947</v>
      </c>
      <c r="F36" s="47">
        <f>'2023年'!F36</f>
        <v>168.87169869148306</v>
      </c>
      <c r="G36" s="47">
        <f>'2023年'!G36</f>
        <v>109.29502574183779</v>
      </c>
      <c r="H36" s="47">
        <f>'2023年'!H36</f>
        <v>4.9954403628706183</v>
      </c>
      <c r="I36" s="47">
        <f>'2023年'!I36</f>
        <v>38.96408598679006</v>
      </c>
      <c r="J36" s="47">
        <f>'2023年'!J36</f>
        <v>4.4524071576889197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33.64038959431776</v>
      </c>
      <c r="D37" s="47">
        <f>'2023年'!D37</f>
        <v>39.074628612916037</v>
      </c>
      <c r="E37" s="47">
        <f>'2023年'!E37</f>
        <v>53.388019574989393</v>
      </c>
      <c r="F37" s="47">
        <f>'2023年'!F37</f>
        <v>52.480265324775338</v>
      </c>
      <c r="G37" s="47">
        <f>'2023年'!G37</f>
        <v>33.965620018359417</v>
      </c>
      <c r="H37" s="47">
        <f>'2023年'!H37</f>
        <v>1.5524332240921788</v>
      </c>
      <c r="I37" s="47">
        <f>'2023年'!I37</f>
        <v>12.108870737777647</v>
      </c>
      <c r="J37" s="47">
        <f>'2023年'!J37</f>
        <v>1.383674770728341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18.618400000000001</v>
      </c>
      <c r="D38" s="47">
        <f>'2023年'!D38</f>
        <v>21.626000000000001</v>
      </c>
      <c r="E38" s="47">
        <f>'2023年'!E38</f>
        <v>29.547800000000002</v>
      </c>
      <c r="F38" s="47">
        <f>'2023年'!F38</f>
        <v>29.045400000000001</v>
      </c>
      <c r="G38" s="47">
        <f>'2023年'!G38</f>
        <v>18.798400000000001</v>
      </c>
      <c r="H38" s="47">
        <f>'2023年'!H38</f>
        <v>0.85920000000000007</v>
      </c>
      <c r="I38" s="47">
        <f>'2023年'!I38</f>
        <v>6.7016999999999998</v>
      </c>
      <c r="J38" s="47">
        <f>'2023年'!J38</f>
        <v>0.76580000000000004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>
        <f>C34-C36-C37-C38</f>
        <v>210.7391319167491</v>
      </c>
      <c r="D40" s="48">
        <f t="shared" ref="D40:J40" si="27">D34-D36-D37-D38</f>
        <v>122.4823080806851</v>
      </c>
      <c r="E40" s="48">
        <f t="shared" si="27"/>
        <v>215.70413284772295</v>
      </c>
      <c r="F40" s="48">
        <f t="shared" si="27"/>
        <v>385.21936072789424</v>
      </c>
      <c r="G40" s="48">
        <f t="shared" si="27"/>
        <v>227.26060466779614</v>
      </c>
      <c r="H40" s="48">
        <f t="shared" si="27"/>
        <v>27.113462175842688</v>
      </c>
      <c r="I40" s="48">
        <f t="shared" si="27"/>
        <v>15.368992125661805</v>
      </c>
      <c r="J40" s="48">
        <f t="shared" si="27"/>
        <v>22.898021538682745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83.782799999999995</v>
      </c>
      <c r="D43" s="47">
        <f>'2023年'!D43</f>
        <v>97.316999999999993</v>
      </c>
      <c r="E43" s="47">
        <f>'2023年'!E43</f>
        <v>132.96510000000001</v>
      </c>
      <c r="F43" s="47">
        <f>'2023年'!F43</f>
        <v>130.70429999999999</v>
      </c>
      <c r="G43" s="47">
        <f>'2023年'!G43</f>
        <v>84.592799999999997</v>
      </c>
      <c r="H43" s="47">
        <f>'2023年'!H43</f>
        <v>3.8664000000000001</v>
      </c>
      <c r="I43" s="47">
        <f>'2023年'!I43</f>
        <v>30.157649999999997</v>
      </c>
      <c r="J43" s="47">
        <f>'2023年'!J43</f>
        <v>3.4460999999999999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14.708536</v>
      </c>
      <c r="D44" s="47">
        <f>'2023年'!D44</f>
        <v>17.084540000000001</v>
      </c>
      <c r="E44" s="47">
        <f>'2023年'!E44</f>
        <v>23.342762000000004</v>
      </c>
      <c r="F44" s="47">
        <f>'2023年'!F44</f>
        <v>22.945866000000002</v>
      </c>
      <c r="G44" s="47">
        <f>'2023年'!G44</f>
        <v>14.850736000000001</v>
      </c>
      <c r="H44" s="47">
        <f>'2023年'!H44</f>
        <v>0.67876800000000004</v>
      </c>
      <c r="I44" s="47">
        <f>'2023年'!I44</f>
        <v>5.2943430000000005</v>
      </c>
      <c r="J44" s="47">
        <f>'2023年'!J44</f>
        <v>0.60498200000000002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75.522391771062516</v>
      </c>
      <c r="D45" s="47">
        <f>'2023年'!D45</f>
        <v>87.722212673537896</v>
      </c>
      <c r="E45" s="47">
        <f>'2023年'!E45</f>
        <v>119.85565502798313</v>
      </c>
      <c r="F45" s="47">
        <f>'2023年'!F45</f>
        <v>117.8177543691842</v>
      </c>
      <c r="G45" s="47">
        <f>'2023年'!G45</f>
        <v>76.25253133830735</v>
      </c>
      <c r="H45" s="47">
        <f>'2023年'!H45</f>
        <v>3.4851995343153503</v>
      </c>
      <c r="I45" s="47">
        <f>'2023年'!I45</f>
        <v>27.184312987803981</v>
      </c>
      <c r="J45" s="47">
        <f>'2023年'!J45</f>
        <v>3.1063382255338632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>
        <f>C21/C6</f>
        <v>0.24303999999999995</v>
      </c>
      <c r="D46" s="54">
        <f t="shared" ref="D46:J46" si="28">D21/D6</f>
        <v>0.24303999999999995</v>
      </c>
      <c r="E46" s="54">
        <f t="shared" si="28"/>
        <v>0.24303999999999995</v>
      </c>
      <c r="F46" s="54">
        <f t="shared" si="28"/>
        <v>0.24303999999999995</v>
      </c>
      <c r="G46" s="54">
        <f t="shared" si="28"/>
        <v>0.24303999999999995</v>
      </c>
      <c r="H46" s="54">
        <f t="shared" si="28"/>
        <v>0.24303999999999995</v>
      </c>
      <c r="I46" s="54">
        <f t="shared" si="28"/>
        <v>0.24303999999999995</v>
      </c>
      <c r="J46" s="54">
        <f t="shared" si="28"/>
        <v>0.24303999999999995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39.657191999999995</v>
      </c>
      <c r="D47" s="54">
        <f>'2023年'!D47</f>
        <v>46.063379999999995</v>
      </c>
      <c r="E47" s="54">
        <f>'2023年'!E47</f>
        <v>62.936814000000005</v>
      </c>
      <c r="F47" s="54">
        <f>'2023年'!F47</f>
        <v>61.866701999999997</v>
      </c>
      <c r="G47" s="54">
        <f>'2023年'!G47</f>
        <v>40.040591999999997</v>
      </c>
      <c r="H47" s="54">
        <f>'2023年'!H47</f>
        <v>1.8300959999999999</v>
      </c>
      <c r="I47" s="54">
        <f>'2023年'!I47</f>
        <v>14.274620999999998</v>
      </c>
      <c r="J47" s="54">
        <f>'2023年'!J47</f>
        <v>1.631154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>
        <f>C40-C43-C44-C45-C47-C46</f>
        <v>-3.1748278543133988</v>
      </c>
      <c r="D48" s="48">
        <f t="shared" ref="D48:J48" si="29">D40-D43-D44-D45-D47-D46</f>
        <v>-125.94786459285278</v>
      </c>
      <c r="E48" s="48">
        <f t="shared" si="29"/>
        <v>-123.63923818026019</v>
      </c>
      <c r="F48" s="48">
        <f t="shared" si="29"/>
        <v>51.641698358710059</v>
      </c>
      <c r="G48" s="48">
        <f t="shared" si="29"/>
        <v>11.280905329488789</v>
      </c>
      <c r="H48" s="48">
        <f t="shared" si="29"/>
        <v>17.009958641527337</v>
      </c>
      <c r="I48" s="48">
        <f t="shared" si="29"/>
        <v>-61.784974862142171</v>
      </c>
      <c r="J48" s="48">
        <f t="shared" si="29"/>
        <v>13.86640731314888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5" activePane="bottomRight" state="frozen"/>
      <selection pane="topRight"/>
      <selection pane="bottomLeft"/>
      <selection pane="bottomRight" activeCell="F30" sqref="F30"/>
    </sheetView>
  </sheetViews>
  <sheetFormatPr defaultColWidth="9" defaultRowHeight="13.5"/>
  <cols>
    <col min="1" max="1" width="20.625" customWidth="1"/>
    <col min="2" max="2" width="14.25" style="15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0" ht="20.25">
      <c r="A1" s="263" t="s">
        <v>147</v>
      </c>
      <c r="B1" s="263"/>
      <c r="C1" s="263"/>
      <c r="E1" s="264" t="s">
        <v>241</v>
      </c>
      <c r="F1" s="265"/>
      <c r="G1" s="265"/>
      <c r="H1" s="266"/>
      <c r="J1" s="174"/>
    </row>
    <row r="2" spans="1:10" ht="23.45" customHeight="1">
      <c r="A2" s="16" t="s">
        <v>1</v>
      </c>
      <c r="B2" s="17" t="s">
        <v>148</v>
      </c>
      <c r="C2" s="18" t="s">
        <v>149</v>
      </c>
      <c r="E2" s="1" t="s">
        <v>150</v>
      </c>
      <c r="F2" s="1" t="s">
        <v>1</v>
      </c>
      <c r="G2" s="19" t="s">
        <v>151</v>
      </c>
      <c r="H2" s="1" t="s">
        <v>149</v>
      </c>
      <c r="J2" s="171"/>
    </row>
    <row r="3" spans="1:10" ht="15.75" customHeight="1">
      <c r="A3" s="20" t="s">
        <v>152</v>
      </c>
      <c r="B3" s="21"/>
      <c r="C3" s="22"/>
      <c r="E3" s="256" t="s">
        <v>153</v>
      </c>
      <c r="F3" s="2" t="s">
        <v>154</v>
      </c>
      <c r="G3" s="23"/>
      <c r="H3" s="2"/>
      <c r="J3" s="262"/>
    </row>
    <row r="4" spans="1:10" ht="15.75" customHeight="1">
      <c r="A4" s="20" t="s">
        <v>155</v>
      </c>
      <c r="B4" s="21"/>
      <c r="C4" s="24"/>
      <c r="E4" s="257"/>
      <c r="F4" s="2" t="s">
        <v>156</v>
      </c>
      <c r="G4" s="23"/>
      <c r="H4" s="2"/>
      <c r="J4" s="262"/>
    </row>
    <row r="5" spans="1:10" ht="15.75" customHeight="1">
      <c r="A5" s="20" t="s">
        <v>157</v>
      </c>
      <c r="B5" s="25">
        <f>SUM(G3:G4)</f>
        <v>0</v>
      </c>
      <c r="C5" s="22"/>
      <c r="E5" s="258" t="s">
        <v>158</v>
      </c>
      <c r="F5" s="26" t="s">
        <v>159</v>
      </c>
      <c r="G5" s="158"/>
      <c r="H5" s="168"/>
      <c r="I5" s="173"/>
      <c r="J5" s="172"/>
    </row>
    <row r="6" spans="1:10" ht="15.75" customHeight="1">
      <c r="A6" s="20" t="s">
        <v>160</v>
      </c>
      <c r="B6" s="21"/>
      <c r="C6" s="22"/>
      <c r="E6" s="259"/>
      <c r="F6" s="26" t="s">
        <v>161</v>
      </c>
      <c r="G6" s="158">
        <v>9.5</v>
      </c>
      <c r="H6" s="169"/>
      <c r="I6" s="176"/>
      <c r="J6" s="172"/>
    </row>
    <row r="7" spans="1:10" ht="15.75" customHeight="1">
      <c r="A7" s="27" t="s">
        <v>162</v>
      </c>
      <c r="B7" s="25">
        <f>SUM(B3:B6)</f>
        <v>0</v>
      </c>
      <c r="C7" s="22"/>
      <c r="E7" s="259"/>
      <c r="F7" s="26" t="s">
        <v>163</v>
      </c>
      <c r="G7" s="158"/>
      <c r="H7" s="169"/>
      <c r="J7" s="172"/>
    </row>
    <row r="8" spans="1:10" ht="15.75" customHeight="1">
      <c r="A8" s="28" t="s">
        <v>164</v>
      </c>
      <c r="B8" s="25">
        <f>SUM(G5:G12)</f>
        <v>9.5</v>
      </c>
      <c r="C8" s="29"/>
      <c r="E8" s="259"/>
      <c r="F8" s="26" t="s">
        <v>165</v>
      </c>
      <c r="G8" s="158"/>
      <c r="H8" s="169"/>
      <c r="J8" s="172"/>
    </row>
    <row r="9" spans="1:10" ht="15.75" customHeight="1">
      <c r="A9" s="20" t="s">
        <v>166</v>
      </c>
      <c r="B9" s="25">
        <f>SUM(G13:G21)</f>
        <v>24.303999999999998</v>
      </c>
      <c r="C9" s="22"/>
      <c r="E9" s="259"/>
      <c r="F9" s="2" t="s">
        <v>167</v>
      </c>
      <c r="G9" s="158"/>
      <c r="H9" s="170"/>
      <c r="J9" s="172"/>
    </row>
    <row r="10" spans="1:10" ht="15.75" customHeight="1">
      <c r="A10" s="24" t="s">
        <v>15</v>
      </c>
      <c r="B10" s="25">
        <f>B7+B8+B9</f>
        <v>33.804000000000002</v>
      </c>
      <c r="C10" s="22"/>
      <c r="E10" s="259"/>
      <c r="F10" s="2" t="s">
        <v>168</v>
      </c>
      <c r="G10" s="158"/>
      <c r="H10" s="169"/>
      <c r="J10" s="172"/>
    </row>
    <row r="11" spans="1:10" ht="15.75" customHeight="1">
      <c r="E11" s="259"/>
      <c r="F11" s="2" t="s">
        <v>169</v>
      </c>
      <c r="G11" s="158"/>
      <c r="H11" s="169"/>
      <c r="J11" s="172"/>
    </row>
    <row r="12" spans="1:10" ht="15.75" customHeight="1">
      <c r="E12" s="260"/>
      <c r="F12" s="2" t="s">
        <v>170</v>
      </c>
      <c r="G12" s="158"/>
      <c r="H12" s="169"/>
      <c r="J12" s="172"/>
    </row>
    <row r="13" spans="1:10" ht="15.75" customHeight="1">
      <c r="E13" s="256" t="s">
        <v>47</v>
      </c>
      <c r="F13" s="2" t="s">
        <v>171</v>
      </c>
      <c r="G13" s="158">
        <v>18.803999999999998</v>
      </c>
      <c r="H13" s="170"/>
      <c r="J13" s="262"/>
    </row>
    <row r="14" spans="1:10" ht="15.75" customHeight="1">
      <c r="E14" s="257"/>
      <c r="F14" s="2" t="s">
        <v>172</v>
      </c>
      <c r="G14" s="158">
        <v>5</v>
      </c>
      <c r="H14" s="169"/>
      <c r="J14" s="262"/>
    </row>
    <row r="15" spans="1:10" ht="15.75" customHeight="1">
      <c r="E15" s="257"/>
      <c r="F15" s="2" t="s">
        <v>173</v>
      </c>
      <c r="G15" s="158"/>
      <c r="H15" s="169"/>
      <c r="J15" s="262"/>
    </row>
    <row r="16" spans="1:10" ht="15.75" customHeight="1">
      <c r="E16" s="257"/>
      <c r="F16" s="2" t="s">
        <v>174</v>
      </c>
      <c r="G16" s="158">
        <v>0.5</v>
      </c>
      <c r="H16" s="169"/>
      <c r="J16" s="262"/>
    </row>
    <row r="17" spans="1:10" ht="15.75" customHeight="1">
      <c r="E17" s="257"/>
      <c r="F17" s="2" t="s">
        <v>175</v>
      </c>
      <c r="G17" s="158"/>
      <c r="H17" s="169"/>
      <c r="J17" s="262"/>
    </row>
    <row r="18" spans="1:10" ht="15.75" customHeight="1">
      <c r="E18" s="257"/>
      <c r="F18" s="2" t="s">
        <v>176</v>
      </c>
      <c r="G18" s="158"/>
      <c r="H18" s="170"/>
      <c r="J18" s="262"/>
    </row>
    <row r="19" spans="1:10" ht="15.75" customHeight="1">
      <c r="E19" s="257"/>
      <c r="F19" s="2" t="s">
        <v>177</v>
      </c>
      <c r="G19" s="158"/>
      <c r="H19" s="178"/>
      <c r="J19" s="262"/>
    </row>
    <row r="20" spans="1:10" ht="15.75" customHeight="1">
      <c r="E20" s="257"/>
      <c r="F20" s="2" t="s">
        <v>178</v>
      </c>
      <c r="G20" s="158"/>
      <c r="H20" s="169"/>
      <c r="J20" s="262"/>
    </row>
    <row r="21" spans="1:10" ht="15.75" customHeight="1">
      <c r="E21" s="261"/>
      <c r="F21" s="2" t="s">
        <v>125</v>
      </c>
      <c r="G21" s="158"/>
      <c r="H21" s="169"/>
      <c r="J21" s="262"/>
    </row>
    <row r="22" spans="1:10" ht="15.75" customHeight="1">
      <c r="E22" s="1" t="s">
        <v>15</v>
      </c>
      <c r="F22" s="2"/>
      <c r="G22" s="19">
        <f>SUM(G3:G21)</f>
        <v>33.804000000000002</v>
      </c>
      <c r="H22" s="2"/>
      <c r="J22" s="262"/>
    </row>
    <row r="23" spans="1:10" ht="30.75" customHeight="1">
      <c r="E23" s="267" t="s">
        <v>179</v>
      </c>
      <c r="F23" s="267"/>
      <c r="G23" s="267"/>
      <c r="H23" s="267"/>
    </row>
    <row r="25" spans="1:10" ht="17.25">
      <c r="A25" s="11" t="s">
        <v>1</v>
      </c>
      <c r="B25" s="11" t="s">
        <v>148</v>
      </c>
      <c r="C25" s="11" t="s">
        <v>180</v>
      </c>
      <c r="D25" s="159" t="s">
        <v>242</v>
      </c>
      <c r="E25" s="185" t="s">
        <v>182</v>
      </c>
      <c r="F25" s="185" t="s">
        <v>183</v>
      </c>
      <c r="G25" s="185" t="s">
        <v>228</v>
      </c>
      <c r="H25" s="185" t="s">
        <v>243</v>
      </c>
      <c r="I25" s="12" t="s">
        <v>15</v>
      </c>
      <c r="J25" s="33" t="s">
        <v>184</v>
      </c>
    </row>
    <row r="26" spans="1:10" ht="16.5">
      <c r="A26" s="30" t="s">
        <v>143</v>
      </c>
      <c r="B26" s="31">
        <f>(B5+B8)*10000</f>
        <v>95000</v>
      </c>
      <c r="C26" s="32">
        <v>0.05</v>
      </c>
      <c r="D26" s="8">
        <f>B26*(1-C26)/5</f>
        <v>18050</v>
      </c>
      <c r="E26" s="8">
        <f t="shared" ref="E26:F27" si="0">D26</f>
        <v>18050</v>
      </c>
      <c r="F26" s="8">
        <f t="shared" si="0"/>
        <v>18050</v>
      </c>
      <c r="G26" s="8">
        <f t="shared" ref="G26:G27" si="1">F26</f>
        <v>18050</v>
      </c>
      <c r="H26" s="8">
        <f t="shared" ref="H26:H27" si="2">G26</f>
        <v>18050</v>
      </c>
      <c r="I26" s="8">
        <f>SUM(D26:H26)</f>
        <v>90250</v>
      </c>
      <c r="J26" s="8">
        <f>B26*0.05</f>
        <v>4750</v>
      </c>
    </row>
    <row r="27" spans="1:10" ht="16.5">
      <c r="A27" s="30" t="s">
        <v>185</v>
      </c>
      <c r="B27" s="31">
        <f>B9*10000</f>
        <v>243039.99999999997</v>
      </c>
      <c r="C27" s="8"/>
      <c r="D27" s="8">
        <f>B27/5</f>
        <v>48607.999999999993</v>
      </c>
      <c r="E27" s="8">
        <f t="shared" si="0"/>
        <v>48607.999999999993</v>
      </c>
      <c r="F27" s="8">
        <f t="shared" si="0"/>
        <v>48607.999999999993</v>
      </c>
      <c r="G27" s="8">
        <f t="shared" si="1"/>
        <v>48607.999999999993</v>
      </c>
      <c r="H27" s="8">
        <f t="shared" si="2"/>
        <v>48607.999999999993</v>
      </c>
      <c r="I27" s="8">
        <f>SUM(D27:H27)</f>
        <v>243039.99999999997</v>
      </c>
      <c r="J27" s="8"/>
    </row>
    <row r="28" spans="1:10" ht="16.5">
      <c r="A28" s="253" t="s">
        <v>105</v>
      </c>
      <c r="B28" s="254"/>
      <c r="C28" s="255"/>
      <c r="D28" s="8">
        <f>SUM(D26:D27)</f>
        <v>66658</v>
      </c>
      <c r="E28" s="8">
        <f t="shared" ref="E28:H28" si="3">SUM(E26:E27)</f>
        <v>66658</v>
      </c>
      <c r="F28" s="8">
        <f t="shared" si="3"/>
        <v>66658</v>
      </c>
      <c r="G28" s="8">
        <f t="shared" si="3"/>
        <v>66658</v>
      </c>
      <c r="H28" s="8">
        <f t="shared" si="3"/>
        <v>66658</v>
      </c>
      <c r="I28" s="34"/>
      <c r="J28" s="34"/>
    </row>
    <row r="40" spans="9:9">
      <c r="I40" s="175"/>
    </row>
    <row r="41" spans="9:9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J3:J4"/>
    <mergeCell ref="J13:J22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2022-11-17T08:18:48Z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