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风景G9靠背调节角度立项\"/>
    </mc:Choice>
  </mc:AlternateContent>
  <bookViews>
    <workbookView xWindow="0" yWindow="0" windowWidth="20925" windowHeight="1035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'2022年'!$A$1:$H$48</definedName>
    <definedName name="_xlnm.Print_Area" localSheetId="4">'2023年'!$A$1:$H$48</definedName>
    <definedName name="_xlnm.Print_Area" localSheetId="5">'2024年'!$A$1:$H$48</definedName>
    <definedName name="_xlnm.Print_Area" localSheetId="6">'2025年'!$A$1:$H$48</definedName>
    <definedName name="_xlnm.Print_Area" localSheetId="7">'2026年'!$A$1:$H$48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J8" i="55" l="1"/>
  <c r="D4" i="50" l="1"/>
  <c r="G7" i="50"/>
  <c r="G8" i="50"/>
  <c r="D11" i="50"/>
  <c r="C47" i="43" s="1"/>
  <c r="E47" i="43" s="1"/>
  <c r="F47" i="43" s="1"/>
  <c r="E10" i="50"/>
  <c r="D10" i="50"/>
  <c r="C38" i="43" s="1"/>
  <c r="D9" i="50"/>
  <c r="C44" i="59" s="1"/>
  <c r="D44" i="59" s="1"/>
  <c r="E44" i="59" s="1"/>
  <c r="F44" i="59" s="1"/>
  <c r="G44" i="59" s="1"/>
  <c r="G19" i="59" s="1"/>
  <c r="D8" i="50"/>
  <c r="E7" i="50"/>
  <c r="D7" i="50" s="1"/>
  <c r="D6" i="50"/>
  <c r="C37" i="58" s="1"/>
  <c r="D37" i="58" s="1"/>
  <c r="E37" i="58" s="1"/>
  <c r="D5" i="50"/>
  <c r="C43" i="57" s="1"/>
  <c r="D43" i="57" s="1"/>
  <c r="E43" i="57" s="1"/>
  <c r="F43" i="57" s="1"/>
  <c r="G43" i="57" s="1"/>
  <c r="C36" i="59"/>
  <c r="D36" i="59" s="1"/>
  <c r="E36" i="59" s="1"/>
  <c r="F36" i="59" s="1"/>
  <c r="G36" i="59" s="1"/>
  <c r="H24" i="53"/>
  <c r="G24" i="53"/>
  <c r="F24" i="53"/>
  <c r="E24" i="53"/>
  <c r="D9" i="53"/>
  <c r="D8" i="53"/>
  <c r="D6" i="53"/>
  <c r="D24" i="53" s="1"/>
  <c r="H14" i="55"/>
  <c r="G14" i="55"/>
  <c r="F14" i="55"/>
  <c r="E14" i="55"/>
  <c r="D14" i="55"/>
  <c r="C14" i="55"/>
  <c r="I13" i="55"/>
  <c r="I12" i="55"/>
  <c r="I11" i="55"/>
  <c r="I10" i="55"/>
  <c r="I9" i="55"/>
  <c r="I14" i="55" s="1"/>
  <c r="L7" i="55"/>
  <c r="K7" i="55"/>
  <c r="K8" i="55" s="1"/>
  <c r="G22" i="51"/>
  <c r="B9" i="51"/>
  <c r="B27" i="51" s="1"/>
  <c r="B8" i="51"/>
  <c r="B7" i="51"/>
  <c r="B10" i="51" s="1"/>
  <c r="B5" i="51"/>
  <c r="B26" i="51" s="1"/>
  <c r="D26" i="51" s="1"/>
  <c r="F45" i="59"/>
  <c r="G45" i="59" s="1"/>
  <c r="E45" i="59"/>
  <c r="D45" i="59"/>
  <c r="C43" i="59"/>
  <c r="D43" i="59" s="1"/>
  <c r="E43" i="59" s="1"/>
  <c r="F43" i="59" s="1"/>
  <c r="G43" i="59" s="1"/>
  <c r="G33" i="59"/>
  <c r="F33" i="59"/>
  <c r="D33" i="59"/>
  <c r="C33" i="59"/>
  <c r="E32" i="59"/>
  <c r="G31" i="59"/>
  <c r="G32" i="59" s="1"/>
  <c r="G34" i="59" s="1"/>
  <c r="F31" i="59"/>
  <c r="F32" i="59" s="1"/>
  <c r="F34" i="59" s="1"/>
  <c r="E31" i="59"/>
  <c r="D31" i="59"/>
  <c r="C31" i="59"/>
  <c r="G10" i="59"/>
  <c r="D7" i="59"/>
  <c r="G6" i="59"/>
  <c r="F6" i="59"/>
  <c r="E6" i="59"/>
  <c r="D6" i="59"/>
  <c r="C6" i="59"/>
  <c r="C47" i="58"/>
  <c r="D47" i="58" s="1"/>
  <c r="E47" i="58" s="1"/>
  <c r="F47" i="58" s="1"/>
  <c r="G47" i="58" s="1"/>
  <c r="F45" i="58"/>
  <c r="G45" i="58" s="1"/>
  <c r="E45" i="58"/>
  <c r="D45" i="58"/>
  <c r="C43" i="58"/>
  <c r="D43" i="58" s="1"/>
  <c r="E43" i="58" s="1"/>
  <c r="F43" i="58" s="1"/>
  <c r="G43" i="58" s="1"/>
  <c r="C36" i="58"/>
  <c r="D36" i="58" s="1"/>
  <c r="E36" i="58" s="1"/>
  <c r="F36" i="58" s="1"/>
  <c r="G36" i="58" s="1"/>
  <c r="G33" i="58"/>
  <c r="F33" i="58"/>
  <c r="D33" i="58"/>
  <c r="C33" i="58"/>
  <c r="F32" i="58"/>
  <c r="F34" i="58" s="1"/>
  <c r="G31" i="58"/>
  <c r="G32" i="58" s="1"/>
  <c r="F31" i="58"/>
  <c r="E31" i="58"/>
  <c r="E32" i="58" s="1"/>
  <c r="D31" i="58"/>
  <c r="C31" i="58"/>
  <c r="E7" i="58"/>
  <c r="E9" i="58" s="1"/>
  <c r="G6" i="58"/>
  <c r="F6" i="58"/>
  <c r="E6" i="58"/>
  <c r="D6" i="58"/>
  <c r="C6" i="58"/>
  <c r="G45" i="57"/>
  <c r="D45" i="57"/>
  <c r="E45" i="57" s="1"/>
  <c r="F45" i="57" s="1"/>
  <c r="C36" i="57"/>
  <c r="D36" i="57" s="1"/>
  <c r="E36" i="57" s="1"/>
  <c r="F36" i="57" s="1"/>
  <c r="G33" i="57"/>
  <c r="F33" i="57"/>
  <c r="D33" i="57"/>
  <c r="C33" i="57"/>
  <c r="F32" i="57"/>
  <c r="F34" i="57" s="1"/>
  <c r="E32" i="57"/>
  <c r="G31" i="57"/>
  <c r="G32" i="57" s="1"/>
  <c r="G34" i="57" s="1"/>
  <c r="F31" i="57"/>
  <c r="E31" i="57"/>
  <c r="D31" i="57"/>
  <c r="C31" i="57"/>
  <c r="D10" i="57"/>
  <c r="E7" i="57"/>
  <c r="E9" i="57" s="1"/>
  <c r="G6" i="57"/>
  <c r="F6" i="57"/>
  <c r="E6" i="57"/>
  <c r="E20" i="57" s="1"/>
  <c r="D6" i="57"/>
  <c r="C6" i="57"/>
  <c r="C47" i="56"/>
  <c r="D47" i="56" s="1"/>
  <c r="E47" i="56" s="1"/>
  <c r="F47" i="56" s="1"/>
  <c r="G47" i="56" s="1"/>
  <c r="G22" i="56" s="1"/>
  <c r="D45" i="56"/>
  <c r="E45" i="56" s="1"/>
  <c r="F45" i="56" s="1"/>
  <c r="G45" i="56" s="1"/>
  <c r="C43" i="56"/>
  <c r="D43" i="56" s="1"/>
  <c r="E43" i="56" s="1"/>
  <c r="F43" i="56" s="1"/>
  <c r="G43" i="56" s="1"/>
  <c r="C36" i="56"/>
  <c r="D36" i="56" s="1"/>
  <c r="E36" i="56" s="1"/>
  <c r="F36" i="56" s="1"/>
  <c r="F11" i="56" s="1"/>
  <c r="G33" i="56"/>
  <c r="G34" i="56" s="1"/>
  <c r="F33" i="56"/>
  <c r="D33" i="56"/>
  <c r="C33" i="56"/>
  <c r="F32" i="56"/>
  <c r="F34" i="56" s="1"/>
  <c r="G31" i="56"/>
  <c r="G32" i="56" s="1"/>
  <c r="F31" i="56"/>
  <c r="E31" i="56"/>
  <c r="E32" i="56" s="1"/>
  <c r="D31" i="56"/>
  <c r="C31" i="56"/>
  <c r="F10" i="56"/>
  <c r="C10" i="56"/>
  <c r="C7" i="56"/>
  <c r="G6" i="56"/>
  <c r="F6" i="56"/>
  <c r="E6" i="56"/>
  <c r="D6" i="56"/>
  <c r="C6" i="56"/>
  <c r="E45" i="43"/>
  <c r="F45" i="43" s="1"/>
  <c r="G45" i="43" s="1"/>
  <c r="C43" i="43"/>
  <c r="E43" i="43" s="1"/>
  <c r="F43" i="43" s="1"/>
  <c r="G43" i="43" s="1"/>
  <c r="C37" i="43"/>
  <c r="E37" i="43" s="1"/>
  <c r="D34" i="43"/>
  <c r="G33" i="43"/>
  <c r="F33" i="43"/>
  <c r="E33" i="43"/>
  <c r="D33" i="43"/>
  <c r="C33" i="43"/>
  <c r="C34" i="43" s="1"/>
  <c r="E32" i="43"/>
  <c r="D32" i="43"/>
  <c r="G31" i="43"/>
  <c r="G32" i="43" s="1"/>
  <c r="G34" i="43" s="1"/>
  <c r="F31" i="43"/>
  <c r="F32" i="43" s="1"/>
  <c r="F34" i="43" s="1"/>
  <c r="E31" i="43"/>
  <c r="D31" i="43"/>
  <c r="C31" i="43"/>
  <c r="C32" i="43" s="1"/>
  <c r="H18" i="43"/>
  <c r="F10" i="43"/>
  <c r="E10" i="43"/>
  <c r="C10" i="43"/>
  <c r="H8" i="43"/>
  <c r="G7" i="43"/>
  <c r="G9" i="43" s="1"/>
  <c r="G6" i="43"/>
  <c r="F6" i="43"/>
  <c r="F7" i="43" s="1"/>
  <c r="F9" i="43" s="1"/>
  <c r="E6" i="43"/>
  <c r="D6" i="43"/>
  <c r="C6" i="43"/>
  <c r="C20" i="43" s="1"/>
  <c r="R23" i="36"/>
  <c r="M16" i="36"/>
  <c r="L15" i="36"/>
  <c r="K15" i="36"/>
  <c r="J15" i="36"/>
  <c r="I15" i="36"/>
  <c r="H15" i="36"/>
  <c r="G15" i="36"/>
  <c r="F15" i="36"/>
  <c r="E15" i="36"/>
  <c r="D15" i="36"/>
  <c r="M15" i="36" s="1"/>
  <c r="C15" i="36"/>
  <c r="L14" i="36"/>
  <c r="K14" i="36"/>
  <c r="J14" i="36"/>
  <c r="I14" i="36"/>
  <c r="H14" i="36"/>
  <c r="G14" i="36"/>
  <c r="F14" i="36"/>
  <c r="E14" i="36"/>
  <c r="D14" i="36"/>
  <c r="M14" i="36" s="1"/>
  <c r="C14" i="36"/>
  <c r="L13" i="36"/>
  <c r="K13" i="36"/>
  <c r="J13" i="36"/>
  <c r="I13" i="36"/>
  <c r="H13" i="36"/>
  <c r="G13" i="36"/>
  <c r="F13" i="36"/>
  <c r="E13" i="36"/>
  <c r="D13" i="36"/>
  <c r="C13" i="36"/>
  <c r="M13" i="36" s="1"/>
  <c r="L12" i="36"/>
  <c r="K12" i="36"/>
  <c r="K10" i="36" s="1"/>
  <c r="K17" i="36" s="1"/>
  <c r="K19" i="36" s="1"/>
  <c r="J12" i="36"/>
  <c r="I12" i="36"/>
  <c r="H12" i="36"/>
  <c r="H10" i="36" s="1"/>
  <c r="G12" i="36"/>
  <c r="F12" i="36"/>
  <c r="E12" i="36"/>
  <c r="E10" i="36" s="1"/>
  <c r="E17" i="36" s="1"/>
  <c r="E19" i="36" s="1"/>
  <c r="D12" i="36"/>
  <c r="C12" i="36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C11" i="36"/>
  <c r="L10" i="36"/>
  <c r="I10" i="36"/>
  <c r="F10" i="36"/>
  <c r="C10" i="36"/>
  <c r="M9" i="36"/>
  <c r="M8" i="36"/>
  <c r="L7" i="36"/>
  <c r="K7" i="36"/>
  <c r="J7" i="36"/>
  <c r="I7" i="36"/>
  <c r="H7" i="36"/>
  <c r="G7" i="36"/>
  <c r="M7" i="36" s="1"/>
  <c r="F7" i="36"/>
  <c r="E7" i="36"/>
  <c r="M6" i="36"/>
  <c r="K6" i="36"/>
  <c r="J6" i="36"/>
  <c r="I6" i="36"/>
  <c r="E6" i="36"/>
  <c r="K5" i="36"/>
  <c r="J5" i="36"/>
  <c r="I5" i="36"/>
  <c r="E5" i="36"/>
  <c r="D5" i="36"/>
  <c r="C5" i="36"/>
  <c r="C17" i="36" s="1"/>
  <c r="E4" i="36"/>
  <c r="F4" i="36" s="1"/>
  <c r="G4" i="36" s="1"/>
  <c r="H4" i="36" s="1"/>
  <c r="I4" i="36" s="1"/>
  <c r="J4" i="36" s="1"/>
  <c r="K4" i="36" s="1"/>
  <c r="L4" i="36" s="1"/>
  <c r="D4" i="36"/>
  <c r="C60" i="2"/>
  <c r="C57" i="2"/>
  <c r="C56" i="2"/>
  <c r="C55" i="2"/>
  <c r="C5" i="2"/>
  <c r="C37" i="59" l="1"/>
  <c r="D37" i="59" s="1"/>
  <c r="E37" i="59" s="1"/>
  <c r="F37" i="59" s="1"/>
  <c r="G37" i="59" s="1"/>
  <c r="F37" i="43"/>
  <c r="E12" i="43"/>
  <c r="E38" i="43"/>
  <c r="E13" i="43" s="1"/>
  <c r="C13" i="43"/>
  <c r="D22" i="58"/>
  <c r="H22" i="58" s="1"/>
  <c r="G22" i="58"/>
  <c r="C12" i="43"/>
  <c r="C47" i="57"/>
  <c r="D47" i="57" s="1"/>
  <c r="C44" i="58"/>
  <c r="D44" i="58" s="1"/>
  <c r="E44" i="58" s="1"/>
  <c r="F44" i="58" s="1"/>
  <c r="G44" i="58" s="1"/>
  <c r="D12" i="59"/>
  <c r="C47" i="59"/>
  <c r="D47" i="59" s="1"/>
  <c r="E47" i="59" s="1"/>
  <c r="F47" i="59" s="1"/>
  <c r="G47" i="59" s="1"/>
  <c r="G22" i="59" s="1"/>
  <c r="C36" i="43"/>
  <c r="C44" i="43"/>
  <c r="C37" i="56"/>
  <c r="C44" i="56"/>
  <c r="C37" i="57"/>
  <c r="D37" i="57" s="1"/>
  <c r="E37" i="57" s="1"/>
  <c r="C44" i="57"/>
  <c r="D44" i="57" s="1"/>
  <c r="C22" i="58"/>
  <c r="G47" i="43"/>
  <c r="G22" i="43" s="1"/>
  <c r="F22" i="43"/>
  <c r="F37" i="58"/>
  <c r="G37" i="58" s="1"/>
  <c r="G12" i="58" s="1"/>
  <c r="E12" i="58"/>
  <c r="E22" i="59"/>
  <c r="E22" i="58"/>
  <c r="F22" i="58"/>
  <c r="M17" i="36"/>
  <c r="E22" i="36"/>
  <c r="C19" i="36"/>
  <c r="M11" i="36"/>
  <c r="E23" i="36"/>
  <c r="D17" i="36"/>
  <c r="D19" i="36" s="1"/>
  <c r="M5" i="36"/>
  <c r="C18" i="36"/>
  <c r="D18" i="36" s="1"/>
  <c r="E18" i="36" s="1"/>
  <c r="D22" i="43"/>
  <c r="D13" i="43"/>
  <c r="D12" i="43"/>
  <c r="D10" i="43"/>
  <c r="G20" i="43"/>
  <c r="G10" i="43"/>
  <c r="G18" i="43"/>
  <c r="G17" i="43" s="1"/>
  <c r="D20" i="43"/>
  <c r="F38" i="43"/>
  <c r="G36" i="57"/>
  <c r="G11" i="57" s="1"/>
  <c r="I17" i="36"/>
  <c r="I19" i="36" s="1"/>
  <c r="M10" i="36"/>
  <c r="J17" i="36"/>
  <c r="J19" i="36" s="1"/>
  <c r="M12" i="36"/>
  <c r="D7" i="43"/>
  <c r="D9" i="43" s="1"/>
  <c r="C8" i="56"/>
  <c r="E22" i="43"/>
  <c r="E20" i="43"/>
  <c r="H6" i="43"/>
  <c r="E7" i="43"/>
  <c r="E9" i="43" s="1"/>
  <c r="D18" i="43"/>
  <c r="D17" i="43" s="1"/>
  <c r="F20" i="43"/>
  <c r="C22" i="43"/>
  <c r="E34" i="43"/>
  <c r="C22" i="56"/>
  <c r="H6" i="56"/>
  <c r="D3" i="2" s="1"/>
  <c r="C20" i="56"/>
  <c r="F22" i="56"/>
  <c r="F20" i="56"/>
  <c r="F7" i="56"/>
  <c r="F9" i="56" s="1"/>
  <c r="C11" i="56"/>
  <c r="G36" i="56"/>
  <c r="G11" i="56" s="1"/>
  <c r="C7" i="43"/>
  <c r="D22" i="56"/>
  <c r="D20" i="56"/>
  <c r="G20" i="56"/>
  <c r="D7" i="56"/>
  <c r="G7" i="56"/>
  <c r="G9" i="56" s="1"/>
  <c r="D10" i="56"/>
  <c r="H10" i="56" s="1"/>
  <c r="D7" i="2" s="1"/>
  <c r="D30" i="2" s="1"/>
  <c r="G10" i="56"/>
  <c r="D11" i="56"/>
  <c r="G34" i="58"/>
  <c r="E26" i="51"/>
  <c r="H18" i="57"/>
  <c r="H18" i="56"/>
  <c r="E22" i="56"/>
  <c r="E20" i="56"/>
  <c r="E7" i="56"/>
  <c r="E9" i="56" s="1"/>
  <c r="E10" i="56"/>
  <c r="E11" i="56"/>
  <c r="D12" i="57"/>
  <c r="D7" i="57"/>
  <c r="D20" i="57"/>
  <c r="D11" i="57"/>
  <c r="H6" i="57"/>
  <c r="E3" i="2" s="1"/>
  <c r="G10" i="57"/>
  <c r="G7" i="57"/>
  <c r="G9" i="57" s="1"/>
  <c r="G20" i="57"/>
  <c r="E10" i="57"/>
  <c r="E11" i="58"/>
  <c r="E20" i="58"/>
  <c r="E33" i="59"/>
  <c r="E34" i="59" s="1"/>
  <c r="E33" i="58"/>
  <c r="E34" i="58" s="1"/>
  <c r="E33" i="57"/>
  <c r="E34" i="57" s="1"/>
  <c r="E33" i="56"/>
  <c r="E34" i="56" s="1"/>
  <c r="C38" i="59"/>
  <c r="D38" i="59" s="1"/>
  <c r="E38" i="59" s="1"/>
  <c r="F38" i="59" s="1"/>
  <c r="G38" i="59" s="1"/>
  <c r="G13" i="59" s="1"/>
  <c r="C38" i="58"/>
  <c r="D38" i="58" s="1"/>
  <c r="E38" i="58" s="1"/>
  <c r="F38" i="58" s="1"/>
  <c r="G38" i="58" s="1"/>
  <c r="G13" i="58" s="1"/>
  <c r="C38" i="57"/>
  <c r="D38" i="57" s="1"/>
  <c r="C38" i="56"/>
  <c r="E11" i="57"/>
  <c r="H6" i="58"/>
  <c r="F3" i="2" s="1"/>
  <c r="E10" i="58"/>
  <c r="E13" i="58"/>
  <c r="E19" i="58"/>
  <c r="G20" i="59"/>
  <c r="L8" i="55"/>
  <c r="K9" i="55"/>
  <c r="C7" i="57"/>
  <c r="F7" i="57"/>
  <c r="F9" i="57" s="1"/>
  <c r="C10" i="57"/>
  <c r="H10" i="57" s="1"/>
  <c r="E7" i="2" s="1"/>
  <c r="E30" i="2" s="1"/>
  <c r="F10" i="57"/>
  <c r="C11" i="57"/>
  <c r="F11" i="57"/>
  <c r="C19" i="57"/>
  <c r="C20" i="57"/>
  <c r="H20" i="57" s="1"/>
  <c r="E17" i="2" s="1"/>
  <c r="F20" i="57"/>
  <c r="C7" i="58"/>
  <c r="F7" i="58"/>
  <c r="F9" i="58" s="1"/>
  <c r="C10" i="58"/>
  <c r="F10" i="58"/>
  <c r="C11" i="58"/>
  <c r="F11" i="58"/>
  <c r="C12" i="58"/>
  <c r="C19" i="58"/>
  <c r="F19" i="58"/>
  <c r="C20" i="58"/>
  <c r="F20" i="58"/>
  <c r="G7" i="59"/>
  <c r="G9" i="59" s="1"/>
  <c r="D11" i="59"/>
  <c r="G12" i="59"/>
  <c r="D20" i="59"/>
  <c r="J26" i="51"/>
  <c r="D7" i="58"/>
  <c r="G7" i="58"/>
  <c r="G9" i="58" s="1"/>
  <c r="D10" i="58"/>
  <c r="G10" i="58"/>
  <c r="D11" i="58"/>
  <c r="G11" i="58"/>
  <c r="D12" i="58"/>
  <c r="D19" i="58"/>
  <c r="G19" i="58"/>
  <c r="D20" i="58"/>
  <c r="G20" i="58"/>
  <c r="D10" i="59"/>
  <c r="G11" i="59"/>
  <c r="D13" i="59"/>
  <c r="D19" i="59"/>
  <c r="J27" i="51"/>
  <c r="D27" i="51"/>
  <c r="D28" i="51" s="1"/>
  <c r="H6" i="59"/>
  <c r="G3" i="2" s="1"/>
  <c r="E7" i="59"/>
  <c r="E9" i="59" s="1"/>
  <c r="E10" i="59"/>
  <c r="E11" i="59"/>
  <c r="E12" i="59"/>
  <c r="E19" i="59"/>
  <c r="E20" i="59"/>
  <c r="C7" i="59"/>
  <c r="F7" i="59"/>
  <c r="F9" i="59" s="1"/>
  <c r="C10" i="59"/>
  <c r="H10" i="59" s="1"/>
  <c r="G7" i="2" s="1"/>
  <c r="G30" i="2" s="1"/>
  <c r="F10" i="59"/>
  <c r="C11" i="59"/>
  <c r="F11" i="59"/>
  <c r="C12" i="59"/>
  <c r="F12" i="59"/>
  <c r="C19" i="59"/>
  <c r="F19" i="59"/>
  <c r="C20" i="59"/>
  <c r="H20" i="59" s="1"/>
  <c r="G17" i="2" s="1"/>
  <c r="F20" i="59"/>
  <c r="F22" i="59" l="1"/>
  <c r="C13" i="59"/>
  <c r="F37" i="57"/>
  <c r="E12" i="57"/>
  <c r="C19" i="43"/>
  <c r="E47" i="57"/>
  <c r="D22" i="57"/>
  <c r="C22" i="59"/>
  <c r="G37" i="43"/>
  <c r="G12" i="43" s="1"/>
  <c r="F12" i="43"/>
  <c r="H12" i="43" s="1"/>
  <c r="C9" i="2" s="1"/>
  <c r="C12" i="57"/>
  <c r="C14" i="57" s="1"/>
  <c r="D44" i="56"/>
  <c r="C19" i="56"/>
  <c r="C11" i="43"/>
  <c r="C14" i="43" s="1"/>
  <c r="C22" i="57"/>
  <c r="D13" i="58"/>
  <c r="D14" i="58" s="1"/>
  <c r="F12" i="58"/>
  <c r="H12" i="58" s="1"/>
  <c r="F9" i="2" s="1"/>
  <c r="F35" i="2" s="1"/>
  <c r="C13" i="57"/>
  <c r="E40" i="58"/>
  <c r="H20" i="43"/>
  <c r="C17" i="2" s="1"/>
  <c r="D22" i="59"/>
  <c r="E44" i="57"/>
  <c r="D19" i="57"/>
  <c r="D37" i="56"/>
  <c r="C12" i="56"/>
  <c r="C40" i="43"/>
  <c r="F40" i="59"/>
  <c r="G14" i="59"/>
  <c r="G15" i="59" s="1"/>
  <c r="E40" i="59"/>
  <c r="F13" i="59"/>
  <c r="F14" i="59" s="1"/>
  <c r="F15" i="59" s="1"/>
  <c r="H12" i="59"/>
  <c r="G9" i="2" s="1"/>
  <c r="G35" i="2" s="1"/>
  <c r="E13" i="59"/>
  <c r="G43" i="2"/>
  <c r="H11" i="58"/>
  <c r="F8" i="2" s="1"/>
  <c r="E43" i="2"/>
  <c r="L9" i="55"/>
  <c r="D8" i="58" s="1"/>
  <c r="D9" i="58" s="1"/>
  <c r="K10" i="55"/>
  <c r="L10" i="55" s="1"/>
  <c r="D8" i="59" s="1"/>
  <c r="D9" i="59" s="1"/>
  <c r="E14" i="58"/>
  <c r="E15" i="58" s="1"/>
  <c r="H7" i="43"/>
  <c r="C4" i="2" s="1"/>
  <c r="C9" i="43"/>
  <c r="H11" i="56"/>
  <c r="D8" i="2" s="1"/>
  <c r="H20" i="56"/>
  <c r="D17" i="2" s="1"/>
  <c r="C9" i="56"/>
  <c r="C14" i="59"/>
  <c r="H11" i="59"/>
  <c r="G8" i="2" s="1"/>
  <c r="H19" i="58"/>
  <c r="F16" i="2" s="1"/>
  <c r="F42" i="2" s="1"/>
  <c r="F13" i="58"/>
  <c r="C8" i="58"/>
  <c r="C9" i="58" s="1"/>
  <c r="H7" i="58"/>
  <c r="F4" i="2" s="1"/>
  <c r="H11" i="57"/>
  <c r="E8" i="2" s="1"/>
  <c r="F40" i="58"/>
  <c r="D38" i="56"/>
  <c r="C13" i="56"/>
  <c r="D9" i="57"/>
  <c r="D8" i="57"/>
  <c r="E18" i="56"/>
  <c r="E17" i="56" s="1"/>
  <c r="G18" i="56"/>
  <c r="G17" i="56" s="1"/>
  <c r="C18" i="56"/>
  <c r="C17" i="56" s="1"/>
  <c r="F18" i="56"/>
  <c r="F17" i="56" s="1"/>
  <c r="D18" i="56"/>
  <c r="D17" i="56" s="1"/>
  <c r="D60" i="2"/>
  <c r="F26" i="51"/>
  <c r="D8" i="56"/>
  <c r="H8" i="56" s="1"/>
  <c r="D5" i="2" s="1"/>
  <c r="H5" i="2" s="1"/>
  <c r="G40" i="59"/>
  <c r="H22" i="43"/>
  <c r="H7" i="56"/>
  <c r="D4" i="2" s="1"/>
  <c r="G6" i="36" s="1"/>
  <c r="G5" i="36" s="1"/>
  <c r="G17" i="36" s="1"/>
  <c r="G19" i="36" s="1"/>
  <c r="G38" i="43"/>
  <c r="F13" i="43"/>
  <c r="H10" i="43"/>
  <c r="C7" i="2" s="1"/>
  <c r="I22" i="36"/>
  <c r="M19" i="36"/>
  <c r="I23" i="36"/>
  <c r="C20" i="36"/>
  <c r="D20" i="36" s="1"/>
  <c r="E20" i="36" s="1"/>
  <c r="E27" i="51"/>
  <c r="F27" i="51" s="1"/>
  <c r="G27" i="51" s="1"/>
  <c r="H27" i="51" s="1"/>
  <c r="H21" i="57"/>
  <c r="H21" i="56"/>
  <c r="H21" i="43"/>
  <c r="G14" i="58"/>
  <c r="G15" i="58" s="1"/>
  <c r="G40" i="58"/>
  <c r="H19" i="59"/>
  <c r="G16" i="2" s="1"/>
  <c r="G42" i="2" s="1"/>
  <c r="C9" i="59"/>
  <c r="C8" i="59"/>
  <c r="H8" i="59" s="1"/>
  <c r="G5" i="2" s="1"/>
  <c r="H7" i="59"/>
  <c r="G4" i="2" s="1"/>
  <c r="E14" i="59"/>
  <c r="E15" i="59" s="1"/>
  <c r="D14" i="59"/>
  <c r="H20" i="58"/>
  <c r="F17" i="2" s="1"/>
  <c r="C13" i="58"/>
  <c r="H10" i="58"/>
  <c r="F7" i="2" s="1"/>
  <c r="F30" i="2" s="1"/>
  <c r="C8" i="57"/>
  <c r="H8" i="57" s="1"/>
  <c r="E5" i="2" s="1"/>
  <c r="H7" i="57"/>
  <c r="E4" i="2" s="1"/>
  <c r="H6" i="36" s="1"/>
  <c r="H5" i="36" s="1"/>
  <c r="H17" i="36" s="1"/>
  <c r="H19" i="36" s="1"/>
  <c r="E38" i="57"/>
  <c r="E40" i="57" s="1"/>
  <c r="D13" i="57"/>
  <c r="D14" i="57" s="1"/>
  <c r="F19" i="2"/>
  <c r="F18" i="57"/>
  <c r="F17" i="57" s="1"/>
  <c r="C18" i="57"/>
  <c r="C17" i="57" s="1"/>
  <c r="D18" i="57"/>
  <c r="D17" i="57" s="1"/>
  <c r="G18" i="57"/>
  <c r="G17" i="57" s="1"/>
  <c r="E18" i="57"/>
  <c r="E17" i="57" s="1"/>
  <c r="E60" i="2"/>
  <c r="H22" i="56"/>
  <c r="E18" i="43"/>
  <c r="E17" i="43" s="1"/>
  <c r="C18" i="43"/>
  <c r="C17" i="43" s="1"/>
  <c r="C3" i="2"/>
  <c r="H3" i="2" s="1"/>
  <c r="F18" i="43"/>
  <c r="F17" i="43" s="1"/>
  <c r="H22" i="59" l="1"/>
  <c r="G19" i="2" s="1"/>
  <c r="E37" i="56"/>
  <c r="D12" i="56"/>
  <c r="E44" i="56"/>
  <c r="D19" i="56"/>
  <c r="E44" i="43"/>
  <c r="D19" i="43"/>
  <c r="E36" i="43"/>
  <c r="D40" i="43"/>
  <c r="D11" i="43"/>
  <c r="D14" i="43" s="1"/>
  <c r="F47" i="57"/>
  <c r="E22" i="57"/>
  <c r="F14" i="58"/>
  <c r="F15" i="58" s="1"/>
  <c r="F16" i="58" s="1"/>
  <c r="H13" i="59"/>
  <c r="G10" i="2" s="1"/>
  <c r="G36" i="2" s="1"/>
  <c r="F44" i="57"/>
  <c r="E19" i="57"/>
  <c r="G37" i="57"/>
  <c r="G12" i="57" s="1"/>
  <c r="F12" i="57"/>
  <c r="H12" i="57" s="1"/>
  <c r="E9" i="2" s="1"/>
  <c r="E35" i="2" s="1"/>
  <c r="H13" i="58"/>
  <c r="F10" i="2" s="1"/>
  <c r="E16" i="58"/>
  <c r="E16" i="59"/>
  <c r="D15" i="58"/>
  <c r="D32" i="58"/>
  <c r="D34" i="58" s="1"/>
  <c r="D40" i="58" s="1"/>
  <c r="C32" i="58"/>
  <c r="C34" i="58" s="1"/>
  <c r="C40" i="58" s="1"/>
  <c r="H9" i="58"/>
  <c r="F6" i="2" s="1"/>
  <c r="F29" i="2" s="1"/>
  <c r="F31" i="2" s="1"/>
  <c r="F32" i="2" s="1"/>
  <c r="E21" i="43"/>
  <c r="F21" i="43"/>
  <c r="D21" i="43"/>
  <c r="C21" i="43"/>
  <c r="C18" i="2"/>
  <c r="G21" i="43"/>
  <c r="F28" i="51"/>
  <c r="G26" i="51"/>
  <c r="E34" i="2"/>
  <c r="G16" i="58"/>
  <c r="F16" i="59"/>
  <c r="H9" i="56"/>
  <c r="D6" i="2" s="1"/>
  <c r="D29" i="2" s="1"/>
  <c r="D31" i="2" s="1"/>
  <c r="D32" i="2" s="1"/>
  <c r="C32" i="56"/>
  <c r="C34" i="56" s="1"/>
  <c r="C40" i="56" s="1"/>
  <c r="D43" i="2"/>
  <c r="H9" i="43"/>
  <c r="C15" i="43"/>
  <c r="C14" i="58"/>
  <c r="H14" i="58" s="1"/>
  <c r="F11" i="2" s="1"/>
  <c r="C35" i="2"/>
  <c r="H17" i="43"/>
  <c r="C14" i="2" s="1"/>
  <c r="H17" i="57"/>
  <c r="E14" i="2" s="1"/>
  <c r="E41" i="2" s="1"/>
  <c r="C9" i="57"/>
  <c r="F49" i="2"/>
  <c r="F43" i="2"/>
  <c r="G16" i="59"/>
  <c r="E21" i="56"/>
  <c r="G21" i="56"/>
  <c r="D21" i="56"/>
  <c r="F21" i="56"/>
  <c r="C21" i="56"/>
  <c r="D18" i="2"/>
  <c r="D50" i="2" s="1"/>
  <c r="I27" i="51"/>
  <c r="C19" i="2"/>
  <c r="D9" i="56"/>
  <c r="H17" i="56"/>
  <c r="D14" i="2" s="1"/>
  <c r="D41" i="2" s="1"/>
  <c r="G34" i="2"/>
  <c r="C14" i="56"/>
  <c r="F6" i="36"/>
  <c r="F5" i="36" s="1"/>
  <c r="F17" i="36" s="1"/>
  <c r="H4" i="2"/>
  <c r="L6" i="36" s="1"/>
  <c r="L5" i="36" s="1"/>
  <c r="L17" i="36" s="1"/>
  <c r="L19" i="36" s="1"/>
  <c r="C6" i="2"/>
  <c r="H17" i="2"/>
  <c r="D19" i="2"/>
  <c r="F51" i="2"/>
  <c r="F38" i="57"/>
  <c r="E13" i="57"/>
  <c r="E14" i="57" s="1"/>
  <c r="E15" i="57" s="1"/>
  <c r="F47" i="2"/>
  <c r="F36" i="2"/>
  <c r="H7" i="2"/>
  <c r="H30" i="2" s="1"/>
  <c r="C30" i="2"/>
  <c r="H8" i="58"/>
  <c r="F5" i="2" s="1"/>
  <c r="C15" i="59"/>
  <c r="C32" i="59"/>
  <c r="C34" i="59" s="1"/>
  <c r="C40" i="59" s="1"/>
  <c r="H9" i="59"/>
  <c r="G6" i="2" s="1"/>
  <c r="F21" i="57"/>
  <c r="C21" i="57"/>
  <c r="D21" i="57"/>
  <c r="G21" i="57"/>
  <c r="E18" i="2"/>
  <c r="E21" i="57"/>
  <c r="G13" i="43"/>
  <c r="E28" i="51"/>
  <c r="D32" i="57"/>
  <c r="D34" i="57" s="1"/>
  <c r="D40" i="57" s="1"/>
  <c r="D15" i="57"/>
  <c r="E38" i="56"/>
  <c r="D13" i="56"/>
  <c r="H14" i="59"/>
  <c r="G11" i="2" s="1"/>
  <c r="D15" i="43"/>
  <c r="D34" i="2"/>
  <c r="D32" i="59"/>
  <c r="D34" i="59" s="1"/>
  <c r="D40" i="59" s="1"/>
  <c r="D15" i="59"/>
  <c r="F34" i="2"/>
  <c r="C43" i="2"/>
  <c r="D14" i="56" l="1"/>
  <c r="G44" i="57"/>
  <c r="G19" i="57" s="1"/>
  <c r="F19" i="57"/>
  <c r="G47" i="57"/>
  <c r="G22" i="57" s="1"/>
  <c r="F22" i="57"/>
  <c r="F36" i="43"/>
  <c r="E11" i="43"/>
  <c r="E40" i="43"/>
  <c r="F37" i="56"/>
  <c r="E12" i="56"/>
  <c r="F44" i="56"/>
  <c r="E19" i="56"/>
  <c r="F44" i="43"/>
  <c r="E19" i="43"/>
  <c r="H13" i="43"/>
  <c r="C10" i="2" s="1"/>
  <c r="C36" i="2" s="1"/>
  <c r="F38" i="56"/>
  <c r="E13" i="56"/>
  <c r="E40" i="56"/>
  <c r="G29" i="2"/>
  <c r="G31" i="2" s="1"/>
  <c r="G32" i="2" s="1"/>
  <c r="G49" i="2"/>
  <c r="G51" i="2"/>
  <c r="C51" i="2"/>
  <c r="D46" i="56"/>
  <c r="D23" i="56"/>
  <c r="H14" i="2"/>
  <c r="C41" i="2"/>
  <c r="H26" i="51"/>
  <c r="H28" i="51" s="1"/>
  <c r="G28" i="51"/>
  <c r="H18" i="2"/>
  <c r="C50" i="2"/>
  <c r="F46" i="43"/>
  <c r="D16" i="59"/>
  <c r="D16" i="57"/>
  <c r="G46" i="57"/>
  <c r="F46" i="57"/>
  <c r="G47" i="2"/>
  <c r="E16" i="57"/>
  <c r="D51" i="2"/>
  <c r="H49" i="2"/>
  <c r="H43" i="2"/>
  <c r="D32" i="56"/>
  <c r="D34" i="56" s="1"/>
  <c r="D40" i="56" s="1"/>
  <c r="D48" i="56" s="1"/>
  <c r="D15" i="56"/>
  <c r="C46" i="56"/>
  <c r="C23" i="56"/>
  <c r="G46" i="56"/>
  <c r="C15" i="57"/>
  <c r="C32" i="57"/>
  <c r="C34" i="57" s="1"/>
  <c r="C40" i="57" s="1"/>
  <c r="H9" i="57"/>
  <c r="E6" i="2" s="1"/>
  <c r="C16" i="43"/>
  <c r="D49" i="2"/>
  <c r="C15" i="56"/>
  <c r="E48" i="2"/>
  <c r="C46" i="43"/>
  <c r="C48" i="43" s="1"/>
  <c r="C23" i="43"/>
  <c r="C24" i="43" s="1"/>
  <c r="E46" i="43"/>
  <c r="E23" i="43"/>
  <c r="C15" i="58"/>
  <c r="D16" i="58"/>
  <c r="C46" i="57"/>
  <c r="C23" i="57"/>
  <c r="H6" i="2"/>
  <c r="C29" i="2"/>
  <c r="C31" i="2" s="1"/>
  <c r="C32" i="2" s="1"/>
  <c r="C49" i="2"/>
  <c r="D16" i="43"/>
  <c r="E46" i="57"/>
  <c r="E48" i="57" s="1"/>
  <c r="E23" i="57"/>
  <c r="E24" i="57" s="1"/>
  <c r="D46" i="57"/>
  <c r="D48" i="57" s="1"/>
  <c r="D23" i="57"/>
  <c r="D24" i="57" s="1"/>
  <c r="C16" i="59"/>
  <c r="H15" i="59"/>
  <c r="G38" i="57"/>
  <c r="F13" i="57"/>
  <c r="F14" i="57" s="1"/>
  <c r="F40" i="57"/>
  <c r="F48" i="57" s="1"/>
  <c r="F19" i="36"/>
  <c r="F20" i="36" s="1"/>
  <c r="G20" i="36" s="1"/>
  <c r="H20" i="36" s="1"/>
  <c r="F18" i="36"/>
  <c r="G18" i="36" s="1"/>
  <c r="H18" i="36" s="1"/>
  <c r="F46" i="56"/>
  <c r="E46" i="56"/>
  <c r="C48" i="56"/>
  <c r="I26" i="51"/>
  <c r="H60" i="2" s="1"/>
  <c r="G46" i="43"/>
  <c r="D46" i="43"/>
  <c r="D48" i="43" s="1"/>
  <c r="D23" i="43"/>
  <c r="D24" i="43" s="1"/>
  <c r="F23" i="57" l="1"/>
  <c r="H19" i="57"/>
  <c r="E16" i="2" s="1"/>
  <c r="E42" i="2" s="1"/>
  <c r="F19" i="43"/>
  <c r="F23" i="43" s="1"/>
  <c r="G44" i="43"/>
  <c r="G19" i="43" s="1"/>
  <c r="G23" i="43" s="1"/>
  <c r="E23" i="56"/>
  <c r="E24" i="56" s="1"/>
  <c r="E48" i="43"/>
  <c r="G23" i="57"/>
  <c r="E14" i="56"/>
  <c r="E15" i="56" s="1"/>
  <c r="H22" i="57"/>
  <c r="G44" i="56"/>
  <c r="G19" i="56" s="1"/>
  <c r="G23" i="56" s="1"/>
  <c r="F19" i="56"/>
  <c r="F23" i="56" s="1"/>
  <c r="G37" i="56"/>
  <c r="G12" i="56" s="1"/>
  <c r="F12" i="56"/>
  <c r="E14" i="43"/>
  <c r="F48" i="43"/>
  <c r="F40" i="43"/>
  <c r="F11" i="43"/>
  <c r="F14" i="43" s="1"/>
  <c r="F15" i="43" s="1"/>
  <c r="F16" i="43" s="1"/>
  <c r="G36" i="43"/>
  <c r="D25" i="57"/>
  <c r="D26" i="57" s="1"/>
  <c r="D27" i="57" s="1"/>
  <c r="E25" i="57"/>
  <c r="E26" i="57" s="1"/>
  <c r="E27" i="57" s="1"/>
  <c r="E24" i="36"/>
  <c r="I18" i="36"/>
  <c r="J18" i="36" s="1"/>
  <c r="K18" i="36" s="1"/>
  <c r="L18" i="36" s="1"/>
  <c r="C25" i="43"/>
  <c r="C26" i="43" s="1"/>
  <c r="C24" i="57"/>
  <c r="C16" i="57"/>
  <c r="H41" i="2"/>
  <c r="E16" i="56"/>
  <c r="H16" i="59"/>
  <c r="G13" i="2" s="1"/>
  <c r="G12" i="2"/>
  <c r="G38" i="2" s="1"/>
  <c r="D25" i="43"/>
  <c r="D26" i="43" s="1"/>
  <c r="D27" i="43" s="1"/>
  <c r="D24" i="56"/>
  <c r="D16" i="56"/>
  <c r="I24" i="36"/>
  <c r="I20" i="36"/>
  <c r="J20" i="36" s="1"/>
  <c r="K20" i="36" s="1"/>
  <c r="L20" i="36" s="1"/>
  <c r="F15" i="57"/>
  <c r="H29" i="2"/>
  <c r="H31" i="2" s="1"/>
  <c r="H32" i="2" s="1"/>
  <c r="C16" i="58"/>
  <c r="H15" i="58"/>
  <c r="C24" i="56"/>
  <c r="C16" i="56"/>
  <c r="E29" i="2"/>
  <c r="E31" i="2" s="1"/>
  <c r="E32" i="2" s="1"/>
  <c r="E49" i="2"/>
  <c r="H50" i="2"/>
  <c r="E50" i="2"/>
  <c r="G38" i="56"/>
  <c r="F13" i="56"/>
  <c r="F40" i="56"/>
  <c r="F48" i="56" s="1"/>
  <c r="G40" i="57"/>
  <c r="G48" i="57" s="1"/>
  <c r="G13" i="57"/>
  <c r="C48" i="57"/>
  <c r="E48" i="56"/>
  <c r="H12" i="56" l="1"/>
  <c r="D9" i="2" s="1"/>
  <c r="D35" i="2"/>
  <c r="H9" i="2"/>
  <c r="H35" i="2" s="1"/>
  <c r="D48" i="2"/>
  <c r="H11" i="43"/>
  <c r="C8" i="2" s="1"/>
  <c r="E19" i="2"/>
  <c r="H23" i="57"/>
  <c r="E20" i="2" s="1"/>
  <c r="G24" i="43"/>
  <c r="G25" i="43" s="1"/>
  <c r="G26" i="43" s="1"/>
  <c r="G27" i="43" s="1"/>
  <c r="H19" i="56"/>
  <c r="G11" i="43"/>
  <c r="G14" i="43" s="1"/>
  <c r="G15" i="43" s="1"/>
  <c r="G16" i="43" s="1"/>
  <c r="G40" i="43"/>
  <c r="G48" i="43" s="1"/>
  <c r="H19" i="43"/>
  <c r="E15" i="43"/>
  <c r="H14" i="43"/>
  <c r="C11" i="2" s="1"/>
  <c r="F24" i="43"/>
  <c r="F25" i="43" s="1"/>
  <c r="F26" i="43" s="1"/>
  <c r="F27" i="43" s="1"/>
  <c r="C27" i="43"/>
  <c r="F14" i="56"/>
  <c r="H16" i="58"/>
  <c r="F13" i="2" s="1"/>
  <c r="F12" i="2"/>
  <c r="F38" i="2" s="1"/>
  <c r="F24" i="57"/>
  <c r="F16" i="57"/>
  <c r="G40" i="56"/>
  <c r="G48" i="56" s="1"/>
  <c r="G13" i="56"/>
  <c r="G14" i="56" s="1"/>
  <c r="G15" i="56" s="1"/>
  <c r="D25" i="56"/>
  <c r="D26" i="56" s="1"/>
  <c r="D27" i="56" s="1"/>
  <c r="C25" i="57"/>
  <c r="C26" i="57" s="1"/>
  <c r="G14" i="57"/>
  <c r="H13" i="57"/>
  <c r="E10" i="2" s="1"/>
  <c r="C25" i="56"/>
  <c r="C26" i="56" s="1"/>
  <c r="E25" i="56"/>
  <c r="E26" i="56" s="1"/>
  <c r="E27" i="56" s="1"/>
  <c r="H8" i="2" l="1"/>
  <c r="C34" i="2"/>
  <c r="C48" i="2"/>
  <c r="E16" i="43"/>
  <c r="H15" i="43"/>
  <c r="E24" i="43"/>
  <c r="E25" i="43" s="1"/>
  <c r="E26" i="43" s="1"/>
  <c r="C16" i="2"/>
  <c r="H23" i="43"/>
  <c r="D16" i="2"/>
  <c r="D42" i="2" s="1"/>
  <c r="H23" i="56"/>
  <c r="D20" i="2" s="1"/>
  <c r="H19" i="2"/>
  <c r="H51" i="2" s="1"/>
  <c r="E51" i="2"/>
  <c r="C27" i="56"/>
  <c r="C27" i="57"/>
  <c r="F15" i="56"/>
  <c r="H14" i="56"/>
  <c r="D11" i="2" s="1"/>
  <c r="E47" i="2"/>
  <c r="E36" i="2"/>
  <c r="G24" i="56"/>
  <c r="G16" i="56"/>
  <c r="F25" i="57"/>
  <c r="F26" i="57" s="1"/>
  <c r="G15" i="57"/>
  <c r="H14" i="57"/>
  <c r="E11" i="2" s="1"/>
  <c r="H13" i="56"/>
  <c r="D10" i="2" s="1"/>
  <c r="H16" i="2" l="1"/>
  <c r="H42" i="2" s="1"/>
  <c r="C42" i="2"/>
  <c r="C20" i="2"/>
  <c r="H20" i="2" s="1"/>
  <c r="C47" i="2"/>
  <c r="H34" i="2"/>
  <c r="H48" i="2"/>
  <c r="E27" i="43"/>
  <c r="H26" i="43"/>
  <c r="H27" i="43" s="1"/>
  <c r="C12" i="2"/>
  <c r="H24" i="43"/>
  <c r="H25" i="43" s="1"/>
  <c r="H16" i="43"/>
  <c r="F27" i="57"/>
  <c r="H11" i="2"/>
  <c r="H12" i="2" s="1"/>
  <c r="F24" i="56"/>
  <c r="F16" i="56"/>
  <c r="H15" i="56"/>
  <c r="D47" i="2"/>
  <c r="D36" i="2"/>
  <c r="H10" i="2"/>
  <c r="G25" i="56"/>
  <c r="G26" i="56" s="1"/>
  <c r="G27" i="56" s="1"/>
  <c r="G16" i="57"/>
  <c r="G24" i="57"/>
  <c r="H15" i="57"/>
  <c r="C21" i="2" l="1"/>
  <c r="C13" i="2"/>
  <c r="C38" i="2"/>
  <c r="C39" i="2" s="1"/>
  <c r="H16" i="56"/>
  <c r="D13" i="2" s="1"/>
  <c r="H24" i="56"/>
  <c r="D12" i="2"/>
  <c r="D38" i="2" s="1"/>
  <c r="D39" i="2" s="1"/>
  <c r="H38" i="2"/>
  <c r="H39" i="2" s="1"/>
  <c r="H21" i="2"/>
  <c r="H13" i="2"/>
  <c r="H47" i="2"/>
  <c r="H36" i="2"/>
  <c r="H24" i="57"/>
  <c r="H16" i="57"/>
  <c r="E13" i="2" s="1"/>
  <c r="E12" i="2"/>
  <c r="E38" i="2" s="1"/>
  <c r="E39" i="2" s="1"/>
  <c r="G25" i="57"/>
  <c r="G26" i="57" s="1"/>
  <c r="F25" i="56"/>
  <c r="F26" i="56" s="1"/>
  <c r="C53" i="2" l="1"/>
  <c r="C22" i="2"/>
  <c r="C23" i="2" s="1"/>
  <c r="G27" i="57"/>
  <c r="H26" i="57"/>
  <c r="F27" i="56"/>
  <c r="H26" i="56"/>
  <c r="E21" i="2"/>
  <c r="E53" i="2" s="1"/>
  <c r="H25" i="57"/>
  <c r="E22" i="2" s="1"/>
  <c r="H53" i="2"/>
  <c r="H22" i="2"/>
  <c r="H23" i="2" s="1"/>
  <c r="H25" i="56"/>
  <c r="D22" i="2" s="1"/>
  <c r="D21" i="2"/>
  <c r="D53" i="2" s="1"/>
  <c r="C52" i="2" l="1"/>
  <c r="C24" i="2"/>
  <c r="C59" i="2"/>
  <c r="C58" i="2" s="1"/>
  <c r="H59" i="2"/>
  <c r="H58" i="2" s="1"/>
  <c r="H52" i="2"/>
  <c r="H24" i="2"/>
  <c r="H27" i="57"/>
  <c r="E24" i="2" s="1"/>
  <c r="E23" i="2"/>
  <c r="H27" i="56"/>
  <c r="D24" i="2" s="1"/>
  <c r="D23" i="2"/>
  <c r="E59" i="2" l="1"/>
  <c r="E58" i="2" s="1"/>
  <c r="E52" i="2"/>
  <c r="D59" i="2"/>
  <c r="D58" i="2" s="1"/>
  <c r="D52" i="2"/>
  <c r="F17" i="59" l="1"/>
  <c r="G60" i="2"/>
  <c r="F18" i="59"/>
  <c r="D25" i="59"/>
  <c r="F53" i="2"/>
  <c r="F41" i="2"/>
  <c r="F48" i="2"/>
  <c r="D18" i="59"/>
  <c r="D17" i="59"/>
  <c r="D48" i="58"/>
  <c r="F52" i="2"/>
  <c r="C27" i="59"/>
  <c r="G18" i="59"/>
  <c r="G17" i="59"/>
  <c r="F25" i="58"/>
  <c r="F60" i="2"/>
  <c r="G50" i="2"/>
  <c r="G48" i="59"/>
  <c r="E18" i="59"/>
  <c r="E17" i="59"/>
  <c r="D26" i="59"/>
  <c r="D27" i="59"/>
  <c r="G18" i="2"/>
  <c r="E27" i="58"/>
  <c r="F26" i="58"/>
  <c r="F27" i="58"/>
  <c r="G25" i="59"/>
  <c r="G46" i="59"/>
  <c r="D46" i="58"/>
  <c r="G58" i="2"/>
  <c r="D25" i="58"/>
  <c r="G25" i="58"/>
  <c r="G48" i="2"/>
  <c r="G41" i="2"/>
  <c r="F25" i="59"/>
  <c r="C46" i="59"/>
  <c r="C48" i="59"/>
  <c r="C27" i="58"/>
  <c r="G21" i="2"/>
  <c r="G53" i="2"/>
  <c r="C17" i="58"/>
  <c r="H17" i="58"/>
  <c r="F14" i="2"/>
  <c r="G48" i="58"/>
  <c r="F48" i="59"/>
  <c r="F18" i="58"/>
  <c r="F17" i="58"/>
  <c r="F23" i="2"/>
  <c r="F59" i="2"/>
  <c r="F58" i="2"/>
  <c r="E46" i="58"/>
  <c r="E48" i="58"/>
  <c r="G20" i="2"/>
  <c r="G39" i="2"/>
  <c r="G52" i="2"/>
  <c r="G23" i="2"/>
  <c r="G59" i="2"/>
  <c r="D18" i="58"/>
  <c r="D17" i="58"/>
  <c r="E25" i="59"/>
  <c r="C46" i="58"/>
  <c r="C48" i="58"/>
  <c r="F46" i="59"/>
  <c r="D23" i="59"/>
  <c r="D24" i="59"/>
  <c r="E18" i="58"/>
  <c r="E17" i="58"/>
  <c r="F23" i="58"/>
  <c r="F24" i="58"/>
  <c r="G26" i="59"/>
  <c r="G27" i="59"/>
  <c r="G21" i="59"/>
  <c r="G23" i="59"/>
  <c r="G24" i="59"/>
  <c r="H23" i="59"/>
  <c r="H24" i="59"/>
  <c r="H25" i="59"/>
  <c r="G22" i="2"/>
  <c r="C18" i="58"/>
  <c r="H18" i="58"/>
  <c r="G18" i="58"/>
  <c r="G17" i="58"/>
  <c r="F21" i="59"/>
  <c r="F23" i="59"/>
  <c r="F24" i="59"/>
  <c r="F26" i="59"/>
  <c r="F27" i="59"/>
  <c r="F20" i="2"/>
  <c r="F39" i="2"/>
  <c r="E25" i="58"/>
  <c r="E21" i="58"/>
  <c r="E23" i="58"/>
  <c r="E24" i="58"/>
  <c r="E26" i="58"/>
  <c r="F22" i="2"/>
  <c r="H26" i="58"/>
  <c r="H27" i="58"/>
  <c r="F24" i="2"/>
  <c r="H26" i="59"/>
  <c r="H27" i="59"/>
  <c r="G24" i="2"/>
  <c r="E23" i="59"/>
  <c r="E24" i="59"/>
  <c r="E26" i="59"/>
  <c r="E27" i="59"/>
  <c r="C25" i="59"/>
  <c r="C23" i="59"/>
  <c r="C24" i="59"/>
  <c r="C26" i="59"/>
  <c r="G46" i="58"/>
  <c r="H25" i="58"/>
  <c r="H23" i="58"/>
  <c r="H24" i="58"/>
  <c r="F21" i="2"/>
  <c r="F18" i="2"/>
  <c r="F50" i="2"/>
  <c r="D21" i="59"/>
  <c r="D46" i="59"/>
  <c r="D48" i="59"/>
  <c r="H18" i="59"/>
  <c r="C18" i="59"/>
  <c r="C17" i="59"/>
  <c r="H17" i="59"/>
  <c r="G14" i="2"/>
  <c r="G21" i="58"/>
  <c r="G23" i="58"/>
  <c r="G24" i="58"/>
  <c r="G26" i="58"/>
  <c r="G27" i="58"/>
  <c r="C21" i="59"/>
  <c r="H21" i="59"/>
  <c r="E21" i="59"/>
  <c r="E46" i="59"/>
  <c r="E48" i="59"/>
  <c r="C25" i="58"/>
  <c r="C23" i="58"/>
  <c r="C24" i="58"/>
  <c r="C26" i="58"/>
  <c r="D21" i="58"/>
  <c r="D23" i="58"/>
  <c r="D24" i="58"/>
  <c r="D26" i="58"/>
  <c r="D27" i="58"/>
  <c r="C21" i="58"/>
  <c r="H21" i="58"/>
  <c r="F21" i="58"/>
  <c r="F46" i="58"/>
  <c r="F48" i="58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<sst xmlns="http://schemas.openxmlformats.org/spreadsheetml/2006/main" count="1345" uniqueCount="284">
  <si>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</si>
  <si>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</si>
  <si>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</si>
  <si>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</si>
  <si>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</si>
  <si>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</si>
  <si>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</si>
  <si>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</si>
  <si>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</si>
  <si>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</si>
  <si>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</si>
  <si>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</si>
  <si>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</si>
  <si>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</si>
  <si>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</si>
  <si>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r>
      <t>2022</t>
    </r>
    <r>
      <rPr>
        <b/>
        <sz val="10"/>
        <rFont val="宋体"/>
        <family val="3"/>
        <charset val="134"/>
      </rPr>
      <t>年</t>
    </r>
  </si>
  <si>
    <r>
      <t>2023</t>
    </r>
    <r>
      <rPr>
        <b/>
        <sz val="10"/>
        <rFont val="宋体"/>
        <family val="3"/>
        <charset val="134"/>
      </rPr>
      <t>年</t>
    </r>
  </si>
  <si>
    <r>
      <t>2024</t>
    </r>
    <r>
      <rPr>
        <b/>
        <sz val="10"/>
        <rFont val="宋体"/>
        <family val="3"/>
        <charset val="134"/>
      </rPr>
      <t>年</t>
    </r>
  </si>
  <si>
    <r>
      <t>2025</t>
    </r>
    <r>
      <rPr>
        <b/>
        <sz val="10"/>
        <rFont val="宋体"/>
        <family val="3"/>
        <charset val="134"/>
      </rPr>
      <t>年</t>
    </r>
  </si>
  <si>
    <r>
      <t>2026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</si>
  <si>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</si>
  <si>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</si>
  <si>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</si>
  <si>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</si>
  <si>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</si>
  <si>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</si>
  <si>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</si>
  <si>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</si>
  <si>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</si>
  <si>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</si>
  <si>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</si>
  <si>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</si>
  <si>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</si>
  <si>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</si>
  <si>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</si>
  <si>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</si>
  <si>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</si>
  <si>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</si>
  <si>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</si>
  <si>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</si>
  <si>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</si>
  <si>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</si>
  <si>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</si>
  <si>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</si>
  <si>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</si>
  <si>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</si>
  <si>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</si>
  <si>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</si>
  <si>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</si>
  <si>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</si>
  <si>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</si>
  <si>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</si>
  <si>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</si>
  <si>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</si>
  <si>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</si>
  <si>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</si>
  <si>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</si>
  <si>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</si>
  <si>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</si>
  <si>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</si>
  <si>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</si>
  <si>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</si>
  <si>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</si>
  <si>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</si>
  <si>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</si>
  <si>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</si>
  <si>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</si>
  <si>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</si>
  <si>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t>2022年</t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</si>
  <si>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</si>
  <si>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</si>
  <si>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</si>
  <si>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</si>
  <si>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</si>
  <si>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</si>
  <si>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</si>
  <si>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</si>
  <si>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</si>
  <si>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</si>
  <si>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</si>
  <si>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</si>
  <si>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</si>
  <si>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</si>
  <si>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</si>
  <si>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</si>
  <si>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</si>
  <si>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</si>
  <si>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</si>
  <si>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</si>
  <si>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</si>
  <si>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</si>
  <si>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</si>
  <si>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</si>
  <si>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</si>
  <si>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</si>
  <si>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</si>
  <si>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</si>
  <si>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</si>
  <si>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</si>
  <si>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</si>
  <si>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</si>
  <si>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</si>
  <si>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</si>
  <si>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</si>
  <si>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</si>
  <si>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</si>
  <si>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</si>
  <si>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</si>
  <si>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</si>
  <si>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</si>
  <si>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</si>
  <si>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</si>
  <si>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</si>
  <si>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</si>
  <si>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</si>
  <si>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</si>
  <si>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项目名称</t>
  </si>
  <si>
    <r>
      <rPr>
        <sz val="16"/>
        <color rgb="FF000000"/>
        <rFont val="宋体"/>
        <family val="3"/>
        <charset val="134"/>
      </rPr>
      <t>项目开发资金总投入</t>
    </r>
  </si>
  <si>
    <t>其中：模夹检</t>
  </si>
  <si>
    <t xml:space="preserve">      开发费</t>
  </si>
  <si>
    <t xml:space="preserve">      人工</t>
  </si>
  <si>
    <t>产品总收入</t>
  </si>
  <si>
    <t>产品直接材料成本</t>
  </si>
  <si>
    <t>投资回收周期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</si>
  <si>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</si>
  <si>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</si>
  <si>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</si>
  <si>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</si>
  <si>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</si>
  <si>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</si>
  <si>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</si>
  <si>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</si>
  <si>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</si>
  <si>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</si>
  <si>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</si>
  <si>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</si>
  <si>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</si>
  <si>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</si>
  <si>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</si>
  <si>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</si>
  <si>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</si>
  <si>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</si>
  <si>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</si>
  <si>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</si>
  <si>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</si>
  <si>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</si>
  <si>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</si>
  <si>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</si>
  <si>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</si>
  <si>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</si>
  <si>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</si>
  <si>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</si>
  <si>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</si>
  <si>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</si>
  <si>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</si>
  <si>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2022年  </t>
  </si>
  <si>
    <t>客户全称</t>
  </si>
  <si>
    <t>福田</t>
  </si>
  <si>
    <t>产品名称</t>
  </si>
  <si>
    <t>一排四人座椅</t>
  </si>
  <si>
    <t>产品图号</t>
  </si>
  <si>
    <t>K1681031020A0</t>
  </si>
  <si>
    <t>车型</t>
  </si>
  <si>
    <t>K1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</si>
  <si>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</si>
  <si>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</si>
  <si>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</si>
  <si>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</si>
  <si>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</si>
  <si>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</si>
  <si>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2023年  </t>
  </si>
  <si>
    <t xml:space="preserve">2024年  </t>
  </si>
  <si>
    <t xml:space="preserve">2025年  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</si>
  <si>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</si>
  <si>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</si>
  <si>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K1四人座椅项目研发费用预算表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</si>
  <si>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</si>
  <si>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</si>
  <si>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</si>
  <si>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</si>
  <si>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</si>
  <si>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</si>
  <si>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</si>
  <si>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</si>
  <si>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</si>
  <si>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</si>
  <si>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</si>
  <si>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</si>
  <si>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</si>
  <si>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</si>
  <si>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</si>
  <si>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</si>
  <si>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</si>
  <si>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</si>
  <si>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</si>
  <si>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</si>
  <si>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</si>
  <si>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</si>
  <si>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</si>
  <si>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</si>
  <si>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</si>
  <si>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</si>
  <si>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</si>
  <si>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</si>
  <si>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</si>
  <si>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</si>
  <si>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</si>
  <si>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</si>
  <si>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</si>
  <si>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</si>
  <si>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</si>
  <si>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</si>
  <si>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2026年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</si>
  <si>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</si>
  <si>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</si>
  <si>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</si>
  <si>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</si>
  <si>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</si>
  <si>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年</t>
  </si>
  <si>
    <t>新开发产品</t>
  </si>
  <si>
    <t>配置</t>
  </si>
  <si>
    <t>靠背可调</t>
  </si>
  <si>
    <t xml:space="preserve">销售价格
（元，未税）  </t>
  </si>
  <si>
    <t>销量（件）</t>
  </si>
  <si>
    <t>预估原材料成本（单位：元，未税）</t>
  </si>
  <si>
    <t>供应商年降：       年0 %</t>
  </si>
  <si>
    <t>模块</t>
  </si>
  <si>
    <t>K1四人座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</si>
  <si>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</si>
  <si>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</si>
  <si>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</si>
  <si>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</si>
  <si>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</si>
  <si>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</si>
  <si>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</si>
  <si>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</si>
  <si>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</si>
  <si>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</si>
  <si>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</si>
  <si>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</si>
  <si>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</si>
  <si>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</si>
  <si>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</si>
  <si>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</si>
  <si>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</si>
  <si>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</si>
  <si>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</si>
  <si>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</si>
  <si>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</si>
  <si>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</si>
  <si>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</si>
  <si>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</si>
  <si>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</si>
  <si>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</si>
  <si>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</si>
  <si>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</si>
  <si>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</si>
  <si>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</si>
  <si>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</si>
  <si>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</si>
  <si>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采购</t>
  </si>
  <si>
    <t>产品特殊特性</t>
  </si>
  <si>
    <t>单位：元、%、未税</t>
  </si>
  <si>
    <t>科目</t>
  </si>
  <si>
    <t>预计</t>
  </si>
  <si>
    <t>座椅单件金额</t>
  </si>
  <si>
    <t>后视镜单件金额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</si>
  <si>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</si>
  <si>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</si>
  <si>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</si>
  <si>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</si>
  <si>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</si>
  <si>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</si>
  <si>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</si>
  <si>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</si>
  <si>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</si>
  <si>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  <phoneticPr fontId="39" type="noConversion"/>
  </si>
  <si>
    <t>含模摊</t>
    <phoneticPr fontId="39" type="noConversion"/>
  </si>
  <si>
    <r>
      <t xml:space="preserve">K1四人座椅项目投资收益分析                  </t>
    </r>
    <r>
      <rPr>
        <sz val="10"/>
        <color theme="1"/>
        <rFont val="微软雅黑"/>
        <family val="2"/>
        <charset val="134"/>
      </rPr>
      <t>单位：元</t>
    </r>
    <phoneticPr fontId="39" type="noConversion"/>
  </si>
  <si>
    <t>销售价格（未税）：由营销经理提供，无年降。</t>
    <phoneticPr fontId="39" type="noConversion"/>
  </si>
  <si>
    <t>成本按购买核心件自制调角器预估。供应商年度降价无。</t>
    <phoneticPr fontId="39" type="noConversion"/>
  </si>
  <si>
    <t>变动费用参考河北工厂2021年实际及2022预算暂估。</t>
    <phoneticPr fontId="39" type="noConversion"/>
  </si>
  <si>
    <t>研发费用按照产销量摊销，未包含可能的核心件更改模具费用。</t>
    <phoneticPr fontId="39" type="noConversion"/>
  </si>
  <si>
    <t>财务费用按集团汇总数据。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</si>
</sst>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8" formatCode="0.00_ "/>
    <numFmt numFmtId="179" formatCode="_ * #,##0_ ;_ * \-#,##0_ ;_ * &quot;-&quot;??_ ;_ @_ "/>
    <numFmt numFmtId="180" formatCode="0_ "/>
    <numFmt numFmtId="181" formatCode="&quot;$&quot;#,##0.00_);[Red]\(&quot;$&quot;#,##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6"/>
      <color rgb="FF000000"/>
      <name val="宋体"/>
      <family val="3"/>
      <charset val="134"/>
    </font>
    <font>
      <sz val="18"/>
      <name val="Arial"/>
      <family val="2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30" fillId="0" borderId="0"/>
    <xf numFmtId="9" fontId="38" fillId="0" borderId="0" applyFont="0" applyFill="0" applyBorder="0" applyAlignment="0" applyProtection="0">
      <alignment vertical="center"/>
    </xf>
    <xf numFmtId="0" fontId="31" fillId="0" borderId="0"/>
    <xf numFmtId="0" fontId="38" fillId="0" borderId="0">
      <alignment vertical="center"/>
    </xf>
    <xf numFmtId="0" fontId="32" fillId="0" borderId="0"/>
    <xf numFmtId="1" fontId="33" fillId="0" borderId="2" applyBorder="0"/>
    <xf numFmtId="43" fontId="34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10" fontId="1" fillId="0" borderId="0" xfId="3" applyNumberFormat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43" fontId="2" fillId="2" borderId="2" xfId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2" borderId="2" xfId="1" applyFont="1" applyFill="1" applyBorder="1">
      <alignment vertical="center"/>
    </xf>
    <xf numFmtId="43" fontId="5" fillId="0" borderId="2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 applyAlignment="1">
      <alignment vertical="center" wrapText="1"/>
    </xf>
    <xf numFmtId="179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>
      <alignment vertical="center"/>
    </xf>
    <xf numFmtId="10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43" fontId="2" fillId="3" borderId="2" xfId="1" applyFont="1" applyFill="1" applyBorder="1">
      <alignment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179" fontId="9" fillId="3" borderId="2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9" fontId="7" fillId="3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80" fontId="11" fillId="5" borderId="2" xfId="4" applyNumberFormat="1" applyFont="1" applyFill="1" applyBorder="1" applyAlignment="1">
      <alignment horizontal="center" vertical="center" wrapText="1"/>
    </xf>
    <xf numFmtId="43" fontId="11" fillId="5" borderId="2" xfId="1" applyFont="1" applyFill="1" applyBorder="1" applyAlignment="1">
      <alignment horizontal="center" vertical="center" wrapText="1"/>
    </xf>
    <xf numFmtId="0" fontId="11" fillId="5" borderId="2" xfId="2" applyNumberFormat="1" applyFont="1" applyFill="1" applyBorder="1" applyAlignment="1" applyProtection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12" fillId="0" borderId="2" xfId="4" applyNumberFormat="1" applyFont="1" applyFill="1" applyBorder="1" applyAlignment="1">
      <alignment horizontal="left" vertical="center"/>
    </xf>
    <xf numFmtId="43" fontId="12" fillId="2" borderId="2" xfId="1" applyFont="1" applyFill="1" applyBorder="1" applyAlignment="1">
      <alignment horizontal="center" vertical="center"/>
    </xf>
    <xf numFmtId="0" fontId="13" fillId="4" borderId="2" xfId="2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0" fillId="2" borderId="2" xfId="1" applyFont="1" applyFill="1" applyBorder="1" applyAlignment="1">
      <alignment horizontal="center" vertical="center"/>
    </xf>
    <xf numFmtId="0" fontId="14" fillId="4" borderId="2" xfId="2" applyNumberFormat="1" applyFont="1" applyFill="1" applyBorder="1" applyAlignment="1" applyProtection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180" fontId="12" fillId="0" borderId="3" xfId="4" applyNumberFormat="1" applyFont="1" applyFill="1" applyBorder="1" applyAlignment="1">
      <alignment horizontal="center" vertical="center"/>
    </xf>
    <xf numFmtId="180" fontId="12" fillId="0" borderId="3" xfId="4" applyNumberFormat="1" applyFont="1" applyFill="1" applyBorder="1" applyAlignment="1">
      <alignment horizontal="left" vertical="center" wrapText="1"/>
    </xf>
    <xf numFmtId="0" fontId="13" fillId="4" borderId="2" xfId="2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readingOrder="1"/>
    </xf>
    <xf numFmtId="43" fontId="5" fillId="0" borderId="2" xfId="0" applyNumberFormat="1" applyFont="1" applyBorder="1">
      <alignment vertical="center"/>
    </xf>
    <xf numFmtId="43" fontId="5" fillId="0" borderId="2" xfId="1" applyNumberFormat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2" xfId="0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 wrapText="1"/>
    </xf>
    <xf numFmtId="0" fontId="17" fillId="0" borderId="2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0" fontId="19" fillId="0" borderId="2" xfId="0" applyFont="1" applyFill="1" applyBorder="1">
      <alignment vertical="center"/>
    </xf>
    <xf numFmtId="9" fontId="17" fillId="0" borderId="2" xfId="3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43" fontId="15" fillId="0" borderId="2" xfId="1" applyFont="1" applyFill="1" applyBorder="1">
      <alignment vertical="center"/>
    </xf>
    <xf numFmtId="43" fontId="17" fillId="0" borderId="2" xfId="1" applyFont="1" applyFill="1" applyBorder="1">
      <alignment vertical="center"/>
    </xf>
    <xf numFmtId="0" fontId="16" fillId="0" borderId="2" xfId="0" applyFont="1" applyFill="1" applyBorder="1">
      <alignment vertical="center"/>
    </xf>
    <xf numFmtId="9" fontId="17" fillId="0" borderId="2" xfId="3" applyFont="1" applyFill="1" applyBorder="1">
      <alignment vertical="center"/>
    </xf>
    <xf numFmtId="43" fontId="15" fillId="0" borderId="2" xfId="1" applyFont="1" applyFill="1" applyBorder="1" applyAlignment="1">
      <alignment horizontal="center" vertical="center"/>
    </xf>
    <xf numFmtId="43" fontId="17" fillId="0" borderId="2" xfId="0" applyNumberFormat="1" applyFont="1" applyFill="1" applyBorder="1">
      <alignment vertical="center"/>
    </xf>
    <xf numFmtId="43" fontId="16" fillId="0" borderId="2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8" fontId="17" fillId="0" borderId="0" xfId="0" applyNumberFormat="1" applyFont="1" applyFill="1">
      <alignment vertical="center"/>
    </xf>
    <xf numFmtId="1" fontId="12" fillId="4" borderId="0" xfId="2" applyNumberFormat="1" applyFont="1" applyFill="1" applyProtection="1"/>
    <xf numFmtId="0" fontId="12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2" fillId="4" borderId="0" xfId="2" applyFont="1" applyFill="1" applyAlignment="1">
      <alignment horizontal="centerContinuous"/>
    </xf>
    <xf numFmtId="0" fontId="12" fillId="4" borderId="0" xfId="2" applyFont="1" applyFill="1" applyAlignment="1" applyProtection="1">
      <alignment horizontal="centerContinuous"/>
    </xf>
    <xf numFmtId="9" fontId="12" fillId="4" borderId="0" xfId="2" applyNumberFormat="1" applyFont="1" applyFill="1" applyProtection="1"/>
    <xf numFmtId="0" fontId="12" fillId="4" borderId="6" xfId="2" applyFont="1" applyFill="1" applyBorder="1" applyAlignment="1" applyProtection="1">
      <alignment horizontal="center"/>
    </xf>
    <xf numFmtId="0" fontId="14" fillId="4" borderId="2" xfId="2" applyFont="1" applyFill="1" applyBorder="1" applyAlignment="1" applyProtection="1">
      <alignment horizontal="center"/>
    </xf>
    <xf numFmtId="0" fontId="14" fillId="4" borderId="4" xfId="2" applyFont="1" applyFill="1" applyBorder="1" applyAlignment="1" applyProtection="1">
      <alignment horizontal="center"/>
    </xf>
    <xf numFmtId="1" fontId="14" fillId="4" borderId="4" xfId="7" applyFont="1" applyFill="1" applyBorder="1"/>
    <xf numFmtId="1" fontId="12" fillId="4" borderId="4" xfId="7" applyFont="1" applyFill="1" applyBorder="1"/>
    <xf numFmtId="0" fontId="12" fillId="4" borderId="7" xfId="2" applyFont="1" applyFill="1" applyBorder="1" applyProtection="1"/>
    <xf numFmtId="0" fontId="12" fillId="4" borderId="2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left"/>
    </xf>
    <xf numFmtId="0" fontId="12" fillId="6" borderId="2" xfId="2" applyFont="1" applyFill="1" applyBorder="1" applyProtection="1"/>
    <xf numFmtId="179" fontId="12" fillId="6" borderId="2" xfId="1" applyNumberFormat="1" applyFont="1" applyFill="1" applyBorder="1" applyAlignment="1" applyProtection="1"/>
    <xf numFmtId="0" fontId="12" fillId="4" borderId="2" xfId="2" applyFont="1" applyFill="1" applyBorder="1" applyProtection="1"/>
    <xf numFmtId="179" fontId="12" fillId="4" borderId="2" xfId="1" applyNumberFormat="1" applyFont="1" applyFill="1" applyBorder="1" applyAlignment="1" applyProtection="1"/>
    <xf numFmtId="0" fontId="12" fillId="4" borderId="2" xfId="2" applyNumberFormat="1" applyFont="1" applyFill="1" applyBorder="1" applyAlignment="1" applyProtection="1">
      <alignment horizontal="left"/>
    </xf>
    <xf numFmtId="1" fontId="12" fillId="4" borderId="2" xfId="2" applyNumberFormat="1" applyFont="1" applyFill="1" applyBorder="1" applyProtection="1"/>
    <xf numFmtId="1" fontId="12" fillId="4" borderId="2" xfId="2" applyNumberFormat="1" applyFont="1" applyFill="1" applyBorder="1" applyAlignment="1" applyProtection="1">
      <alignment horizontal="left"/>
    </xf>
    <xf numFmtId="0" fontId="12" fillId="4" borderId="9" xfId="2" applyFont="1" applyFill="1" applyBorder="1" applyProtection="1"/>
    <xf numFmtId="0" fontId="12" fillId="4" borderId="10" xfId="2" applyFont="1" applyFill="1" applyBorder="1" applyProtection="1"/>
    <xf numFmtId="0" fontId="12" fillId="4" borderId="11" xfId="2" applyFont="1" applyFill="1" applyBorder="1" applyProtection="1"/>
    <xf numFmtId="0" fontId="12" fillId="4" borderId="0" xfId="2" applyFont="1" applyFill="1" applyBorder="1" applyProtection="1"/>
    <xf numFmtId="181" fontId="12" fillId="4" borderId="0" xfId="2" applyNumberFormat="1" applyFont="1" applyFill="1" applyBorder="1" applyProtection="1"/>
    <xf numFmtId="10" fontId="12" fillId="4" borderId="0" xfId="2" applyNumberFormat="1" applyFont="1" applyFill="1" applyBorder="1" applyProtection="1"/>
    <xf numFmtId="1" fontId="12" fillId="4" borderId="0" xfId="2" applyNumberFormat="1" applyFont="1" applyFill="1" applyBorder="1" applyProtection="1"/>
    <xf numFmtId="0" fontId="12" fillId="4" borderId="12" xfId="2" applyFont="1" applyFill="1" applyBorder="1" applyProtection="1"/>
    <xf numFmtId="0" fontId="12" fillId="4" borderId="1" xfId="2" applyFont="1" applyFill="1" applyBorder="1" applyProtection="1"/>
    <xf numFmtId="2" fontId="12" fillId="4" borderId="1" xfId="2" applyNumberFormat="1" applyFont="1" applyFill="1" applyBorder="1" applyProtection="1"/>
    <xf numFmtId="0" fontId="12" fillId="4" borderId="5" xfId="2" applyFont="1" applyFill="1" applyBorder="1"/>
    <xf numFmtId="1" fontId="12" fillId="4" borderId="7" xfId="7" applyFont="1" applyFill="1" applyBorder="1" applyAlignment="1">
      <alignment horizontal="center"/>
    </xf>
    <xf numFmtId="0" fontId="12" fillId="4" borderId="13" xfId="2" applyFont="1" applyFill="1" applyBorder="1" applyProtection="1"/>
    <xf numFmtId="0" fontId="12" fillId="4" borderId="14" xfId="2" applyFont="1" applyFill="1" applyBorder="1" applyProtection="1"/>
    <xf numFmtId="0" fontId="12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2" xfId="1" applyFont="1" applyFill="1" applyBorder="1" applyAlignment="1">
      <alignment horizontal="center" vertical="center" wrapText="1"/>
    </xf>
    <xf numFmtId="179" fontId="17" fillId="0" borderId="2" xfId="1" applyNumberFormat="1" applyFont="1" applyFill="1" applyBorder="1" applyAlignment="1">
      <alignment horizontal="center" vertical="center"/>
    </xf>
    <xf numFmtId="179" fontId="16" fillId="0" borderId="2" xfId="1" applyNumberFormat="1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19" fillId="6" borderId="2" xfId="0" applyFont="1" applyFill="1" applyBorder="1">
      <alignment vertical="center"/>
    </xf>
    <xf numFmtId="179" fontId="16" fillId="6" borderId="2" xfId="1" applyNumberFormat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0" fontId="17" fillId="0" borderId="2" xfId="0" applyFont="1" applyBorder="1">
      <alignment vertical="center"/>
    </xf>
    <xf numFmtId="10" fontId="16" fillId="0" borderId="2" xfId="3" applyNumberFormat="1" applyFont="1" applyBorder="1" applyAlignment="1">
      <alignment vertical="center"/>
    </xf>
    <xf numFmtId="179" fontId="16" fillId="0" borderId="2" xfId="1" applyNumberFormat="1" applyFont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24" fillId="6" borderId="2" xfId="0" applyFont="1" applyFill="1" applyBorder="1">
      <alignment vertical="center"/>
    </xf>
    <xf numFmtId="179" fontId="17" fillId="0" borderId="2" xfId="1" applyNumberFormat="1" applyFont="1" applyBorder="1" applyAlignment="1">
      <alignment horizontal="center" vertical="center"/>
    </xf>
    <xf numFmtId="10" fontId="17" fillId="0" borderId="2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10" fontId="17" fillId="0" borderId="2" xfId="3" applyNumberFormat="1" applyFont="1" applyFill="1" applyBorder="1" applyAlignment="1">
      <alignment horizontal="center" vertical="center"/>
    </xf>
    <xf numFmtId="10" fontId="17" fillId="0" borderId="2" xfId="3" applyNumberFormat="1" applyFont="1" applyFill="1" applyBorder="1">
      <alignment vertical="center"/>
    </xf>
    <xf numFmtId="0" fontId="1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3" fontId="17" fillId="0" borderId="2" xfId="1" applyFont="1" applyBorder="1">
      <alignment vertical="center"/>
    </xf>
    <xf numFmtId="179" fontId="17" fillId="0" borderId="2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2" xfId="0" applyFont="1" applyBorder="1">
      <alignment vertical="center"/>
    </xf>
    <xf numFmtId="0" fontId="24" fillId="0" borderId="2" xfId="0" applyFont="1" applyBorder="1">
      <alignment vertical="center"/>
    </xf>
    <xf numFmtId="0" fontId="17" fillId="0" borderId="6" xfId="0" applyFont="1" applyBorder="1">
      <alignment vertical="center"/>
    </xf>
    <xf numFmtId="0" fontId="25" fillId="7" borderId="2" xfId="0" applyFont="1" applyFill="1" applyBorder="1" applyAlignment="1">
      <alignment vertical="center" wrapText="1" readingOrder="1"/>
    </xf>
    <xf numFmtId="0" fontId="25" fillId="7" borderId="2" xfId="0" applyFont="1" applyFill="1" applyBorder="1" applyAlignment="1">
      <alignment horizontal="center" vertical="center" wrapText="1" readingOrder="1"/>
    </xf>
    <xf numFmtId="0" fontId="26" fillId="7" borderId="2" xfId="0" applyFont="1" applyFill="1" applyBorder="1" applyAlignment="1">
      <alignment vertical="top" wrapText="1"/>
    </xf>
    <xf numFmtId="0" fontId="25" fillId="7" borderId="2" xfId="0" applyFont="1" applyFill="1" applyBorder="1" applyAlignment="1">
      <alignment horizontal="left" vertical="center" wrapText="1" readingOrder="1"/>
    </xf>
    <xf numFmtId="0" fontId="27" fillId="0" borderId="0" xfId="0" applyFont="1">
      <alignment vertical="center"/>
    </xf>
    <xf numFmtId="0" fontId="28" fillId="0" borderId="2" xfId="0" applyFont="1" applyBorder="1" applyAlignment="1">
      <alignment horizontal="center" vertical="center" wrapText="1" readingOrder="1"/>
    </xf>
    <xf numFmtId="0" fontId="27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 readingOrder="1"/>
    </xf>
    <xf numFmtId="0" fontId="29" fillId="0" borderId="2" xfId="0" applyFont="1" applyBorder="1" applyAlignment="1">
      <alignment horizontal="left" vertical="center" wrapText="1" readingOrder="1"/>
    </xf>
    <xf numFmtId="0" fontId="29" fillId="0" borderId="2" xfId="0" applyFont="1" applyFill="1" applyBorder="1" applyAlignment="1">
      <alignment horizontal="left" vertical="center" wrapText="1" readingOrder="1"/>
    </xf>
    <xf numFmtId="0" fontId="29" fillId="0" borderId="2" xfId="0" applyFont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17" fillId="0" borderId="2" xfId="0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/>
    </xf>
    <xf numFmtId="43" fontId="17" fillId="2" borderId="2" xfId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 wrapText="1"/>
    </xf>
    <xf numFmtId="43" fontId="18" fillId="0" borderId="8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9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6</xdr:col>
      <xdr:colOff>980081</xdr:colOff>
      <xdr:row>43</xdr:row>
      <xdr:rowOff>123471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34100"/>
          <a:ext cx="7952381" cy="2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7" customFormat="1" ht="35.25" customHeight="1">
      <c r="A2" s="168" t="s">
        <v>0</v>
      </c>
      <c r="B2" s="168" t="s">
        <v>1</v>
      </c>
      <c r="C2" s="168" t="s">
        <v>2</v>
      </c>
      <c r="D2" s="169"/>
    </row>
    <row r="3" spans="1:4" s="167" customFormat="1" ht="33.75" customHeight="1">
      <c r="A3" s="170">
        <v>1</v>
      </c>
      <c r="B3" s="170" t="s">
        <v>3</v>
      </c>
      <c r="C3" s="171" t="s">
        <v>4</v>
      </c>
      <c r="D3" s="169"/>
    </row>
    <row r="4" spans="1:4" s="167" customFormat="1" ht="33.75" customHeight="1">
      <c r="A4" s="170">
        <v>2</v>
      </c>
      <c r="B4" s="170" t="s">
        <v>5</v>
      </c>
      <c r="C4" s="171" t="s">
        <v>279</v>
      </c>
    </row>
    <row r="5" spans="1:4" s="167" customFormat="1" ht="33.75" customHeight="1">
      <c r="A5" s="170">
        <v>3</v>
      </c>
      <c r="B5" s="175" t="s">
        <v>6</v>
      </c>
      <c r="C5" s="172" t="s">
        <v>280</v>
      </c>
    </row>
    <row r="6" spans="1:4" s="167" customFormat="1" ht="33.75" customHeight="1">
      <c r="A6" s="170">
        <v>4</v>
      </c>
      <c r="B6" s="176"/>
      <c r="C6" s="171" t="s">
        <v>7</v>
      </c>
    </row>
    <row r="7" spans="1:4" s="167" customFormat="1" ht="33.75" customHeight="1">
      <c r="A7" s="170">
        <v>5</v>
      </c>
      <c r="B7" s="173" t="s">
        <v>8</v>
      </c>
      <c r="C7" s="171" t="s">
        <v>281</v>
      </c>
    </row>
    <row r="8" spans="1:4" s="167" customFormat="1" ht="33.75" customHeight="1">
      <c r="A8" s="170">
        <v>6</v>
      </c>
      <c r="B8" s="175" t="s">
        <v>9</v>
      </c>
      <c r="C8" s="171" t="s">
        <v>10</v>
      </c>
    </row>
    <row r="9" spans="1:4" s="167" customFormat="1" ht="33.75" customHeight="1">
      <c r="A9" s="170">
        <v>7</v>
      </c>
      <c r="B9" s="176"/>
      <c r="C9" s="171" t="s">
        <v>282</v>
      </c>
    </row>
    <row r="10" spans="1:4" s="167" customFormat="1" ht="33.75" customHeight="1">
      <c r="A10" s="170">
        <v>8</v>
      </c>
      <c r="B10" s="176"/>
      <c r="C10" s="172" t="s">
        <v>283</v>
      </c>
    </row>
    <row r="11" spans="1:4" s="167" customFormat="1" ht="33.75" customHeight="1">
      <c r="A11" s="170">
        <v>9</v>
      </c>
      <c r="B11" s="176"/>
      <c r="C11" s="171" t="s">
        <v>11</v>
      </c>
    </row>
    <row r="12" spans="1:4" s="167" customFormat="1" ht="33.75" customHeight="1">
      <c r="A12" s="170">
        <v>10</v>
      </c>
      <c r="B12" s="173" t="s">
        <v>12</v>
      </c>
      <c r="C12" s="171" t="s">
        <v>13</v>
      </c>
    </row>
    <row r="13" spans="1:4" ht="33.75" customHeight="1"/>
    <row r="14" spans="1:4" ht="33.75" customHeight="1"/>
    <row r="15" spans="1:4" ht="33.75" customHeight="1">
      <c r="C15" s="174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10" sqref="F10"/>
    </sheetView>
  </sheetViews>
  <sheetFormatPr defaultColWidth="9" defaultRowHeight="16.5"/>
  <cols>
    <col min="1" max="1" width="14" style="21" customWidth="1"/>
    <col min="2" max="2" width="14.125" style="21" customWidth="1"/>
    <col min="3" max="7" width="11.125" style="21" customWidth="1"/>
    <col min="8" max="8" width="12.125" style="21" customWidth="1"/>
    <col min="9" max="9" width="11.625" style="21" customWidth="1"/>
    <col min="10" max="10" width="9.25" style="21" customWidth="1"/>
    <col min="11" max="11" width="9.125" style="21" customWidth="1"/>
    <col min="12" max="16384" width="9" style="21"/>
  </cols>
  <sheetData>
    <row r="1" spans="1:12" ht="29.25" customHeight="1">
      <c r="A1" s="33" t="s">
        <v>215</v>
      </c>
      <c r="E1" s="34"/>
      <c r="F1" s="34"/>
      <c r="G1" s="34"/>
      <c r="H1" s="34"/>
      <c r="I1" s="34"/>
    </row>
    <row r="2" spans="1:12" ht="24" customHeight="1">
      <c r="A2" s="35" t="s">
        <v>216</v>
      </c>
      <c r="E2" s="34"/>
      <c r="F2" s="34"/>
      <c r="G2" s="34"/>
      <c r="H2" s="34"/>
      <c r="I2" s="34"/>
    </row>
    <row r="3" spans="1:12">
      <c r="C3" s="21" t="s">
        <v>217</v>
      </c>
      <c r="D3" s="36" t="s">
        <v>218</v>
      </c>
      <c r="E3" s="37">
        <v>0</v>
      </c>
    </row>
    <row r="5" spans="1:12" ht="45" customHeight="1">
      <c r="A5" s="204" t="s">
        <v>219</v>
      </c>
      <c r="B5" s="23" t="s">
        <v>158</v>
      </c>
      <c r="C5" s="24" t="s">
        <v>159</v>
      </c>
      <c r="D5" s="24"/>
      <c r="E5" s="24"/>
      <c r="F5" s="24"/>
      <c r="G5" s="24"/>
      <c r="H5" s="39"/>
      <c r="I5" s="203" t="s">
        <v>20</v>
      </c>
    </row>
    <row r="6" spans="1:12" ht="31.5" customHeight="1">
      <c r="A6" s="204"/>
      <c r="B6" s="23" t="s">
        <v>160</v>
      </c>
      <c r="C6" s="27" t="s">
        <v>161</v>
      </c>
      <c r="D6" s="27"/>
      <c r="E6" s="27"/>
      <c r="F6" s="27"/>
      <c r="G6" s="27"/>
      <c r="H6" s="39"/>
      <c r="I6" s="203"/>
      <c r="K6" s="21">
        <v>100</v>
      </c>
    </row>
    <row r="7" spans="1:12" ht="16.5" customHeight="1">
      <c r="A7" s="204"/>
      <c r="B7" s="40" t="s">
        <v>220</v>
      </c>
      <c r="C7" s="27" t="s">
        <v>221</v>
      </c>
      <c r="D7" s="27"/>
      <c r="E7" s="27"/>
      <c r="F7" s="27"/>
      <c r="G7" s="27"/>
      <c r="H7" s="39"/>
      <c r="I7" s="203"/>
      <c r="J7" s="21" t="s">
        <v>277</v>
      </c>
      <c r="K7" s="21">
        <f>K6*(1-$E$3)</f>
        <v>100</v>
      </c>
      <c r="L7" s="21">
        <f>K7/$K$6</f>
        <v>1</v>
      </c>
    </row>
    <row r="8" spans="1:12" ht="33">
      <c r="A8" s="204"/>
      <c r="B8" s="40" t="s">
        <v>222</v>
      </c>
      <c r="C8" s="27">
        <v>1176</v>
      </c>
      <c r="D8" s="27"/>
      <c r="E8" s="27"/>
      <c r="F8" s="27"/>
      <c r="G8" s="27"/>
      <c r="H8" s="41"/>
      <c r="I8" s="203"/>
      <c r="J8" s="21">
        <f>1094+90</f>
        <v>1184</v>
      </c>
      <c r="K8" s="21">
        <f t="shared" ref="K8:K10" si="0">K7*(1-$E$3)</f>
        <v>100</v>
      </c>
      <c r="L8" s="21">
        <f t="shared" ref="L8:L10" si="1">K8/$K$6</f>
        <v>1</v>
      </c>
    </row>
    <row r="9" spans="1:12" ht="18.75">
      <c r="A9" s="204" t="s">
        <v>223</v>
      </c>
      <c r="B9" s="42" t="s">
        <v>68</v>
      </c>
      <c r="C9" s="43">
        <v>1260</v>
      </c>
      <c r="D9" s="43"/>
      <c r="E9" s="43"/>
      <c r="F9" s="43"/>
      <c r="G9" s="43"/>
      <c r="H9" s="44"/>
      <c r="I9" s="47">
        <f>SUM(C9:H9)</f>
        <v>1260</v>
      </c>
      <c r="K9" s="21">
        <f t="shared" si="0"/>
        <v>100</v>
      </c>
      <c r="L9" s="21">
        <f t="shared" si="1"/>
        <v>1</v>
      </c>
    </row>
    <row r="10" spans="1:12" ht="18.75">
      <c r="A10" s="204"/>
      <c r="B10" s="38" t="s">
        <v>209</v>
      </c>
      <c r="C10" s="43">
        <v>1200</v>
      </c>
      <c r="D10" s="43"/>
      <c r="E10" s="43"/>
      <c r="F10" s="43"/>
      <c r="G10" s="43"/>
      <c r="H10" s="44"/>
      <c r="I10" s="47">
        <f>SUM(C10:H10)</f>
        <v>1200</v>
      </c>
      <c r="K10" s="21">
        <f t="shared" si="0"/>
        <v>100</v>
      </c>
      <c r="L10" s="21">
        <f t="shared" si="1"/>
        <v>1</v>
      </c>
    </row>
    <row r="11" spans="1:12" ht="18.75">
      <c r="A11" s="204"/>
      <c r="B11" s="38" t="s">
        <v>210</v>
      </c>
      <c r="C11" s="43">
        <v>1200</v>
      </c>
      <c r="D11" s="43"/>
      <c r="E11" s="43"/>
      <c r="F11" s="43"/>
      <c r="G11" s="43"/>
      <c r="H11" s="44"/>
      <c r="I11" s="47">
        <f>SUM(C11:H11)</f>
        <v>1200</v>
      </c>
    </row>
    <row r="12" spans="1:12" ht="18.75">
      <c r="A12" s="204"/>
      <c r="B12" s="38" t="s">
        <v>211</v>
      </c>
      <c r="C12" s="43"/>
      <c r="D12" s="43"/>
      <c r="E12" s="43"/>
      <c r="F12" s="43"/>
      <c r="G12" s="43"/>
      <c r="H12" s="44"/>
      <c r="I12" s="47">
        <f>SUM(C12:H12)</f>
        <v>0</v>
      </c>
    </row>
    <row r="13" spans="1:12" ht="18.75">
      <c r="A13" s="204"/>
      <c r="B13" s="38" t="s">
        <v>212</v>
      </c>
      <c r="C13" s="43"/>
      <c r="D13" s="43"/>
      <c r="E13" s="43"/>
      <c r="F13" s="43"/>
      <c r="G13" s="43"/>
      <c r="H13" s="44"/>
      <c r="I13" s="47">
        <f>SUM(C13:H13)</f>
        <v>0</v>
      </c>
    </row>
    <row r="14" spans="1:12" ht="17.25">
      <c r="A14" s="203" t="s">
        <v>20</v>
      </c>
      <c r="B14" s="203"/>
      <c r="C14" s="45">
        <f t="shared" ref="C14:I14" si="2">SUM(C9:C13)</f>
        <v>3660</v>
      </c>
      <c r="D14" s="45">
        <f t="shared" si="2"/>
        <v>0</v>
      </c>
      <c r="E14" s="45">
        <f t="shared" si="2"/>
        <v>0</v>
      </c>
      <c r="F14" s="45">
        <f t="shared" si="2"/>
        <v>0</v>
      </c>
      <c r="G14" s="45">
        <f t="shared" si="2"/>
        <v>0</v>
      </c>
      <c r="H14" s="45">
        <f t="shared" si="2"/>
        <v>0</v>
      </c>
      <c r="I14" s="45">
        <f t="shared" si="2"/>
        <v>3660</v>
      </c>
    </row>
    <row r="15" spans="1:12">
      <c r="A15" s="46"/>
      <c r="B15" s="46"/>
      <c r="C15" s="46"/>
    </row>
  </sheetData>
  <mergeCells count="4">
    <mergeCell ref="A14:B14"/>
    <mergeCell ref="A5:A8"/>
    <mergeCell ref="A9:A13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pane xSplit="3" ySplit="5" topLeftCell="D18" activePane="bottomRight" state="frozen"/>
      <selection pane="topRight"/>
      <selection pane="bottomLeft"/>
      <selection pane="bottomRight" activeCell="F25" sqref="F25"/>
    </sheetView>
  </sheetViews>
  <sheetFormatPr defaultColWidth="9" defaultRowHeight="16.5"/>
  <cols>
    <col min="1" max="1" width="8.375" style="21" customWidth="1"/>
    <col min="2" max="2" width="8.875" style="21" customWidth="1"/>
    <col min="3" max="3" width="14" style="21" customWidth="1"/>
    <col min="4" max="8" width="14.375" style="21" customWidth="1"/>
    <col min="9" max="9" width="17.375" style="21" customWidth="1"/>
    <col min="10" max="10" width="12.25" style="21" customWidth="1"/>
    <col min="11" max="11" width="13.25" style="21" customWidth="1"/>
    <col min="12" max="12" width="16" style="21" customWidth="1"/>
    <col min="13" max="16384" width="9" style="21"/>
  </cols>
  <sheetData>
    <row r="1" spans="1:12" s="20" customFormat="1" ht="28.5" customHeight="1">
      <c r="A1" s="205" t="s">
        <v>6</v>
      </c>
      <c r="B1" s="205"/>
      <c r="C1" s="22"/>
      <c r="L1" s="31"/>
    </row>
    <row r="2" spans="1:12">
      <c r="A2" s="206" t="s">
        <v>224</v>
      </c>
      <c r="B2" s="206"/>
      <c r="C2" s="207"/>
      <c r="D2" s="207"/>
      <c r="E2" s="208" t="s">
        <v>225</v>
      </c>
      <c r="F2" s="209"/>
      <c r="G2" s="209"/>
      <c r="H2" s="209"/>
      <c r="I2" s="210"/>
    </row>
    <row r="3" spans="1:12">
      <c r="A3" s="219" t="s">
        <v>14</v>
      </c>
      <c r="B3" s="219" t="s">
        <v>226</v>
      </c>
      <c r="C3" s="23" t="s">
        <v>116</v>
      </c>
      <c r="D3" s="211" t="s">
        <v>227</v>
      </c>
      <c r="E3" s="211"/>
      <c r="F3" s="23" t="s">
        <v>228</v>
      </c>
      <c r="G3" s="212"/>
      <c r="H3" s="213"/>
      <c r="I3" s="220" t="s">
        <v>177</v>
      </c>
    </row>
    <row r="4" spans="1:12">
      <c r="A4" s="219"/>
      <c r="B4" s="219"/>
      <c r="C4" s="23" t="s">
        <v>158</v>
      </c>
      <c r="D4" s="24" t="s">
        <v>159</v>
      </c>
      <c r="E4" s="24"/>
      <c r="F4" s="25"/>
      <c r="G4" s="25"/>
      <c r="H4" s="26"/>
      <c r="I4" s="221"/>
    </row>
    <row r="5" spans="1:12" ht="33">
      <c r="A5" s="219"/>
      <c r="B5" s="219"/>
      <c r="C5" s="23" t="s">
        <v>160</v>
      </c>
      <c r="D5" s="27" t="s">
        <v>161</v>
      </c>
      <c r="E5" s="27"/>
      <c r="F5" s="25"/>
      <c r="G5" s="25"/>
      <c r="H5" s="26"/>
      <c r="I5" s="222"/>
    </row>
    <row r="6" spans="1:12">
      <c r="A6" s="28">
        <v>1</v>
      </c>
      <c r="B6" s="214" t="s">
        <v>229</v>
      </c>
      <c r="C6" s="215"/>
      <c r="D6" s="29">
        <f>71.413+198.156+27.844</f>
        <v>297.41300000000001</v>
      </c>
      <c r="E6" s="26"/>
      <c r="F6" s="26"/>
      <c r="G6" s="26"/>
      <c r="H6" s="26"/>
      <c r="I6" s="32"/>
    </row>
    <row r="7" spans="1:12">
      <c r="A7" s="28">
        <v>2</v>
      </c>
      <c r="B7" s="214" t="s">
        <v>230</v>
      </c>
      <c r="C7" s="215"/>
      <c r="D7" s="29"/>
      <c r="E7" s="26"/>
      <c r="F7" s="26"/>
      <c r="G7" s="26"/>
      <c r="H7" s="26"/>
      <c r="I7" s="32"/>
    </row>
    <row r="8" spans="1:12">
      <c r="A8" s="28">
        <v>3</v>
      </c>
      <c r="B8" s="214" t="s">
        <v>231</v>
      </c>
      <c r="C8" s="215"/>
      <c r="D8" s="29">
        <f>44.466+43.201+11.909</f>
        <v>99.576000000000008</v>
      </c>
      <c r="E8" s="29"/>
      <c r="F8" s="29"/>
      <c r="G8" s="29"/>
      <c r="H8" s="29"/>
      <c r="I8" s="32"/>
    </row>
    <row r="9" spans="1:12">
      <c r="A9" s="28">
        <v>4</v>
      </c>
      <c r="B9" s="214" t="s">
        <v>232</v>
      </c>
      <c r="C9" s="215"/>
      <c r="D9" s="29">
        <f>56.306+46.95+21.796</f>
        <v>125.05199999999999</v>
      </c>
      <c r="E9" s="26"/>
      <c r="F9" s="26"/>
      <c r="G9" s="26"/>
      <c r="H9" s="26"/>
      <c r="I9" s="32"/>
    </row>
    <row r="10" spans="1:12">
      <c r="A10" s="28">
        <v>5</v>
      </c>
      <c r="B10" s="214" t="s">
        <v>233</v>
      </c>
      <c r="C10" s="215"/>
      <c r="D10" s="29"/>
      <c r="E10" s="26"/>
      <c r="F10" s="26"/>
      <c r="G10" s="26"/>
      <c r="H10" s="26"/>
      <c r="I10" s="32"/>
    </row>
    <row r="11" spans="1:12">
      <c r="A11" s="28">
        <v>6</v>
      </c>
      <c r="B11" s="214" t="s">
        <v>234</v>
      </c>
      <c r="C11" s="215"/>
      <c r="D11" s="29"/>
      <c r="E11" s="26"/>
      <c r="F11" s="26"/>
      <c r="G11" s="26"/>
      <c r="H11" s="26"/>
      <c r="I11" s="32"/>
    </row>
    <row r="12" spans="1:12">
      <c r="A12" s="28">
        <v>7</v>
      </c>
      <c r="B12" s="214" t="s">
        <v>235</v>
      </c>
      <c r="C12" s="215"/>
      <c r="D12" s="29">
        <v>52.762</v>
      </c>
      <c r="E12" s="26"/>
      <c r="F12" s="26"/>
      <c r="G12" s="26"/>
      <c r="H12" s="26"/>
      <c r="I12" s="32"/>
    </row>
    <row r="13" spans="1:12">
      <c r="A13" s="28">
        <v>8</v>
      </c>
      <c r="B13" s="214" t="s">
        <v>236</v>
      </c>
      <c r="C13" s="215"/>
      <c r="D13" s="29"/>
      <c r="E13" s="26"/>
      <c r="F13" s="26"/>
      <c r="G13" s="26"/>
      <c r="H13" s="26"/>
      <c r="I13" s="32"/>
    </row>
    <row r="14" spans="1:12">
      <c r="A14" s="28">
        <v>9</v>
      </c>
      <c r="B14" s="214" t="s">
        <v>237</v>
      </c>
      <c r="C14" s="215"/>
      <c r="D14" s="29"/>
      <c r="E14" s="26"/>
      <c r="F14" s="26"/>
      <c r="G14" s="26"/>
      <c r="H14" s="26"/>
      <c r="I14" s="32"/>
    </row>
    <row r="15" spans="1:12">
      <c r="A15" s="28">
        <v>10</v>
      </c>
      <c r="B15" s="214" t="s">
        <v>238</v>
      </c>
      <c r="C15" s="215"/>
      <c r="D15" s="29"/>
      <c r="E15" s="26"/>
      <c r="F15" s="26"/>
      <c r="G15" s="26"/>
      <c r="H15" s="26"/>
      <c r="I15" s="32"/>
    </row>
    <row r="16" spans="1:12">
      <c r="A16" s="28">
        <v>11</v>
      </c>
      <c r="B16" s="214" t="s">
        <v>239</v>
      </c>
      <c r="C16" s="215"/>
      <c r="D16" s="29"/>
      <c r="E16" s="26"/>
      <c r="F16" s="26"/>
      <c r="G16" s="26"/>
      <c r="H16" s="26"/>
      <c r="I16" s="32"/>
    </row>
    <row r="17" spans="1:9">
      <c r="A17" s="28">
        <v>12</v>
      </c>
      <c r="B17" s="214" t="s">
        <v>240</v>
      </c>
      <c r="C17" s="215"/>
      <c r="D17" s="29"/>
      <c r="E17" s="26"/>
      <c r="F17" s="26"/>
      <c r="G17" s="26"/>
      <c r="H17" s="26"/>
      <c r="I17" s="32"/>
    </row>
    <row r="18" spans="1:9">
      <c r="A18" s="28">
        <v>13</v>
      </c>
      <c r="B18" s="214" t="s">
        <v>241</v>
      </c>
      <c r="C18" s="215"/>
      <c r="D18" s="29"/>
      <c r="E18" s="26"/>
      <c r="F18" s="26"/>
      <c r="G18" s="26"/>
      <c r="H18" s="26"/>
      <c r="I18" s="32"/>
    </row>
    <row r="19" spans="1:9">
      <c r="A19" s="28">
        <v>14</v>
      </c>
      <c r="B19" s="214" t="s">
        <v>242</v>
      </c>
      <c r="C19" s="215"/>
      <c r="D19" s="29"/>
      <c r="E19" s="26"/>
      <c r="F19" s="26"/>
      <c r="G19" s="26"/>
      <c r="H19" s="26"/>
      <c r="I19" s="32"/>
    </row>
    <row r="20" spans="1:9">
      <c r="A20" s="28">
        <v>15</v>
      </c>
      <c r="B20" s="214" t="s">
        <v>243</v>
      </c>
      <c r="C20" s="215"/>
      <c r="D20" s="29"/>
      <c r="E20" s="26"/>
      <c r="F20" s="26"/>
      <c r="G20" s="26"/>
      <c r="H20" s="26"/>
      <c r="I20" s="32"/>
    </row>
    <row r="21" spans="1:9">
      <c r="A21" s="28">
        <v>16</v>
      </c>
      <c r="B21" s="214" t="s">
        <v>244</v>
      </c>
      <c r="C21" s="215"/>
      <c r="D21" s="29"/>
      <c r="E21" s="26"/>
      <c r="F21" s="26"/>
      <c r="G21" s="26"/>
      <c r="H21" s="26"/>
      <c r="I21" s="32"/>
    </row>
    <row r="22" spans="1:9">
      <c r="A22" s="28">
        <v>17</v>
      </c>
      <c r="B22" s="214"/>
      <c r="C22" s="215"/>
      <c r="D22" s="29"/>
      <c r="E22" s="26"/>
      <c r="F22" s="26"/>
      <c r="G22" s="26"/>
      <c r="H22" s="26"/>
      <c r="I22" s="32"/>
    </row>
    <row r="23" spans="1:9">
      <c r="A23" s="28">
        <v>18</v>
      </c>
      <c r="B23" s="214" t="s">
        <v>142</v>
      </c>
      <c r="C23" s="215"/>
      <c r="D23" s="29">
        <v>54.299000000000099</v>
      </c>
      <c r="E23" s="26"/>
      <c r="F23" s="26"/>
      <c r="G23" s="26"/>
      <c r="H23" s="26"/>
      <c r="I23" s="32"/>
    </row>
    <row r="24" spans="1:9" ht="31.5" customHeight="1">
      <c r="A24" s="216" t="s">
        <v>245</v>
      </c>
      <c r="B24" s="217"/>
      <c r="C24" s="218"/>
      <c r="D24" s="30">
        <f>SUM(D6:D23)</f>
        <v>629.1020000000002</v>
      </c>
      <c r="E24" s="30">
        <f>SUM(E6:E23)</f>
        <v>0</v>
      </c>
      <c r="F24" s="30">
        <f>SUM(F6:F23)</f>
        <v>0</v>
      </c>
      <c r="G24" s="30">
        <f>SUM(G6:G23)</f>
        <v>0</v>
      </c>
      <c r="H24" s="30">
        <f>SUM(H6:H23)</f>
        <v>0</v>
      </c>
      <c r="I24" s="32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style="14"/>
    <col min="2" max="2" width="29.625" style="14" customWidth="1"/>
    <col min="3" max="3" width="25.5" style="14" customWidth="1"/>
    <col min="4" max="4" width="18.625" style="14" customWidth="1"/>
    <col min="5" max="5" width="22" style="14" customWidth="1"/>
    <col min="6" max="16384" width="9" style="14"/>
  </cols>
  <sheetData>
    <row r="1" spans="1:6" ht="27" customHeight="1">
      <c r="A1" s="15" t="s">
        <v>14</v>
      </c>
      <c r="B1" s="15" t="s">
        <v>246</v>
      </c>
      <c r="C1" s="15" t="s">
        <v>247</v>
      </c>
      <c r="D1" s="15" t="s">
        <v>248</v>
      </c>
      <c r="E1" s="15" t="s">
        <v>249</v>
      </c>
    </row>
    <row r="2" spans="1:6" ht="19.5" customHeight="1">
      <c r="A2" s="15">
        <v>1</v>
      </c>
      <c r="B2" s="15" t="s">
        <v>250</v>
      </c>
      <c r="C2" s="16"/>
      <c r="D2" s="15"/>
      <c r="E2" s="15"/>
    </row>
    <row r="3" spans="1:6" ht="19.5" customHeight="1">
      <c r="A3" s="15">
        <v>2</v>
      </c>
      <c r="B3" s="15" t="s">
        <v>251</v>
      </c>
      <c r="C3" s="16"/>
      <c r="D3" s="15"/>
      <c r="E3" s="15"/>
    </row>
    <row r="4" spans="1:6" ht="19.5" customHeight="1">
      <c r="A4" s="15">
        <v>3</v>
      </c>
      <c r="B4" s="15" t="s">
        <v>252</v>
      </c>
      <c r="C4" s="16"/>
      <c r="D4" s="15"/>
      <c r="E4" s="15"/>
    </row>
    <row r="5" spans="1:6" ht="19.5" customHeight="1">
      <c r="A5" s="15">
        <v>4</v>
      </c>
      <c r="B5" s="15" t="s">
        <v>253</v>
      </c>
      <c r="C5" s="16"/>
      <c r="D5" s="15"/>
      <c r="E5" s="15"/>
    </row>
    <row r="6" spans="1:6" ht="35.25" customHeight="1">
      <c r="A6" s="15">
        <v>5</v>
      </c>
      <c r="B6" s="15" t="s">
        <v>254</v>
      </c>
      <c r="C6" s="16"/>
      <c r="D6" s="15"/>
      <c r="E6" s="15"/>
    </row>
    <row r="7" spans="1:6" ht="37.5" customHeight="1">
      <c r="A7" s="15">
        <v>6</v>
      </c>
      <c r="B7" s="15" t="s">
        <v>255</v>
      </c>
      <c r="C7" s="16"/>
      <c r="D7" s="15"/>
      <c r="E7" s="15"/>
    </row>
    <row r="8" spans="1:6" ht="42.75" customHeight="1">
      <c r="A8" s="15">
        <v>7</v>
      </c>
      <c r="B8" s="15" t="s">
        <v>256</v>
      </c>
      <c r="C8" s="16"/>
      <c r="D8" s="15"/>
      <c r="E8" s="15"/>
    </row>
    <row r="9" spans="1:6" ht="39" customHeight="1">
      <c r="A9" s="15">
        <v>8</v>
      </c>
      <c r="B9" s="15" t="s">
        <v>257</v>
      </c>
      <c r="C9" s="17"/>
      <c r="D9" s="15"/>
      <c r="E9" s="15"/>
    </row>
    <row r="10" spans="1:6" ht="36" customHeight="1">
      <c r="A10" s="15">
        <v>9</v>
      </c>
      <c r="B10" s="15" t="s">
        <v>258</v>
      </c>
      <c r="C10" s="16"/>
      <c r="D10" s="15"/>
      <c r="E10" s="15"/>
    </row>
    <row r="11" spans="1:6" ht="35.25" customHeight="1">
      <c r="A11" s="15">
        <v>10</v>
      </c>
      <c r="B11" s="15" t="s">
        <v>259</v>
      </c>
      <c r="C11" s="16"/>
      <c r="D11" s="15"/>
      <c r="E11" s="15"/>
      <c r="F11" s="18" t="s">
        <v>260</v>
      </c>
    </row>
    <row r="12" spans="1:6" ht="19.5" customHeight="1">
      <c r="A12" s="15">
        <v>11</v>
      </c>
      <c r="B12" s="15" t="s">
        <v>261</v>
      </c>
      <c r="C12" s="19"/>
      <c r="D12" s="15"/>
      <c r="E12" s="15"/>
    </row>
    <row r="13" spans="1:6" ht="19.5" customHeight="1">
      <c r="A13" s="15">
        <v>12</v>
      </c>
      <c r="B13" s="15"/>
      <c r="C13" s="15"/>
      <c r="D13" s="15"/>
      <c r="E13" s="15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"/>
  <sheetViews>
    <sheetView workbookViewId="0">
      <selection activeCell="E7" sqref="E7:E11"/>
    </sheetView>
  </sheetViews>
  <sheetFormatPr defaultColWidth="9" defaultRowHeight="13.5"/>
  <cols>
    <col min="1" max="2" width="9" style="2"/>
    <col min="3" max="4" width="15.75" style="2" customWidth="1"/>
    <col min="5" max="7" width="11.125" style="2" customWidth="1"/>
    <col min="8" max="8" width="12.875" style="3" customWidth="1"/>
    <col min="9" max="16384" width="9" style="2"/>
  </cols>
  <sheetData>
    <row r="1" spans="1:8" s="1" customFormat="1" ht="18.75" customHeight="1">
      <c r="F1" s="223" t="s">
        <v>262</v>
      </c>
      <c r="G1" s="223"/>
      <c r="H1" s="12"/>
    </row>
    <row r="2" spans="1:8" ht="39" customHeight="1">
      <c r="A2" s="230" t="s">
        <v>263</v>
      </c>
      <c r="B2" s="230"/>
      <c r="C2" s="224" t="s">
        <v>276</v>
      </c>
      <c r="D2" s="225"/>
      <c r="E2" s="225"/>
      <c r="F2" s="225"/>
      <c r="G2" s="226"/>
      <c r="H2" s="3" t="s">
        <v>264</v>
      </c>
    </row>
    <row r="3" spans="1:8" ht="34.5" customHeight="1">
      <c r="A3" s="230"/>
      <c r="B3" s="230"/>
      <c r="C3" s="4" t="s">
        <v>266</v>
      </c>
      <c r="D3" s="4" t="s">
        <v>265</v>
      </c>
      <c r="E3" s="5" t="s">
        <v>267</v>
      </c>
      <c r="F3" s="5" t="s">
        <v>268</v>
      </c>
      <c r="G3" s="5" t="s">
        <v>269</v>
      </c>
      <c r="H3" s="13">
        <v>1367.2</v>
      </c>
    </row>
    <row r="4" spans="1:8" ht="24" customHeight="1">
      <c r="A4" s="227" t="s">
        <v>270</v>
      </c>
      <c r="B4" s="227"/>
      <c r="C4" s="7"/>
      <c r="D4" s="8">
        <f>$H$3*E4</f>
        <v>58.926320000000004</v>
      </c>
      <c r="E4" s="11">
        <v>4.3099999999999999E-2</v>
      </c>
      <c r="F4" s="8"/>
      <c r="G4" s="9">
        <v>4.48E-2</v>
      </c>
    </row>
    <row r="5" spans="1:8" ht="24" customHeight="1">
      <c r="A5" s="227" t="s">
        <v>271</v>
      </c>
      <c r="B5" s="6" t="s">
        <v>272</v>
      </c>
      <c r="C5" s="7"/>
      <c r="D5" s="8">
        <f>$H$3*E5</f>
        <v>56.055200000000006</v>
      </c>
      <c r="E5" s="11">
        <v>4.1000000000000002E-2</v>
      </c>
      <c r="F5" s="8"/>
      <c r="G5" s="9">
        <v>4.0399999999999998E-2</v>
      </c>
    </row>
    <row r="6" spans="1:8" ht="24" customHeight="1">
      <c r="A6" s="227"/>
      <c r="B6" s="6" t="s">
        <v>273</v>
      </c>
      <c r="C6" s="7"/>
      <c r="D6" s="8">
        <f>$H$3*E6</f>
        <v>29.668240000000001</v>
      </c>
      <c r="E6" s="11">
        <v>2.1700000000000001E-2</v>
      </c>
      <c r="F6" s="8"/>
      <c r="G6" s="9">
        <v>1.66E-2</v>
      </c>
    </row>
    <row r="7" spans="1:8" ht="24" customHeight="1">
      <c r="A7" s="224" t="s">
        <v>274</v>
      </c>
      <c r="B7" s="226"/>
      <c r="C7" s="10"/>
      <c r="D7" s="8">
        <f>$H$3*E7</f>
        <v>144.64976000000001</v>
      </c>
      <c r="E7" s="11">
        <f>SUM(E4:E6)</f>
        <v>0.10580000000000001</v>
      </c>
      <c r="F7" s="8"/>
      <c r="G7" s="11">
        <f>SUM(G4:G6)</f>
        <v>0.1018</v>
      </c>
    </row>
    <row r="8" spans="1:8" ht="24" customHeight="1">
      <c r="A8" s="227" t="s">
        <v>50</v>
      </c>
      <c r="B8" s="227"/>
      <c r="C8" s="7"/>
      <c r="D8" s="8">
        <f>$H$3*E8</f>
        <v>46.484800000000007</v>
      </c>
      <c r="E8" s="11">
        <v>3.4000000000000002E-2</v>
      </c>
      <c r="F8" s="8"/>
      <c r="G8" s="9">
        <f>1.97%+0.75%</f>
        <v>2.7199999999999998E-2</v>
      </c>
    </row>
    <row r="9" spans="1:8" ht="24" customHeight="1">
      <c r="A9" s="228" t="s">
        <v>275</v>
      </c>
      <c r="B9" s="6" t="s">
        <v>272</v>
      </c>
      <c r="C9" s="7"/>
      <c r="D9" s="8">
        <f>$H$3*E9</f>
        <v>9.5704000000000011</v>
      </c>
      <c r="E9" s="11">
        <v>7.0000000000000001E-3</v>
      </c>
      <c r="F9" s="8"/>
      <c r="G9" s="9">
        <v>5.3E-3</v>
      </c>
    </row>
    <row r="10" spans="1:8" ht="24" customHeight="1">
      <c r="A10" s="229"/>
      <c r="B10" s="6" t="s">
        <v>273</v>
      </c>
      <c r="C10" s="7"/>
      <c r="D10" s="8">
        <f>$H$3*E10</f>
        <v>60.156799999999997</v>
      </c>
      <c r="E10" s="11">
        <f>2.8%+1.6%</f>
        <v>4.3999999999999997E-2</v>
      </c>
      <c r="F10" s="8"/>
      <c r="G10" s="9">
        <v>3.4099999999999998E-2</v>
      </c>
    </row>
    <row r="11" spans="1:8" ht="24" customHeight="1">
      <c r="A11" s="227" t="s">
        <v>53</v>
      </c>
      <c r="B11" s="227"/>
      <c r="C11" s="7"/>
      <c r="D11" s="8">
        <f>$H$3*E11</f>
        <v>29.121359999999999</v>
      </c>
      <c r="E11" s="11">
        <v>2.1299999999999999E-2</v>
      </c>
      <c r="F11" s="8"/>
      <c r="G11" s="9">
        <v>1.0999999999999999E-2</v>
      </c>
    </row>
  </sheetData>
  <mergeCells count="9">
    <mergeCell ref="A11:B11"/>
    <mergeCell ref="A5:A6"/>
    <mergeCell ref="A9:A10"/>
    <mergeCell ref="A2:B3"/>
    <mergeCell ref="C2:G2"/>
    <mergeCell ref="F1:G1"/>
    <mergeCell ref="A4:B4"/>
    <mergeCell ref="A7:B7"/>
    <mergeCell ref="A8:B8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C15" sqref="C15"/>
    </sheetView>
  </sheetViews>
  <sheetFormatPr defaultColWidth="9" defaultRowHeight="16.5"/>
  <cols>
    <col min="1" max="1" width="6.875" style="134" customWidth="1"/>
    <col min="2" max="2" width="35.75" style="134" customWidth="1"/>
    <col min="3" max="3" width="14.5" style="135" customWidth="1"/>
    <col min="4" max="7" width="13" style="135" customWidth="1"/>
    <col min="8" max="8" width="16.5" style="135" customWidth="1"/>
    <col min="9" max="9" width="15.5" style="134" customWidth="1"/>
    <col min="10" max="35" width="9" style="134"/>
    <col min="36" max="36" width="4.375" style="134" customWidth="1"/>
    <col min="37" max="37" width="13.875" style="134" customWidth="1"/>
    <col min="38" max="16384" width="9" style="134"/>
  </cols>
  <sheetData>
    <row r="1" spans="1:38" ht="27" customHeight="1">
      <c r="A1" s="177" t="s">
        <v>278</v>
      </c>
      <c r="B1" s="177"/>
      <c r="C1" s="177"/>
      <c r="D1" s="177"/>
      <c r="E1" s="177"/>
      <c r="F1" s="177"/>
      <c r="G1" s="177"/>
      <c r="H1" s="177"/>
    </row>
    <row r="2" spans="1:38" ht="15.75" customHeight="1">
      <c r="A2" s="178" t="s">
        <v>14</v>
      </c>
      <c r="B2" s="136" t="s">
        <v>1</v>
      </c>
      <c r="C2" s="136" t="s">
        <v>15</v>
      </c>
      <c r="D2" s="136" t="s">
        <v>16</v>
      </c>
      <c r="E2" s="136" t="s">
        <v>17</v>
      </c>
      <c r="F2" s="136" t="s">
        <v>18</v>
      </c>
      <c r="G2" s="136" t="s">
        <v>19</v>
      </c>
      <c r="H2" s="77" t="s">
        <v>20</v>
      </c>
      <c r="AL2" s="134" t="s">
        <v>21</v>
      </c>
    </row>
    <row r="3" spans="1:38" s="73" customFormat="1" ht="15.75" customHeight="1">
      <c r="A3" s="179"/>
      <c r="B3" s="79" t="s">
        <v>3</v>
      </c>
      <c r="C3" s="137">
        <f>'2022年'!H6</f>
        <v>1260</v>
      </c>
      <c r="D3" s="137">
        <f>'2023年'!H6</f>
        <v>1200</v>
      </c>
      <c r="E3" s="137">
        <f>'2024年'!H6</f>
        <v>1200</v>
      </c>
      <c r="F3" s="137">
        <f>'2025年'!H6</f>
        <v>0</v>
      </c>
      <c r="G3" s="137">
        <f>'2026年'!H6</f>
        <v>0</v>
      </c>
      <c r="H3" s="137">
        <f t="shared" ref="H3:H11" si="0">SUM(C3:E3)</f>
        <v>3660</v>
      </c>
      <c r="I3" s="93"/>
      <c r="AJ3" s="78" t="s">
        <v>14</v>
      </c>
      <c r="AK3" s="79" t="s">
        <v>3</v>
      </c>
      <c r="AL3" s="73" t="s">
        <v>22</v>
      </c>
    </row>
    <row r="4" spans="1:38" s="73" customFormat="1" ht="15.75" customHeight="1">
      <c r="A4" s="75">
        <v>1</v>
      </c>
      <c r="B4" s="79" t="s">
        <v>23</v>
      </c>
      <c r="C4" s="137">
        <f>'2022年'!H7</f>
        <v>1481760</v>
      </c>
      <c r="D4" s="137">
        <f>'2023年'!H7</f>
        <v>1411200</v>
      </c>
      <c r="E4" s="137">
        <f>'2024年'!H7</f>
        <v>1411200</v>
      </c>
      <c r="F4" s="137">
        <f>'2025年'!H7</f>
        <v>0</v>
      </c>
      <c r="G4" s="137">
        <f>'2026年'!H7</f>
        <v>0</v>
      </c>
      <c r="H4" s="137">
        <f t="shared" si="0"/>
        <v>4304160</v>
      </c>
      <c r="I4" s="93"/>
      <c r="AJ4" s="78" t="s">
        <v>24</v>
      </c>
      <c r="AK4" s="79" t="s">
        <v>23</v>
      </c>
      <c r="AL4" s="73" t="s">
        <v>22</v>
      </c>
    </row>
    <row r="5" spans="1:38" s="73" customFormat="1" ht="15.75" customHeight="1">
      <c r="A5" s="75">
        <v>2</v>
      </c>
      <c r="B5" s="75" t="s">
        <v>25</v>
      </c>
      <c r="C5" s="137">
        <f>'2022年'!H8</f>
        <v>0</v>
      </c>
      <c r="D5" s="137">
        <f>'2023年'!H8</f>
        <v>0</v>
      </c>
      <c r="E5" s="137">
        <f>'2024年'!H8</f>
        <v>0</v>
      </c>
      <c r="F5" s="137">
        <f>'2025年'!H8</f>
        <v>0</v>
      </c>
      <c r="G5" s="137">
        <f>'2026年'!H8</f>
        <v>0</v>
      </c>
      <c r="H5" s="137">
        <f t="shared" si="0"/>
        <v>0</v>
      </c>
      <c r="I5" s="93"/>
      <c r="AJ5" s="78" t="s">
        <v>26</v>
      </c>
      <c r="AK5" s="75" t="s">
        <v>27</v>
      </c>
      <c r="AL5" s="73" t="s">
        <v>22</v>
      </c>
    </row>
    <row r="6" spans="1:38" s="73" customFormat="1" ht="15.75" customHeight="1">
      <c r="A6" s="75">
        <v>3</v>
      </c>
      <c r="B6" s="79" t="s">
        <v>28</v>
      </c>
      <c r="C6" s="138">
        <f>+C4-C5</f>
        <v>1481760</v>
      </c>
      <c r="D6" s="138">
        <f>'2023年'!H9</f>
        <v>1411200</v>
      </c>
      <c r="E6" s="138">
        <f>'2024年'!H9</f>
        <v>1411200</v>
      </c>
      <c r="F6" s="138">
        <f>'2025年'!H9</f>
        <v>0</v>
      </c>
      <c r="G6" s="138">
        <f>'2026年'!H9</f>
        <v>0</v>
      </c>
      <c r="H6" s="137">
        <f t="shared" si="0"/>
        <v>4304160</v>
      </c>
      <c r="I6" s="93"/>
      <c r="AJ6" s="78" t="s">
        <v>29</v>
      </c>
      <c r="AK6" s="79" t="s">
        <v>28</v>
      </c>
      <c r="AL6" s="73" t="s">
        <v>30</v>
      </c>
    </row>
    <row r="7" spans="1:38" s="73" customFormat="1" ht="15.75" customHeight="1">
      <c r="A7" s="75">
        <v>4</v>
      </c>
      <c r="B7" s="78" t="s">
        <v>31</v>
      </c>
      <c r="C7" s="137">
        <f>'2022年'!H10</f>
        <v>792668.52000000025</v>
      </c>
      <c r="D7" s="137">
        <f>'2023年'!H10</f>
        <v>754922.40000000026</v>
      </c>
      <c r="E7" s="137">
        <f>'2024年'!H10</f>
        <v>754922.40000000026</v>
      </c>
      <c r="F7" s="137">
        <f>'2025年'!H10</f>
        <v>0</v>
      </c>
      <c r="G7" s="137">
        <f>'2026年'!H10</f>
        <v>0</v>
      </c>
      <c r="H7" s="137">
        <f t="shared" si="0"/>
        <v>2302513.3200000008</v>
      </c>
      <c r="I7" s="93"/>
      <c r="AJ7" s="78" t="s">
        <v>32</v>
      </c>
      <c r="AK7" s="78" t="s">
        <v>31</v>
      </c>
      <c r="AL7" s="73" t="s">
        <v>33</v>
      </c>
    </row>
    <row r="8" spans="1:38" s="73" customFormat="1" ht="15.75" customHeight="1">
      <c r="A8" s="75">
        <v>5</v>
      </c>
      <c r="B8" s="78" t="s">
        <v>34</v>
      </c>
      <c r="C8" s="137">
        <f>'2022年'!H11</f>
        <v>74247.16320000001</v>
      </c>
      <c r="D8" s="137">
        <f>'2023年'!H11</f>
        <v>70711.584000000003</v>
      </c>
      <c r="E8" s="137">
        <f>'2024年'!H11</f>
        <v>70711.584000000003</v>
      </c>
      <c r="F8" s="137">
        <f>'2025年'!H11</f>
        <v>0</v>
      </c>
      <c r="G8" s="137">
        <f>'2026年'!H11</f>
        <v>0</v>
      </c>
      <c r="H8" s="137">
        <f t="shared" si="0"/>
        <v>215670.33120000002</v>
      </c>
      <c r="I8" s="93"/>
      <c r="AJ8" s="78" t="s">
        <v>35</v>
      </c>
      <c r="AK8" s="78" t="s">
        <v>34</v>
      </c>
    </row>
    <row r="9" spans="1:38" s="73" customFormat="1" ht="15.75" customHeight="1">
      <c r="A9" s="75">
        <v>6</v>
      </c>
      <c r="B9" s="78" t="s">
        <v>36</v>
      </c>
      <c r="C9" s="137">
        <f>'2022年'!H12</f>
        <v>37381.982400000001</v>
      </c>
      <c r="D9" s="137">
        <f>'2023年'!H12</f>
        <v>35601.887999999999</v>
      </c>
      <c r="E9" s="137">
        <f>'2024年'!H12</f>
        <v>35601.887999999999</v>
      </c>
      <c r="F9" s="137">
        <f>'2025年'!H12</f>
        <v>0</v>
      </c>
      <c r="G9" s="137">
        <f>'2026年'!H12</f>
        <v>0</v>
      </c>
      <c r="H9" s="137">
        <f t="shared" si="0"/>
        <v>108585.75839999999</v>
      </c>
      <c r="I9" s="93"/>
      <c r="AJ9" s="78" t="s">
        <v>37</v>
      </c>
      <c r="AK9" s="78" t="s">
        <v>36</v>
      </c>
    </row>
    <row r="10" spans="1:38" s="73" customFormat="1" ht="15.75" customHeight="1">
      <c r="A10" s="75">
        <v>7</v>
      </c>
      <c r="B10" s="139" t="s">
        <v>38</v>
      </c>
      <c r="C10" s="137">
        <f>'2022年'!H13</f>
        <v>75797.567999999999</v>
      </c>
      <c r="D10" s="137">
        <f>'2023年'!H13</f>
        <v>72188.160000000003</v>
      </c>
      <c r="E10" s="137">
        <f>'2024年'!H13</f>
        <v>72188.160000000003</v>
      </c>
      <c r="F10" s="137">
        <f>'2025年'!H13</f>
        <v>0</v>
      </c>
      <c r="G10" s="137">
        <f>'2026年'!H13</f>
        <v>0</v>
      </c>
      <c r="H10" s="137">
        <f t="shared" si="0"/>
        <v>220173.88800000001</v>
      </c>
      <c r="I10" s="93"/>
      <c r="AJ10" s="78" t="s">
        <v>39</v>
      </c>
      <c r="AK10" s="78" t="s">
        <v>38</v>
      </c>
      <c r="AL10" s="73" t="s">
        <v>22</v>
      </c>
    </row>
    <row r="11" spans="1:38" s="73" customFormat="1" ht="15.75" customHeight="1">
      <c r="A11" s="75">
        <v>8</v>
      </c>
      <c r="B11" s="140" t="s">
        <v>40</v>
      </c>
      <c r="C11" s="141">
        <f>'2022年'!H14</f>
        <v>187426.71360000002</v>
      </c>
      <c r="D11" s="141">
        <f>'2023年'!H14</f>
        <v>178501.63200000001</v>
      </c>
      <c r="E11" s="141">
        <f>'2024年'!H14</f>
        <v>178501.63200000001</v>
      </c>
      <c r="F11" s="141">
        <f>'2025年'!H14</f>
        <v>0</v>
      </c>
      <c r="G11" s="141">
        <f>'2026年'!H14</f>
        <v>0</v>
      </c>
      <c r="H11" s="141">
        <f t="shared" si="0"/>
        <v>544429.97759999998</v>
      </c>
      <c r="I11" s="93"/>
      <c r="AJ11" s="78" t="s">
        <v>41</v>
      </c>
      <c r="AK11" s="81" t="s">
        <v>40</v>
      </c>
    </row>
    <row r="12" spans="1:38" s="73" customFormat="1" ht="15.75" customHeight="1">
      <c r="A12" s="75">
        <v>9</v>
      </c>
      <c r="B12" s="142" t="s">
        <v>42</v>
      </c>
      <c r="C12" s="137">
        <f>'2022年'!H15</f>
        <v>501664.76639999973</v>
      </c>
      <c r="D12" s="137">
        <f>'2023年'!H15</f>
        <v>477775.96799999976</v>
      </c>
      <c r="E12" s="137">
        <f>'2024年'!H15</f>
        <v>477775.96799999976</v>
      </c>
      <c r="F12" s="137">
        <f>'2025年'!H15</f>
        <v>0</v>
      </c>
      <c r="G12" s="137">
        <f>'2026年'!H15</f>
        <v>0</v>
      </c>
      <c r="H12" s="137">
        <f>H6-H7-H11</f>
        <v>1457216.7023999994</v>
      </c>
      <c r="I12" s="93"/>
      <c r="K12" s="134"/>
      <c r="L12" s="134"/>
      <c r="M12" s="134"/>
      <c r="N12" s="134"/>
      <c r="O12" s="134"/>
      <c r="P12" s="134"/>
      <c r="AJ12" s="78" t="s">
        <v>43</v>
      </c>
      <c r="AK12" s="81" t="s">
        <v>42</v>
      </c>
    </row>
    <row r="13" spans="1:38" ht="15.75" customHeight="1">
      <c r="A13" s="75">
        <v>10</v>
      </c>
      <c r="B13" s="143" t="s">
        <v>44</v>
      </c>
      <c r="C13" s="144">
        <f>+C12/C6</f>
        <v>0.33856006802721073</v>
      </c>
      <c r="D13" s="144">
        <f>'2023年'!H16</f>
        <v>0.33856006802721073</v>
      </c>
      <c r="E13" s="144">
        <f>'2024年'!H16</f>
        <v>0.33856006802721073</v>
      </c>
      <c r="F13" s="144" t="e">
        <f>'2025年'!H16</f>
        <v>#DIV/0!</v>
      </c>
      <c r="G13" s="144" t="e">
        <f>'2026年'!H16</f>
        <v>#DIV/0!</v>
      </c>
      <c r="H13" s="144">
        <f>+H12/H6</f>
        <v>0.33856006802721073</v>
      </c>
      <c r="I13" s="93"/>
      <c r="AJ13" s="143" t="s">
        <v>45</v>
      </c>
      <c r="AK13" s="143" t="s">
        <v>44</v>
      </c>
    </row>
    <row r="14" spans="1:38" ht="15.75" customHeight="1">
      <c r="A14" s="75">
        <v>11</v>
      </c>
      <c r="B14" s="143" t="s">
        <v>46</v>
      </c>
      <c r="C14" s="137">
        <f>'2022年'!H17</f>
        <v>72909.552000000011</v>
      </c>
      <c r="D14" s="137">
        <f>'2023年'!H17</f>
        <v>69546.240000000005</v>
      </c>
      <c r="E14" s="137">
        <f>'2024年'!H17</f>
        <v>69546.240000000005</v>
      </c>
      <c r="F14" s="137" t="e">
        <f ca="1">'2025年'!H17</f>
        <v>#DIV/0!</v>
      </c>
      <c r="G14" s="137" t="e">
        <f ca="1">'2026年'!H17</f>
        <v>#DIV/0!</v>
      </c>
      <c r="H14" s="137">
        <f t="shared" ref="H14:H20" si="1">SUM(C14:E14)</f>
        <v>212002.03200000001</v>
      </c>
      <c r="I14" s="93"/>
      <c r="AJ14" s="143" t="s">
        <v>47</v>
      </c>
      <c r="AK14" s="143" t="s">
        <v>46</v>
      </c>
    </row>
    <row r="15" spans="1:38" ht="15.75" customHeight="1">
      <c r="A15" s="75"/>
      <c r="B15" s="143"/>
      <c r="C15" s="137"/>
      <c r="D15" s="137"/>
      <c r="E15" s="137"/>
      <c r="F15" s="137"/>
      <c r="G15" s="137"/>
      <c r="H15" s="137"/>
      <c r="I15" s="93"/>
      <c r="AJ15" s="143"/>
      <c r="AK15" s="143"/>
    </row>
    <row r="16" spans="1:38" ht="15.75" customHeight="1">
      <c r="A16" s="75">
        <v>12</v>
      </c>
      <c r="B16" s="143" t="s">
        <v>48</v>
      </c>
      <c r="C16" s="145">
        <f>'2022年'!H19</f>
        <v>12058.704000000002</v>
      </c>
      <c r="D16" s="145">
        <f>'2023年'!H19</f>
        <v>11484.480000000001</v>
      </c>
      <c r="E16" s="145">
        <f>'2024年'!H19</f>
        <v>11484.480000000001</v>
      </c>
      <c r="F16" s="145">
        <f>'2025年'!H19</f>
        <v>0</v>
      </c>
      <c r="G16" s="145">
        <f>'2026年'!H19</f>
        <v>0</v>
      </c>
      <c r="H16" s="137">
        <f t="shared" si="1"/>
        <v>35027.664000000004</v>
      </c>
      <c r="I16" s="93"/>
      <c r="Q16" s="93"/>
      <c r="AJ16" s="143" t="s">
        <v>49</v>
      </c>
      <c r="AK16" s="143" t="s">
        <v>48</v>
      </c>
      <c r="AL16" s="134" t="s">
        <v>22</v>
      </c>
    </row>
    <row r="17" spans="1:38" ht="15.75" customHeight="1">
      <c r="A17" s="75">
        <v>13</v>
      </c>
      <c r="B17" s="143" t="s">
        <v>50</v>
      </c>
      <c r="C17" s="145">
        <f>'2022年'!H20</f>
        <v>37800</v>
      </c>
      <c r="D17" s="145">
        <f>'2023年'!H20</f>
        <v>36000</v>
      </c>
      <c r="E17" s="145">
        <f>'2024年'!H20</f>
        <v>36000</v>
      </c>
      <c r="F17" s="145">
        <f>'2025年'!H20</f>
        <v>0</v>
      </c>
      <c r="G17" s="145">
        <f>'2026年'!H20</f>
        <v>0</v>
      </c>
      <c r="H17" s="137">
        <f t="shared" si="1"/>
        <v>109800</v>
      </c>
      <c r="I17" s="93"/>
      <c r="AJ17" s="143" t="s">
        <v>51</v>
      </c>
      <c r="AK17" s="143" t="s">
        <v>50</v>
      </c>
    </row>
    <row r="18" spans="1:38" s="72" customFormat="1" ht="15.75" customHeight="1">
      <c r="A18" s="75">
        <v>14</v>
      </c>
      <c r="B18" s="86" t="s">
        <v>52</v>
      </c>
      <c r="C18" s="146">
        <f>'2022年'!H21</f>
        <v>3400</v>
      </c>
      <c r="D18" s="146">
        <f>'2023年'!H21</f>
        <v>3400</v>
      </c>
      <c r="E18" s="146">
        <f>'2024年'!H21</f>
        <v>3400</v>
      </c>
      <c r="F18" s="145">
        <f ca="1">'2025年'!H21</f>
        <v>0</v>
      </c>
      <c r="G18" s="146">
        <f ca="1">'2026年'!H21</f>
        <v>0</v>
      </c>
      <c r="H18" s="137">
        <f t="shared" si="1"/>
        <v>10200</v>
      </c>
      <c r="I18" s="93"/>
      <c r="AJ18" s="86"/>
      <c r="AK18" s="86"/>
    </row>
    <row r="19" spans="1:38" s="73" customFormat="1" ht="15.75" customHeight="1">
      <c r="A19" s="75">
        <v>15</v>
      </c>
      <c r="B19" s="78" t="s">
        <v>53</v>
      </c>
      <c r="C19" s="145">
        <f>'2022年'!H22</f>
        <v>36692.9136</v>
      </c>
      <c r="D19" s="145">
        <f>'2023年'!H22</f>
        <v>34945.631999999998</v>
      </c>
      <c r="E19" s="145">
        <f>'2024年'!H22</f>
        <v>34945.631999999998</v>
      </c>
      <c r="F19" s="145">
        <f>'2025年'!H22</f>
        <v>0</v>
      </c>
      <c r="G19" s="145">
        <f>'2026年'!H22</f>
        <v>0</v>
      </c>
      <c r="H19" s="137">
        <f t="shared" si="1"/>
        <v>106584.1776</v>
      </c>
      <c r="I19" s="93"/>
      <c r="AJ19" s="78" t="s">
        <v>54</v>
      </c>
      <c r="AK19" s="78" t="s">
        <v>53</v>
      </c>
    </row>
    <row r="20" spans="1:38" s="132" customFormat="1" ht="15.75" customHeight="1">
      <c r="A20" s="75">
        <v>16</v>
      </c>
      <c r="B20" s="147" t="s">
        <v>55</v>
      </c>
      <c r="C20" s="141">
        <f t="shared" ref="C20" si="2">+C19+C18+C17+C16+C14</f>
        <v>162861.16960000002</v>
      </c>
      <c r="D20" s="141">
        <f>'2023年'!H23</f>
        <v>155376.35200000001</v>
      </c>
      <c r="E20" s="141">
        <f>'2024年'!H23</f>
        <v>155376.35200000001</v>
      </c>
      <c r="F20" s="141" t="e">
        <f ca="1">'2025年'!H23</f>
        <v>#DIV/0!</v>
      </c>
      <c r="G20" s="141" t="e">
        <f ca="1">'2026年'!H23</f>
        <v>#DIV/0!</v>
      </c>
      <c r="H20" s="141">
        <f t="shared" si="1"/>
        <v>473613.87360000005</v>
      </c>
      <c r="I20" s="93"/>
      <c r="AJ20" s="160" t="s">
        <v>56</v>
      </c>
      <c r="AK20" s="161" t="s">
        <v>55</v>
      </c>
    </row>
    <row r="21" spans="1:38" ht="15.75" customHeight="1">
      <c r="A21" s="75">
        <v>17</v>
      </c>
      <c r="B21" s="143" t="s">
        <v>57</v>
      </c>
      <c r="C21" s="148">
        <f>+C12-C20</f>
        <v>338803.59679999971</v>
      </c>
      <c r="D21" s="148">
        <f>'2023年'!H24</f>
        <v>322399.61599999975</v>
      </c>
      <c r="E21" s="148">
        <f>'2024年'!H24</f>
        <v>322399.61599999975</v>
      </c>
      <c r="F21" s="148" t="e">
        <f ca="1">'2025年'!H24</f>
        <v>#DIV/0!</v>
      </c>
      <c r="G21" s="148" t="e">
        <f ca="1">'2026年'!H24</f>
        <v>#DIV/0!</v>
      </c>
      <c r="H21" s="148">
        <f>+H12-H20</f>
        <v>983602.82879999932</v>
      </c>
      <c r="I21" s="93"/>
      <c r="AJ21" s="143" t="s">
        <v>58</v>
      </c>
      <c r="AK21" s="143" t="s">
        <v>57</v>
      </c>
    </row>
    <row r="22" spans="1:38" ht="15.75" customHeight="1">
      <c r="A22" s="75">
        <v>18</v>
      </c>
      <c r="B22" s="143" t="s">
        <v>59</v>
      </c>
      <c r="C22" s="148">
        <f>IF(C21&lt;0,0,C21*0.25)</f>
        <v>84700.899199999927</v>
      </c>
      <c r="D22" s="148">
        <f>'2023年'!H25</f>
        <v>80599.903999999937</v>
      </c>
      <c r="E22" s="148">
        <f>'2024年'!H25</f>
        <v>80599.903999999937</v>
      </c>
      <c r="F22" s="148" t="e">
        <f ca="1">'2025年'!H25</f>
        <v>#DIV/0!</v>
      </c>
      <c r="G22" s="148" t="e">
        <f ca="1">'2026年'!H25</f>
        <v>#DIV/0!</v>
      </c>
      <c r="H22" s="148">
        <f>IF(H21&lt;0,0,H21*0.25)</f>
        <v>245900.70719999983</v>
      </c>
      <c r="I22" s="93"/>
      <c r="AJ22" s="143" t="s">
        <v>60</v>
      </c>
      <c r="AK22" s="143" t="s">
        <v>59</v>
      </c>
    </row>
    <row r="23" spans="1:38" ht="15.75" customHeight="1">
      <c r="A23" s="75">
        <v>19</v>
      </c>
      <c r="B23" s="143" t="s">
        <v>61</v>
      </c>
      <c r="C23" s="148">
        <f>C21-C22</f>
        <v>254102.69759999978</v>
      </c>
      <c r="D23" s="148">
        <f>'2023年'!H26</f>
        <v>241799.71199999982</v>
      </c>
      <c r="E23" s="148">
        <f>'2024年'!H26</f>
        <v>241799.71199999982</v>
      </c>
      <c r="F23" s="148" t="e">
        <f ca="1">'2025年'!H26</f>
        <v>#DIV/0!</v>
      </c>
      <c r="G23" s="148" t="e">
        <f ca="1">'2026年'!H26</f>
        <v>#DIV/0!</v>
      </c>
      <c r="H23" s="148">
        <f>H21-H22</f>
        <v>737702.12159999949</v>
      </c>
      <c r="I23" s="93"/>
      <c r="AJ23" s="143" t="s">
        <v>62</v>
      </c>
      <c r="AK23" s="143" t="s">
        <v>61</v>
      </c>
    </row>
    <row r="24" spans="1:38" ht="15.75" customHeight="1">
      <c r="A24" s="75">
        <v>20</v>
      </c>
      <c r="B24" s="143" t="s">
        <v>63</v>
      </c>
      <c r="C24" s="149">
        <f>(C23/C4)*100%</f>
        <v>0.17148708130871382</v>
      </c>
      <c r="D24" s="149">
        <f>'2023年'!H27</f>
        <v>0.17134333333333321</v>
      </c>
      <c r="E24" s="149">
        <f>'2024年'!H27</f>
        <v>0.17134333333333321</v>
      </c>
      <c r="F24" s="149" t="e">
        <f ca="1">'2025年'!H27</f>
        <v>#DIV/0!</v>
      </c>
      <c r="G24" s="149" t="e">
        <f ca="1">'2026年'!H27</f>
        <v>#DIV/0!</v>
      </c>
      <c r="H24" s="149">
        <f>(H23/H4)*100%</f>
        <v>0.17139282034125114</v>
      </c>
      <c r="I24" s="93"/>
      <c r="AJ24" s="162" t="s">
        <v>64</v>
      </c>
      <c r="AK24" s="162" t="s">
        <v>65</v>
      </c>
    </row>
    <row r="25" spans="1:38" s="133" customFormat="1" ht="15.75" customHeight="1">
      <c r="C25" s="150"/>
      <c r="D25" s="150"/>
      <c r="E25" s="150"/>
      <c r="F25" s="150"/>
      <c r="G25" s="150"/>
      <c r="H25" s="150"/>
      <c r="I25" s="159"/>
    </row>
    <row r="26" spans="1:38" s="133" customFormat="1" ht="15.75" customHeight="1">
      <c r="A26" s="133" t="s">
        <v>66</v>
      </c>
      <c r="C26" s="151"/>
      <c r="D26" s="151"/>
      <c r="E26" s="151"/>
      <c r="F26" s="151"/>
      <c r="G26" s="151"/>
      <c r="H26" s="151"/>
      <c r="I26" s="159"/>
      <c r="AJ26" s="133" t="s">
        <v>66</v>
      </c>
    </row>
    <row r="27" spans="1:38" ht="15.75" customHeight="1">
      <c r="A27" s="143" t="s">
        <v>14</v>
      </c>
      <c r="B27" s="152" t="s">
        <v>1</v>
      </c>
      <c r="C27" s="136" t="s">
        <v>67</v>
      </c>
      <c r="D27" s="136" t="s">
        <v>68</v>
      </c>
      <c r="E27" s="136" t="s">
        <v>69</v>
      </c>
      <c r="F27" s="136" t="s">
        <v>70</v>
      </c>
      <c r="G27" s="136" t="s">
        <v>71</v>
      </c>
      <c r="H27" s="77" t="s">
        <v>20</v>
      </c>
      <c r="AL27" s="134" t="s">
        <v>21</v>
      </c>
    </row>
    <row r="28" spans="1:38" s="73" customFormat="1" ht="15.75" customHeight="1">
      <c r="A28" s="78" t="s">
        <v>72</v>
      </c>
      <c r="B28" s="81" t="s">
        <v>73</v>
      </c>
      <c r="C28" s="85"/>
      <c r="D28" s="85"/>
      <c r="E28" s="85"/>
      <c r="F28" s="85"/>
      <c r="G28" s="85"/>
      <c r="H28" s="85"/>
      <c r="I28" s="93"/>
      <c r="AJ28" s="78" t="s">
        <v>74</v>
      </c>
      <c r="AK28" s="81" t="s">
        <v>73</v>
      </c>
    </row>
    <row r="29" spans="1:38" s="73" customFormat="1" ht="15.75" customHeight="1">
      <c r="A29" s="78" t="s">
        <v>24</v>
      </c>
      <c r="B29" s="78" t="s">
        <v>75</v>
      </c>
      <c r="C29" s="80">
        <f>+C6/C3</f>
        <v>1176</v>
      </c>
      <c r="D29" s="80">
        <f t="shared" ref="D29:H29" si="3">+D6/D3</f>
        <v>1176</v>
      </c>
      <c r="E29" s="80">
        <f t="shared" si="3"/>
        <v>1176</v>
      </c>
      <c r="F29" s="80" t="e">
        <f t="shared" si="3"/>
        <v>#DIV/0!</v>
      </c>
      <c r="G29" s="80" t="e">
        <f t="shared" si="3"/>
        <v>#DIV/0!</v>
      </c>
      <c r="H29" s="80">
        <f t="shared" si="3"/>
        <v>1176</v>
      </c>
      <c r="I29" s="93"/>
      <c r="AJ29" s="78" t="s">
        <v>24</v>
      </c>
      <c r="AK29" s="78" t="s">
        <v>75</v>
      </c>
    </row>
    <row r="30" spans="1:38" s="73" customFormat="1" ht="15.75" customHeight="1">
      <c r="A30" s="78" t="s">
        <v>26</v>
      </c>
      <c r="B30" s="78" t="s">
        <v>76</v>
      </c>
      <c r="C30" s="80">
        <f>+C7/C3</f>
        <v>629.1020000000002</v>
      </c>
      <c r="D30" s="80">
        <f t="shared" ref="D30:H30" si="4">+D7/D3</f>
        <v>629.1020000000002</v>
      </c>
      <c r="E30" s="80">
        <f t="shared" si="4"/>
        <v>629.1020000000002</v>
      </c>
      <c r="F30" s="80" t="e">
        <f t="shared" si="4"/>
        <v>#DIV/0!</v>
      </c>
      <c r="G30" s="80" t="e">
        <f t="shared" si="4"/>
        <v>#DIV/0!</v>
      </c>
      <c r="H30" s="80">
        <f t="shared" si="4"/>
        <v>629.1020000000002</v>
      </c>
      <c r="I30" s="93"/>
      <c r="AJ30" s="78" t="s">
        <v>26</v>
      </c>
      <c r="AK30" s="78" t="s">
        <v>76</v>
      </c>
    </row>
    <row r="31" spans="1:38" s="73" customFormat="1" ht="15.75" customHeight="1">
      <c r="A31" s="78" t="s">
        <v>77</v>
      </c>
      <c r="B31" s="78" t="s">
        <v>78</v>
      </c>
      <c r="C31" s="85">
        <f t="shared" ref="C31:G31" si="5">C29-C30</f>
        <v>546.8979999999998</v>
      </c>
      <c r="D31" s="85">
        <f t="shared" si="5"/>
        <v>546.8979999999998</v>
      </c>
      <c r="E31" s="85">
        <f t="shared" si="5"/>
        <v>546.8979999999998</v>
      </c>
      <c r="F31" s="85" t="e">
        <f t="shared" si="5"/>
        <v>#DIV/0!</v>
      </c>
      <c r="G31" s="85" t="e">
        <f t="shared" si="5"/>
        <v>#DIV/0!</v>
      </c>
      <c r="H31" s="85">
        <f t="shared" ref="H31" si="6">H29-H30</f>
        <v>546.8979999999998</v>
      </c>
      <c r="I31" s="93"/>
      <c r="AJ31" s="78" t="s">
        <v>77</v>
      </c>
      <c r="AK31" s="78" t="s">
        <v>78</v>
      </c>
    </row>
    <row r="32" spans="1:38" s="73" customFormat="1" ht="15.75" customHeight="1">
      <c r="A32" s="78">
        <v>3.1</v>
      </c>
      <c r="B32" s="78" t="s">
        <v>79</v>
      </c>
      <c r="C32" s="153">
        <f t="shared" ref="C32:G32" si="7">C31/C29</f>
        <v>0.46504931972789099</v>
      </c>
      <c r="D32" s="153">
        <f t="shared" si="7"/>
        <v>0.46504931972789099</v>
      </c>
      <c r="E32" s="153">
        <f t="shared" si="7"/>
        <v>0.46504931972789099</v>
      </c>
      <c r="F32" s="153" t="e">
        <f t="shared" si="7"/>
        <v>#DIV/0!</v>
      </c>
      <c r="G32" s="153" t="e">
        <f t="shared" si="7"/>
        <v>#DIV/0!</v>
      </c>
      <c r="H32" s="153">
        <f t="shared" ref="H32" si="8">H31/H29</f>
        <v>0.46504931972789099</v>
      </c>
      <c r="I32" s="93"/>
      <c r="AJ32" s="78"/>
      <c r="AK32" s="78"/>
    </row>
    <row r="33" spans="1:37" s="73" customFormat="1" ht="15.75" customHeight="1">
      <c r="A33" s="78" t="s">
        <v>74</v>
      </c>
      <c r="B33" s="81" t="s">
        <v>8</v>
      </c>
      <c r="C33" s="85"/>
      <c r="D33" s="85"/>
      <c r="E33" s="85"/>
      <c r="F33" s="85"/>
      <c r="G33" s="85"/>
      <c r="H33" s="85"/>
      <c r="I33" s="93"/>
      <c r="AJ33" s="78" t="s">
        <v>80</v>
      </c>
      <c r="AK33" s="81" t="s">
        <v>8</v>
      </c>
    </row>
    <row r="34" spans="1:37" s="73" customFormat="1" ht="15.75" customHeight="1">
      <c r="A34" s="78" t="s">
        <v>24</v>
      </c>
      <c r="B34" s="86" t="s">
        <v>81</v>
      </c>
      <c r="C34" s="80">
        <f>+C8/C3</f>
        <v>58.926320000000011</v>
      </c>
      <c r="D34" s="80">
        <f t="shared" ref="D34:H34" si="9">+D8/D3</f>
        <v>58.926320000000004</v>
      </c>
      <c r="E34" s="80">
        <f t="shared" si="9"/>
        <v>58.926320000000004</v>
      </c>
      <c r="F34" s="80" t="e">
        <f t="shared" si="9"/>
        <v>#DIV/0!</v>
      </c>
      <c r="G34" s="80" t="e">
        <f t="shared" si="9"/>
        <v>#DIV/0!</v>
      </c>
      <c r="H34" s="80">
        <f t="shared" si="9"/>
        <v>58.926320000000004</v>
      </c>
      <c r="I34" s="93"/>
      <c r="AJ34" s="78" t="s">
        <v>77</v>
      </c>
      <c r="AK34" s="78" t="s">
        <v>81</v>
      </c>
    </row>
    <row r="35" spans="1:37" s="73" customFormat="1" ht="15.75" customHeight="1">
      <c r="A35" s="78" t="s">
        <v>26</v>
      </c>
      <c r="B35" s="86" t="s">
        <v>82</v>
      </c>
      <c r="C35" s="80">
        <f>+C9/C3</f>
        <v>29.668240000000001</v>
      </c>
      <c r="D35" s="80">
        <f t="shared" ref="D35:H35" si="10">+D9/D3</f>
        <v>29.668240000000001</v>
      </c>
      <c r="E35" s="80">
        <f t="shared" si="10"/>
        <v>29.668240000000001</v>
      </c>
      <c r="F35" s="80" t="e">
        <f t="shared" si="10"/>
        <v>#DIV/0!</v>
      </c>
      <c r="G35" s="80" t="e">
        <f t="shared" si="10"/>
        <v>#DIV/0!</v>
      </c>
      <c r="H35" s="80">
        <f t="shared" si="10"/>
        <v>29.668239999999997</v>
      </c>
      <c r="I35" s="93"/>
      <c r="AJ35" s="78" t="s">
        <v>29</v>
      </c>
      <c r="AK35" s="78" t="s">
        <v>82</v>
      </c>
    </row>
    <row r="36" spans="1:37" s="73" customFormat="1" ht="15.75" customHeight="1">
      <c r="A36" s="78" t="s">
        <v>77</v>
      </c>
      <c r="B36" s="86" t="s">
        <v>83</v>
      </c>
      <c r="C36" s="80">
        <f>+C10/C3</f>
        <v>60.156799999999997</v>
      </c>
      <c r="D36" s="80">
        <f t="shared" ref="D36:H36" si="11">+D10/D3</f>
        <v>60.156800000000004</v>
      </c>
      <c r="E36" s="80">
        <f t="shared" si="11"/>
        <v>60.156800000000004</v>
      </c>
      <c r="F36" s="80" t="e">
        <f t="shared" si="11"/>
        <v>#DIV/0!</v>
      </c>
      <c r="G36" s="80" t="e">
        <f t="shared" si="11"/>
        <v>#DIV/0!</v>
      </c>
      <c r="H36" s="80">
        <f t="shared" si="11"/>
        <v>60.156800000000004</v>
      </c>
      <c r="I36" s="93"/>
      <c r="AJ36" s="78" t="s">
        <v>35</v>
      </c>
      <c r="AK36" s="78" t="s">
        <v>83</v>
      </c>
    </row>
    <row r="37" spans="1:37" s="73" customFormat="1" ht="15.75" customHeight="1">
      <c r="A37" s="78" t="s">
        <v>84</v>
      </c>
      <c r="B37" s="142" t="s">
        <v>85</v>
      </c>
      <c r="C37" s="80"/>
      <c r="D37" s="80"/>
      <c r="E37" s="80"/>
      <c r="F37" s="80"/>
      <c r="G37" s="80"/>
      <c r="H37" s="80"/>
      <c r="I37" s="93"/>
      <c r="AJ37" s="78" t="s">
        <v>84</v>
      </c>
      <c r="AK37" s="81" t="s">
        <v>85</v>
      </c>
    </row>
    <row r="38" spans="1:37" s="73" customFormat="1" ht="15.75" customHeight="1">
      <c r="A38" s="78" t="s">
        <v>24</v>
      </c>
      <c r="B38" s="86" t="s">
        <v>86</v>
      </c>
      <c r="C38" s="80">
        <f>+C12/C3</f>
        <v>398.14663999999976</v>
      </c>
      <c r="D38" s="80">
        <f t="shared" ref="D38:H38" si="12">+D12/D3</f>
        <v>398.14663999999982</v>
      </c>
      <c r="E38" s="80">
        <f t="shared" si="12"/>
        <v>398.14663999999982</v>
      </c>
      <c r="F38" s="80" t="e">
        <f t="shared" si="12"/>
        <v>#DIV/0!</v>
      </c>
      <c r="G38" s="80" t="e">
        <f t="shared" si="12"/>
        <v>#DIV/0!</v>
      </c>
      <c r="H38" s="80">
        <f t="shared" si="12"/>
        <v>398.14663999999982</v>
      </c>
      <c r="I38" s="93"/>
      <c r="AJ38" s="78" t="s">
        <v>24</v>
      </c>
      <c r="AK38" s="78" t="s">
        <v>86</v>
      </c>
    </row>
    <row r="39" spans="1:37" s="73" customFormat="1" ht="15.75" customHeight="1">
      <c r="A39" s="78" t="s">
        <v>26</v>
      </c>
      <c r="B39" s="86" t="s">
        <v>87</v>
      </c>
      <c r="C39" s="137">
        <f t="shared" ref="C39:G39" si="13">+C20/C38</f>
        <v>409.04820796679365</v>
      </c>
      <c r="D39" s="137">
        <f t="shared" si="13"/>
        <v>390.24905999457911</v>
      </c>
      <c r="E39" s="137">
        <f t="shared" si="13"/>
        <v>390.24905999457911</v>
      </c>
      <c r="F39" s="137" t="e">
        <f t="shared" ca="1" si="13"/>
        <v>#DIV/0!</v>
      </c>
      <c r="G39" s="137" t="e">
        <f t="shared" ca="1" si="13"/>
        <v>#DIV/0!</v>
      </c>
      <c r="H39" s="137">
        <f t="shared" ref="H39" si="14">+H20/H38</f>
        <v>1189.5463279559517</v>
      </c>
      <c r="I39" s="93"/>
      <c r="AJ39" s="78" t="s">
        <v>26</v>
      </c>
      <c r="AK39" s="78" t="s">
        <v>87</v>
      </c>
    </row>
    <row r="40" spans="1:37" s="73" customFormat="1" ht="15.75" customHeight="1">
      <c r="A40" s="78" t="s">
        <v>88</v>
      </c>
      <c r="B40" s="81" t="s">
        <v>89</v>
      </c>
      <c r="C40" s="85"/>
      <c r="D40" s="85"/>
      <c r="E40" s="85"/>
      <c r="F40" s="85"/>
      <c r="G40" s="85"/>
      <c r="H40" s="85"/>
      <c r="I40" s="93"/>
      <c r="AJ40" s="78" t="s">
        <v>88</v>
      </c>
      <c r="AK40" s="81" t="s">
        <v>89</v>
      </c>
    </row>
    <row r="41" spans="1:37" s="73" customFormat="1" ht="15.75" customHeight="1">
      <c r="A41" s="78" t="s">
        <v>24</v>
      </c>
      <c r="B41" s="78" t="s">
        <v>90</v>
      </c>
      <c r="C41" s="85">
        <f>+C14/C3</f>
        <v>57.864723809523817</v>
      </c>
      <c r="D41" s="85">
        <f t="shared" ref="D41:H41" si="15">+D14/D3</f>
        <v>57.955200000000005</v>
      </c>
      <c r="E41" s="85">
        <f t="shared" si="15"/>
        <v>57.955200000000005</v>
      </c>
      <c r="F41" s="85" t="e">
        <f t="shared" ca="1" si="15"/>
        <v>#DIV/0!</v>
      </c>
      <c r="G41" s="85" t="e">
        <f t="shared" ca="1" si="15"/>
        <v>#DIV/0!</v>
      </c>
      <c r="H41" s="85">
        <f t="shared" si="15"/>
        <v>57.924052459016394</v>
      </c>
      <c r="I41" s="93"/>
      <c r="AJ41" s="78" t="s">
        <v>24</v>
      </c>
      <c r="AK41" s="78" t="s">
        <v>90</v>
      </c>
    </row>
    <row r="42" spans="1:37" s="73" customFormat="1" ht="15.75" customHeight="1">
      <c r="A42" s="78" t="s">
        <v>26</v>
      </c>
      <c r="B42" s="78" t="s">
        <v>91</v>
      </c>
      <c r="C42" s="85">
        <f>+C16/C3</f>
        <v>9.5704000000000011</v>
      </c>
      <c r="D42" s="85">
        <f t="shared" ref="D42:H42" si="16">+D16/D3</f>
        <v>9.5704000000000011</v>
      </c>
      <c r="E42" s="85">
        <f t="shared" si="16"/>
        <v>9.5704000000000011</v>
      </c>
      <c r="F42" s="85" t="e">
        <f t="shared" si="16"/>
        <v>#DIV/0!</v>
      </c>
      <c r="G42" s="85" t="e">
        <f t="shared" si="16"/>
        <v>#DIV/0!</v>
      </c>
      <c r="H42" s="85">
        <f t="shared" si="16"/>
        <v>9.5704000000000011</v>
      </c>
      <c r="I42" s="93"/>
      <c r="AJ42" s="78" t="s">
        <v>26</v>
      </c>
      <c r="AK42" s="78" t="s">
        <v>91</v>
      </c>
    </row>
    <row r="43" spans="1:37" s="73" customFormat="1" ht="15.75" customHeight="1">
      <c r="A43" s="78" t="s">
        <v>77</v>
      </c>
      <c r="B43" s="78" t="s">
        <v>92</v>
      </c>
      <c r="C43" s="85">
        <f>+C17/C3</f>
        <v>30</v>
      </c>
      <c r="D43" s="85">
        <f t="shared" ref="D43:H43" si="17">+D17/D3</f>
        <v>30</v>
      </c>
      <c r="E43" s="85">
        <f t="shared" si="17"/>
        <v>30</v>
      </c>
      <c r="F43" s="85" t="e">
        <f t="shared" si="17"/>
        <v>#DIV/0!</v>
      </c>
      <c r="G43" s="85" t="e">
        <f t="shared" si="17"/>
        <v>#DIV/0!</v>
      </c>
      <c r="H43" s="85">
        <f t="shared" si="17"/>
        <v>30</v>
      </c>
      <c r="I43" s="93"/>
      <c r="AJ43" s="78" t="s">
        <v>77</v>
      </c>
      <c r="AK43" s="78" t="s">
        <v>92</v>
      </c>
    </row>
    <row r="44" spans="1:37" s="73" customFormat="1" ht="15.75" customHeight="1">
      <c r="A44" s="78" t="s">
        <v>29</v>
      </c>
      <c r="B44" s="78" t="s">
        <v>93</v>
      </c>
      <c r="C44" s="85"/>
      <c r="D44" s="85"/>
      <c r="E44" s="85"/>
      <c r="F44" s="85"/>
      <c r="G44" s="85"/>
      <c r="H44" s="85"/>
      <c r="I44" s="93"/>
      <c r="AJ44" s="78" t="s">
        <v>29</v>
      </c>
      <c r="AK44" s="78" t="s">
        <v>94</v>
      </c>
    </row>
    <row r="45" spans="1:37" s="73" customFormat="1" ht="15.75" customHeight="1">
      <c r="A45" s="78" t="s">
        <v>32</v>
      </c>
      <c r="B45" s="78" t="s">
        <v>95</v>
      </c>
      <c r="C45" s="85"/>
      <c r="D45" s="85"/>
      <c r="E45" s="85"/>
      <c r="F45" s="85"/>
      <c r="G45" s="85"/>
      <c r="H45" s="85"/>
      <c r="I45" s="93"/>
      <c r="AJ45" s="78" t="s">
        <v>32</v>
      </c>
      <c r="AK45" s="78" t="s">
        <v>95</v>
      </c>
    </row>
    <row r="46" spans="1:37" s="73" customFormat="1" ht="15.75" customHeight="1">
      <c r="A46" s="78" t="s">
        <v>96</v>
      </c>
      <c r="B46" s="81" t="s">
        <v>97</v>
      </c>
      <c r="C46" s="85"/>
      <c r="D46" s="85"/>
      <c r="E46" s="85"/>
      <c r="F46" s="85"/>
      <c r="G46" s="85"/>
      <c r="H46" s="85"/>
      <c r="I46" s="93"/>
      <c r="AJ46" s="78" t="s">
        <v>96</v>
      </c>
      <c r="AK46" s="81" t="s">
        <v>97</v>
      </c>
    </row>
    <row r="47" spans="1:37" s="73" customFormat="1" ht="15.75" customHeight="1">
      <c r="A47" s="78" t="s">
        <v>24</v>
      </c>
      <c r="B47" s="78" t="s">
        <v>98</v>
      </c>
      <c r="C47" s="154">
        <f>+(C10+C16)/C6</f>
        <v>5.9291836734693876E-2</v>
      </c>
      <c r="D47" s="154">
        <f t="shared" ref="D47:H47" si="18">+(D10+D16)/D6</f>
        <v>5.9291836734693876E-2</v>
      </c>
      <c r="E47" s="154">
        <f t="shared" si="18"/>
        <v>5.9291836734693876E-2</v>
      </c>
      <c r="F47" s="154" t="e">
        <f t="shared" si="18"/>
        <v>#DIV/0!</v>
      </c>
      <c r="G47" s="154" t="e">
        <f t="shared" si="18"/>
        <v>#DIV/0!</v>
      </c>
      <c r="H47" s="154">
        <f t="shared" si="18"/>
        <v>5.9291836734693883E-2</v>
      </c>
      <c r="I47" s="93"/>
      <c r="AJ47" s="78" t="s">
        <v>24</v>
      </c>
      <c r="AK47" s="78" t="s">
        <v>98</v>
      </c>
    </row>
    <row r="48" spans="1:37" s="73" customFormat="1" ht="15.75" customHeight="1">
      <c r="A48" s="78" t="s">
        <v>26</v>
      </c>
      <c r="B48" s="78" t="s">
        <v>99</v>
      </c>
      <c r="C48" s="154">
        <f>+(C8+C9+C14)/C6</f>
        <v>0.12454020732102365</v>
      </c>
      <c r="D48" s="154">
        <f t="shared" ref="D48:H48" si="19">+(D8+D9+D14)/D6</f>
        <v>0.12461714285714286</v>
      </c>
      <c r="E48" s="154">
        <f t="shared" si="19"/>
        <v>0.12461714285714286</v>
      </c>
      <c r="F48" s="154" t="e">
        <f t="shared" ca="1" si="19"/>
        <v>#DIV/0!</v>
      </c>
      <c r="G48" s="154" t="e">
        <f t="shared" ca="1" si="19"/>
        <v>#DIV/0!</v>
      </c>
      <c r="H48" s="154">
        <f t="shared" si="19"/>
        <v>0.12459065685290509</v>
      </c>
      <c r="I48" s="93"/>
      <c r="AJ48" s="78" t="s">
        <v>26</v>
      </c>
      <c r="AK48" s="78" t="s">
        <v>99</v>
      </c>
    </row>
    <row r="49" spans="1:37" s="73" customFormat="1" ht="15.75" customHeight="1">
      <c r="A49" s="78" t="s">
        <v>77</v>
      </c>
      <c r="B49" s="78" t="s">
        <v>100</v>
      </c>
      <c r="C49" s="154">
        <f>+C17/C6</f>
        <v>2.5510204081632654E-2</v>
      </c>
      <c r="D49" s="154">
        <f t="shared" ref="D49:H49" si="20">+D17/D6</f>
        <v>2.5510204081632654E-2</v>
      </c>
      <c r="E49" s="154">
        <f t="shared" si="20"/>
        <v>2.5510204081632654E-2</v>
      </c>
      <c r="F49" s="154" t="e">
        <f t="shared" si="20"/>
        <v>#DIV/0!</v>
      </c>
      <c r="G49" s="154" t="e">
        <f t="shared" si="20"/>
        <v>#DIV/0!</v>
      </c>
      <c r="H49" s="154">
        <f t="shared" si="20"/>
        <v>2.5510204081632654E-2</v>
      </c>
      <c r="I49" s="93"/>
      <c r="AJ49" s="78" t="s">
        <v>77</v>
      </c>
      <c r="AK49" s="78" t="s">
        <v>100</v>
      </c>
    </row>
    <row r="50" spans="1:37" s="73" customFormat="1" ht="15.75" customHeight="1">
      <c r="A50" s="78" t="s">
        <v>29</v>
      </c>
      <c r="B50" s="78" t="s">
        <v>101</v>
      </c>
      <c r="C50" s="154">
        <f>+C18/C6</f>
        <v>2.2945686210992335E-3</v>
      </c>
      <c r="D50" s="154">
        <f t="shared" ref="D50:H50" si="21">+D18/D6</f>
        <v>2.4092970521541949E-3</v>
      </c>
      <c r="E50" s="154">
        <f t="shared" si="21"/>
        <v>2.4092970521541949E-3</v>
      </c>
      <c r="F50" s="154" t="e">
        <f t="shared" ca="1" si="21"/>
        <v>#DIV/0!</v>
      </c>
      <c r="G50" s="154" t="e">
        <f t="shared" ca="1" si="21"/>
        <v>#DIV/0!</v>
      </c>
      <c r="H50" s="154">
        <f t="shared" si="21"/>
        <v>2.3698003791680607E-3</v>
      </c>
      <c r="I50" s="93"/>
      <c r="AJ50" s="78" t="s">
        <v>29</v>
      </c>
      <c r="AK50" s="78" t="s">
        <v>101</v>
      </c>
    </row>
    <row r="51" spans="1:37" s="73" customFormat="1" ht="15.75" customHeight="1">
      <c r="A51" s="78" t="s">
        <v>32</v>
      </c>
      <c r="B51" s="78" t="s">
        <v>102</v>
      </c>
      <c r="C51" s="154">
        <f>+C19/C6</f>
        <v>2.4763061224489794E-2</v>
      </c>
      <c r="D51" s="154">
        <f t="shared" ref="D51:H51" si="22">+D19/D6</f>
        <v>2.4763061224489794E-2</v>
      </c>
      <c r="E51" s="154">
        <f t="shared" si="22"/>
        <v>2.4763061224489794E-2</v>
      </c>
      <c r="F51" s="154" t="e">
        <f t="shared" si="22"/>
        <v>#DIV/0!</v>
      </c>
      <c r="G51" s="154" t="e">
        <f t="shared" si="22"/>
        <v>#DIV/0!</v>
      </c>
      <c r="H51" s="154">
        <f t="shared" si="22"/>
        <v>2.4763061224489794E-2</v>
      </c>
      <c r="I51" s="93"/>
      <c r="AJ51" s="78" t="s">
        <v>32</v>
      </c>
      <c r="AK51" s="78" t="s">
        <v>102</v>
      </c>
    </row>
    <row r="52" spans="1:37" s="73" customFormat="1" ht="15.75" customHeight="1">
      <c r="A52" s="78" t="s">
        <v>35</v>
      </c>
      <c r="B52" s="78" t="s">
        <v>103</v>
      </c>
      <c r="C52" s="154">
        <f>+C23/C6</f>
        <v>0.17148708130871382</v>
      </c>
      <c r="D52" s="154">
        <f t="shared" ref="D52:H52" si="23">+D23/D6</f>
        <v>0.17134333333333321</v>
      </c>
      <c r="E52" s="154">
        <f t="shared" si="23"/>
        <v>0.17134333333333321</v>
      </c>
      <c r="F52" s="154" t="e">
        <f t="shared" ca="1" si="23"/>
        <v>#DIV/0!</v>
      </c>
      <c r="G52" s="154" t="e">
        <f t="shared" ca="1" si="23"/>
        <v>#DIV/0!</v>
      </c>
      <c r="H52" s="154">
        <f t="shared" si="23"/>
        <v>0.17139282034125114</v>
      </c>
      <c r="I52" s="93"/>
      <c r="AJ52" s="78" t="s">
        <v>35</v>
      </c>
      <c r="AK52" s="78" t="s">
        <v>104</v>
      </c>
    </row>
    <row r="53" spans="1:37" s="73" customFormat="1" ht="15.75" customHeight="1">
      <c r="A53" s="78" t="s">
        <v>105</v>
      </c>
      <c r="B53" s="81" t="s">
        <v>106</v>
      </c>
      <c r="C53" s="85">
        <f>+C21/C3</f>
        <v>268.89174349206326</v>
      </c>
      <c r="D53" s="85">
        <f t="shared" ref="D53:H53" si="24">+D21/D3</f>
        <v>268.66634666666647</v>
      </c>
      <c r="E53" s="85">
        <f t="shared" si="24"/>
        <v>268.66634666666647</v>
      </c>
      <c r="F53" s="85" t="e">
        <f t="shared" ca="1" si="24"/>
        <v>#DIV/0!</v>
      </c>
      <c r="G53" s="85" t="e">
        <f t="shared" ca="1" si="24"/>
        <v>#DIV/0!</v>
      </c>
      <c r="H53" s="85">
        <f t="shared" si="24"/>
        <v>268.74394229508181</v>
      </c>
      <c r="I53" s="93"/>
      <c r="AJ53" s="78" t="s">
        <v>105</v>
      </c>
      <c r="AK53" s="81" t="s">
        <v>106</v>
      </c>
    </row>
    <row r="54" spans="1:37" s="73" customFormat="1" ht="15.75" customHeight="1">
      <c r="A54" s="78" t="s">
        <v>107</v>
      </c>
      <c r="B54" s="155" t="s">
        <v>108</v>
      </c>
      <c r="C54" s="85"/>
      <c r="D54" s="85"/>
      <c r="E54" s="85"/>
      <c r="F54" s="85"/>
      <c r="G54" s="85"/>
      <c r="H54" s="85"/>
      <c r="I54" s="93"/>
      <c r="AJ54" s="78"/>
      <c r="AK54" s="81"/>
    </row>
    <row r="55" spans="1:37" s="73" customFormat="1" ht="15.75" customHeight="1">
      <c r="A55" s="78" t="s">
        <v>24</v>
      </c>
      <c r="B55" s="78" t="s">
        <v>109</v>
      </c>
      <c r="C55" s="85">
        <f>C56+C57</f>
        <v>29000</v>
      </c>
      <c r="D55" s="85"/>
      <c r="E55" s="85"/>
      <c r="F55" s="85"/>
      <c r="G55" s="85"/>
      <c r="H55" s="85"/>
      <c r="I55" s="93"/>
    </row>
    <row r="56" spans="1:37" s="73" customFormat="1" ht="15.75" customHeight="1">
      <c r="A56" s="78">
        <v>1.1000000000000001</v>
      </c>
      <c r="B56" s="156" t="s">
        <v>110</v>
      </c>
      <c r="C56" s="85">
        <f>项目投资!B27</f>
        <v>17000</v>
      </c>
      <c r="D56" s="85"/>
      <c r="E56" s="85"/>
      <c r="F56" s="85"/>
      <c r="G56" s="85"/>
      <c r="H56" s="85"/>
      <c r="I56" s="93"/>
    </row>
    <row r="57" spans="1:37" s="73" customFormat="1" ht="15.75" customHeight="1">
      <c r="A57" s="78">
        <v>1.2</v>
      </c>
      <c r="B57" s="78" t="s">
        <v>111</v>
      </c>
      <c r="C57" s="85">
        <f>项目投资!B26</f>
        <v>12000</v>
      </c>
      <c r="D57" s="85"/>
      <c r="E57" s="85"/>
      <c r="F57" s="85"/>
      <c r="G57" s="85"/>
      <c r="H57" s="85"/>
      <c r="I57" s="93"/>
    </row>
    <row r="58" spans="1:37" ht="15.75" customHeight="1">
      <c r="A58" s="143" t="s">
        <v>26</v>
      </c>
      <c r="B58" s="143" t="s">
        <v>112</v>
      </c>
      <c r="C58" s="157">
        <f t="shared" ref="C58:G58" si="25">C59+C60</f>
        <v>256382.69759999978</v>
      </c>
      <c r="D58" s="157">
        <f t="shared" si="25"/>
        <v>244079.71199999982</v>
      </c>
      <c r="E58" s="157">
        <f t="shared" si="25"/>
        <v>244079.71199999982</v>
      </c>
      <c r="F58" s="157" t="e">
        <f t="shared" ca="1" si="25"/>
        <v>#DIV/0!</v>
      </c>
      <c r="G58" s="157" t="e">
        <f t="shared" ca="1" si="25"/>
        <v>#DIV/0!</v>
      </c>
      <c r="H58" s="157">
        <f t="shared" ref="H58" si="26">H59+H60</f>
        <v>749102.12159999949</v>
      </c>
      <c r="I58" s="93"/>
    </row>
    <row r="59" spans="1:37" ht="15.75" customHeight="1">
      <c r="A59" s="143" t="s">
        <v>77</v>
      </c>
      <c r="B59" s="143" t="s">
        <v>113</v>
      </c>
      <c r="C59" s="157">
        <f t="shared" ref="C59:G59" si="27">C23</f>
        <v>254102.69759999978</v>
      </c>
      <c r="D59" s="157">
        <f t="shared" si="27"/>
        <v>241799.71199999982</v>
      </c>
      <c r="E59" s="157">
        <f t="shared" si="27"/>
        <v>241799.71199999982</v>
      </c>
      <c r="F59" s="157" t="e">
        <f t="shared" ca="1" si="27"/>
        <v>#DIV/0!</v>
      </c>
      <c r="G59" s="157" t="e">
        <f t="shared" ca="1" si="27"/>
        <v>#DIV/0!</v>
      </c>
      <c r="H59" s="157">
        <f t="shared" ref="H59" si="28">H23</f>
        <v>737702.12159999949</v>
      </c>
      <c r="I59" s="93"/>
    </row>
    <row r="60" spans="1:37" ht="15.75" customHeight="1">
      <c r="A60" s="143" t="s">
        <v>29</v>
      </c>
      <c r="B60" s="143" t="s">
        <v>114</v>
      </c>
      <c r="C60" s="157">
        <f>'2022年'!H18</f>
        <v>2280</v>
      </c>
      <c r="D60" s="157">
        <f>'2023年'!H18</f>
        <v>2280</v>
      </c>
      <c r="E60" s="157">
        <f>'2024年'!H18</f>
        <v>2280</v>
      </c>
      <c r="F60" s="157">
        <f ca="1">'2025年'!H18</f>
        <v>0</v>
      </c>
      <c r="G60" s="157">
        <f ca="1">'2026年'!H18</f>
        <v>0</v>
      </c>
      <c r="H60" s="157">
        <f>项目投资!I26</f>
        <v>11400</v>
      </c>
      <c r="I60" s="93"/>
    </row>
    <row r="61" spans="1:37" ht="15.75" customHeight="1">
      <c r="A61" s="143" t="s">
        <v>32</v>
      </c>
      <c r="B61" s="143" t="s">
        <v>115</v>
      </c>
      <c r="C61" s="158"/>
      <c r="D61" s="158"/>
      <c r="E61" s="158"/>
      <c r="F61" s="158"/>
      <c r="G61" s="158"/>
      <c r="H61" s="157"/>
      <c r="I61" s="93"/>
    </row>
    <row r="65" spans="1:3" ht="23.25" hidden="1">
      <c r="A65" s="163" t="s">
        <v>14</v>
      </c>
      <c r="B65" s="164" t="s">
        <v>116</v>
      </c>
      <c r="C65" s="165"/>
    </row>
    <row r="66" spans="1:3" ht="23.25" hidden="1">
      <c r="A66" s="164">
        <v>1</v>
      </c>
      <c r="B66" s="166" t="s">
        <v>117</v>
      </c>
      <c r="C66" s="165"/>
    </row>
    <row r="67" spans="1:3" ht="23.25" hidden="1">
      <c r="A67" s="164">
        <v>2</v>
      </c>
      <c r="B67" s="166" t="s">
        <v>118</v>
      </c>
      <c r="C67" s="165"/>
    </row>
    <row r="68" spans="1:3" ht="23.25" hidden="1">
      <c r="A68" s="164">
        <v>3</v>
      </c>
      <c r="B68" s="166" t="s">
        <v>119</v>
      </c>
      <c r="C68" s="165"/>
    </row>
    <row r="69" spans="1:3" ht="23.25" hidden="1">
      <c r="A69" s="164">
        <v>4</v>
      </c>
      <c r="B69" s="166" t="s">
        <v>120</v>
      </c>
      <c r="C69" s="165"/>
    </row>
    <row r="70" spans="1:3" ht="23.25" hidden="1">
      <c r="A70" s="164">
        <v>5</v>
      </c>
      <c r="B70" s="166" t="s">
        <v>121</v>
      </c>
      <c r="C70" s="165"/>
    </row>
    <row r="71" spans="1:3" ht="23.25" hidden="1">
      <c r="A71" s="164">
        <v>6</v>
      </c>
      <c r="B71" s="166" t="s">
        <v>122</v>
      </c>
      <c r="C71" s="165"/>
    </row>
    <row r="72" spans="1:3" ht="23.25" hidden="1">
      <c r="A72" s="164">
        <v>7</v>
      </c>
      <c r="B72" s="166" t="s">
        <v>44</v>
      </c>
      <c r="C72" s="165"/>
    </row>
    <row r="73" spans="1:3" ht="23.25" hidden="1">
      <c r="A73" s="164">
        <v>8</v>
      </c>
      <c r="B73" s="166" t="s">
        <v>63</v>
      </c>
      <c r="C73" s="165"/>
    </row>
    <row r="74" spans="1:3" ht="23.25" hidden="1">
      <c r="A74" s="164">
        <v>9</v>
      </c>
      <c r="B74" s="166" t="s">
        <v>123</v>
      </c>
      <c r="C74" s="165"/>
    </row>
  </sheetData>
  <mergeCells count="2">
    <mergeCell ref="A1:H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97" customWidth="1"/>
    <col min="2" max="2" width="28.5" style="97" customWidth="1"/>
    <col min="3" max="4" width="9.125" style="97"/>
    <col min="5" max="5" width="13.875" style="97" customWidth="1"/>
    <col min="6" max="12" width="16.125" style="97" customWidth="1"/>
    <col min="13" max="13" width="10.625" style="97" customWidth="1"/>
    <col min="14" max="254" width="9.125" style="97"/>
    <col min="255" max="255" width="8" style="97" customWidth="1"/>
    <col min="256" max="256" width="28.5" style="97" customWidth="1"/>
    <col min="257" max="268" width="9.125" style="97"/>
    <col min="269" max="269" width="10.625" style="97" customWidth="1"/>
    <col min="270" max="510" width="9.125" style="97"/>
    <col min="511" max="511" width="8" style="97" customWidth="1"/>
    <col min="512" max="512" width="28.5" style="97" customWidth="1"/>
    <col min="513" max="524" width="9.125" style="97"/>
    <col min="525" max="525" width="10.625" style="97" customWidth="1"/>
    <col min="526" max="766" width="9.125" style="97"/>
    <col min="767" max="767" width="8" style="97" customWidth="1"/>
    <col min="768" max="768" width="28.5" style="97" customWidth="1"/>
    <col min="769" max="780" width="9.125" style="97"/>
    <col min="781" max="781" width="10.625" style="97" customWidth="1"/>
    <col min="782" max="1022" width="9.125" style="97"/>
    <col min="1023" max="1023" width="8" style="97" customWidth="1"/>
    <col min="1024" max="1024" width="28.5" style="97" customWidth="1"/>
    <col min="1025" max="1036" width="9.125" style="97"/>
    <col min="1037" max="1037" width="10.625" style="97" customWidth="1"/>
    <col min="1038" max="1278" width="9.125" style="97"/>
    <col min="1279" max="1279" width="8" style="97" customWidth="1"/>
    <col min="1280" max="1280" width="28.5" style="97" customWidth="1"/>
    <col min="1281" max="1292" width="9.125" style="97"/>
    <col min="1293" max="1293" width="10.625" style="97" customWidth="1"/>
    <col min="1294" max="1534" width="9.125" style="97"/>
    <col min="1535" max="1535" width="8" style="97" customWidth="1"/>
    <col min="1536" max="1536" width="28.5" style="97" customWidth="1"/>
    <col min="1537" max="1548" width="9.125" style="97"/>
    <col min="1549" max="1549" width="10.625" style="97" customWidth="1"/>
    <col min="1550" max="1790" width="9.125" style="97"/>
    <col min="1791" max="1791" width="8" style="97" customWidth="1"/>
    <col min="1792" max="1792" width="28.5" style="97" customWidth="1"/>
    <col min="1793" max="1804" width="9.125" style="97"/>
    <col min="1805" max="1805" width="10.625" style="97" customWidth="1"/>
    <col min="1806" max="2046" width="9.125" style="97"/>
    <col min="2047" max="2047" width="8" style="97" customWidth="1"/>
    <col min="2048" max="2048" width="28.5" style="97" customWidth="1"/>
    <col min="2049" max="2060" width="9.125" style="97"/>
    <col min="2061" max="2061" width="10.625" style="97" customWidth="1"/>
    <col min="2062" max="2302" width="9.125" style="97"/>
    <col min="2303" max="2303" width="8" style="97" customWidth="1"/>
    <col min="2304" max="2304" width="28.5" style="97" customWidth="1"/>
    <col min="2305" max="2316" width="9.125" style="97"/>
    <col min="2317" max="2317" width="10.625" style="97" customWidth="1"/>
    <col min="2318" max="2558" width="9.125" style="97"/>
    <col min="2559" max="2559" width="8" style="97" customWidth="1"/>
    <col min="2560" max="2560" width="28.5" style="97" customWidth="1"/>
    <col min="2561" max="2572" width="9.125" style="97"/>
    <col min="2573" max="2573" width="10.625" style="97" customWidth="1"/>
    <col min="2574" max="2814" width="9.125" style="97"/>
    <col min="2815" max="2815" width="8" style="97" customWidth="1"/>
    <col min="2816" max="2816" width="28.5" style="97" customWidth="1"/>
    <col min="2817" max="2828" width="9.125" style="97"/>
    <col min="2829" max="2829" width="10.625" style="97" customWidth="1"/>
    <col min="2830" max="3070" width="9.125" style="97"/>
    <col min="3071" max="3071" width="8" style="97" customWidth="1"/>
    <col min="3072" max="3072" width="28.5" style="97" customWidth="1"/>
    <col min="3073" max="3084" width="9.125" style="97"/>
    <col min="3085" max="3085" width="10.625" style="97" customWidth="1"/>
    <col min="3086" max="3326" width="9.125" style="97"/>
    <col min="3327" max="3327" width="8" style="97" customWidth="1"/>
    <col min="3328" max="3328" width="28.5" style="97" customWidth="1"/>
    <col min="3329" max="3340" width="9.125" style="97"/>
    <col min="3341" max="3341" width="10.625" style="97" customWidth="1"/>
    <col min="3342" max="3582" width="9.125" style="97"/>
    <col min="3583" max="3583" width="8" style="97" customWidth="1"/>
    <col min="3584" max="3584" width="28.5" style="97" customWidth="1"/>
    <col min="3585" max="3596" width="9.125" style="97"/>
    <col min="3597" max="3597" width="10.625" style="97" customWidth="1"/>
    <col min="3598" max="3838" width="9.125" style="97"/>
    <col min="3839" max="3839" width="8" style="97" customWidth="1"/>
    <col min="3840" max="3840" width="28.5" style="97" customWidth="1"/>
    <col min="3841" max="3852" width="9.125" style="97"/>
    <col min="3853" max="3853" width="10.625" style="97" customWidth="1"/>
    <col min="3854" max="4094" width="9.125" style="97"/>
    <col min="4095" max="4095" width="8" style="97" customWidth="1"/>
    <col min="4096" max="4096" width="28.5" style="97" customWidth="1"/>
    <col min="4097" max="4108" width="9.125" style="97"/>
    <col min="4109" max="4109" width="10.625" style="97" customWidth="1"/>
    <col min="4110" max="4350" width="9.125" style="97"/>
    <col min="4351" max="4351" width="8" style="97" customWidth="1"/>
    <col min="4352" max="4352" width="28.5" style="97" customWidth="1"/>
    <col min="4353" max="4364" width="9.125" style="97"/>
    <col min="4365" max="4365" width="10.625" style="97" customWidth="1"/>
    <col min="4366" max="4606" width="9.125" style="97"/>
    <col min="4607" max="4607" width="8" style="97" customWidth="1"/>
    <col min="4608" max="4608" width="28.5" style="97" customWidth="1"/>
    <col min="4609" max="4620" width="9.125" style="97"/>
    <col min="4621" max="4621" width="10.625" style="97" customWidth="1"/>
    <col min="4622" max="4862" width="9.125" style="97"/>
    <col min="4863" max="4863" width="8" style="97" customWidth="1"/>
    <col min="4864" max="4864" width="28.5" style="97" customWidth="1"/>
    <col min="4865" max="4876" width="9.125" style="97"/>
    <col min="4877" max="4877" width="10.625" style="97" customWidth="1"/>
    <col min="4878" max="5118" width="9.125" style="97"/>
    <col min="5119" max="5119" width="8" style="97" customWidth="1"/>
    <col min="5120" max="5120" width="28.5" style="97" customWidth="1"/>
    <col min="5121" max="5132" width="9.125" style="97"/>
    <col min="5133" max="5133" width="10.625" style="97" customWidth="1"/>
    <col min="5134" max="5374" width="9.125" style="97"/>
    <col min="5375" max="5375" width="8" style="97" customWidth="1"/>
    <col min="5376" max="5376" width="28.5" style="97" customWidth="1"/>
    <col min="5377" max="5388" width="9.125" style="97"/>
    <col min="5389" max="5389" width="10.625" style="97" customWidth="1"/>
    <col min="5390" max="5630" width="9.125" style="97"/>
    <col min="5631" max="5631" width="8" style="97" customWidth="1"/>
    <col min="5632" max="5632" width="28.5" style="97" customWidth="1"/>
    <col min="5633" max="5644" width="9.125" style="97"/>
    <col min="5645" max="5645" width="10.625" style="97" customWidth="1"/>
    <col min="5646" max="5886" width="9.125" style="97"/>
    <col min="5887" max="5887" width="8" style="97" customWidth="1"/>
    <col min="5888" max="5888" width="28.5" style="97" customWidth="1"/>
    <col min="5889" max="5900" width="9.125" style="97"/>
    <col min="5901" max="5901" width="10.625" style="97" customWidth="1"/>
    <col min="5902" max="6142" width="9.125" style="97"/>
    <col min="6143" max="6143" width="8" style="97" customWidth="1"/>
    <col min="6144" max="6144" width="28.5" style="97" customWidth="1"/>
    <col min="6145" max="6156" width="9.125" style="97"/>
    <col min="6157" max="6157" width="10.625" style="97" customWidth="1"/>
    <col min="6158" max="6398" width="9.125" style="97"/>
    <col min="6399" max="6399" width="8" style="97" customWidth="1"/>
    <col min="6400" max="6400" width="28.5" style="97" customWidth="1"/>
    <col min="6401" max="6412" width="9.125" style="97"/>
    <col min="6413" max="6413" width="10.625" style="97" customWidth="1"/>
    <col min="6414" max="6654" width="9.125" style="97"/>
    <col min="6655" max="6655" width="8" style="97" customWidth="1"/>
    <col min="6656" max="6656" width="28.5" style="97" customWidth="1"/>
    <col min="6657" max="6668" width="9.125" style="97"/>
    <col min="6669" max="6669" width="10.625" style="97" customWidth="1"/>
    <col min="6670" max="6910" width="9.125" style="97"/>
    <col min="6911" max="6911" width="8" style="97" customWidth="1"/>
    <col min="6912" max="6912" width="28.5" style="97" customWidth="1"/>
    <col min="6913" max="6924" width="9.125" style="97"/>
    <col min="6925" max="6925" width="10.625" style="97" customWidth="1"/>
    <col min="6926" max="7166" width="9.125" style="97"/>
    <col min="7167" max="7167" width="8" style="97" customWidth="1"/>
    <col min="7168" max="7168" width="28.5" style="97" customWidth="1"/>
    <col min="7169" max="7180" width="9.125" style="97"/>
    <col min="7181" max="7181" width="10.625" style="97" customWidth="1"/>
    <col min="7182" max="7422" width="9.125" style="97"/>
    <col min="7423" max="7423" width="8" style="97" customWidth="1"/>
    <col min="7424" max="7424" width="28.5" style="97" customWidth="1"/>
    <col min="7425" max="7436" width="9.125" style="97"/>
    <col min="7437" max="7437" width="10.625" style="97" customWidth="1"/>
    <col min="7438" max="7678" width="9.125" style="97"/>
    <col min="7679" max="7679" width="8" style="97" customWidth="1"/>
    <col min="7680" max="7680" width="28.5" style="97" customWidth="1"/>
    <col min="7681" max="7692" width="9.125" style="97"/>
    <col min="7693" max="7693" width="10.625" style="97" customWidth="1"/>
    <col min="7694" max="7934" width="9.125" style="97"/>
    <col min="7935" max="7935" width="8" style="97" customWidth="1"/>
    <col min="7936" max="7936" width="28.5" style="97" customWidth="1"/>
    <col min="7937" max="7948" width="9.125" style="97"/>
    <col min="7949" max="7949" width="10.625" style="97" customWidth="1"/>
    <col min="7950" max="8190" width="9.125" style="97"/>
    <col min="8191" max="8191" width="8" style="97" customWidth="1"/>
    <col min="8192" max="8192" width="28.5" style="97" customWidth="1"/>
    <col min="8193" max="8204" width="9.125" style="97"/>
    <col min="8205" max="8205" width="10.625" style="97" customWidth="1"/>
    <col min="8206" max="8446" width="9.125" style="97"/>
    <col min="8447" max="8447" width="8" style="97" customWidth="1"/>
    <col min="8448" max="8448" width="28.5" style="97" customWidth="1"/>
    <col min="8449" max="8460" width="9.125" style="97"/>
    <col min="8461" max="8461" width="10.625" style="97" customWidth="1"/>
    <col min="8462" max="8702" width="9.125" style="97"/>
    <col min="8703" max="8703" width="8" style="97" customWidth="1"/>
    <col min="8704" max="8704" width="28.5" style="97" customWidth="1"/>
    <col min="8705" max="8716" width="9.125" style="97"/>
    <col min="8717" max="8717" width="10.625" style="97" customWidth="1"/>
    <col min="8718" max="8958" width="9.125" style="97"/>
    <col min="8959" max="8959" width="8" style="97" customWidth="1"/>
    <col min="8960" max="8960" width="28.5" style="97" customWidth="1"/>
    <col min="8961" max="8972" width="9.125" style="97"/>
    <col min="8973" max="8973" width="10.625" style="97" customWidth="1"/>
    <col min="8974" max="9214" width="9.125" style="97"/>
    <col min="9215" max="9215" width="8" style="97" customWidth="1"/>
    <col min="9216" max="9216" width="28.5" style="97" customWidth="1"/>
    <col min="9217" max="9228" width="9.125" style="97"/>
    <col min="9229" max="9229" width="10.625" style="97" customWidth="1"/>
    <col min="9230" max="9470" width="9.125" style="97"/>
    <col min="9471" max="9471" width="8" style="97" customWidth="1"/>
    <col min="9472" max="9472" width="28.5" style="97" customWidth="1"/>
    <col min="9473" max="9484" width="9.125" style="97"/>
    <col min="9485" max="9485" width="10.625" style="97" customWidth="1"/>
    <col min="9486" max="9726" width="9.125" style="97"/>
    <col min="9727" max="9727" width="8" style="97" customWidth="1"/>
    <col min="9728" max="9728" width="28.5" style="97" customWidth="1"/>
    <col min="9729" max="9740" width="9.125" style="97"/>
    <col min="9741" max="9741" width="10.625" style="97" customWidth="1"/>
    <col min="9742" max="9982" width="9.125" style="97"/>
    <col min="9983" max="9983" width="8" style="97" customWidth="1"/>
    <col min="9984" max="9984" width="28.5" style="97" customWidth="1"/>
    <col min="9985" max="9996" width="9.125" style="97"/>
    <col min="9997" max="9997" width="10.625" style="97" customWidth="1"/>
    <col min="9998" max="10238" width="9.125" style="97"/>
    <col min="10239" max="10239" width="8" style="97" customWidth="1"/>
    <col min="10240" max="10240" width="28.5" style="97" customWidth="1"/>
    <col min="10241" max="10252" width="9.125" style="97"/>
    <col min="10253" max="10253" width="10.625" style="97" customWidth="1"/>
    <col min="10254" max="10494" width="9.125" style="97"/>
    <col min="10495" max="10495" width="8" style="97" customWidth="1"/>
    <col min="10496" max="10496" width="28.5" style="97" customWidth="1"/>
    <col min="10497" max="10508" width="9.125" style="97"/>
    <col min="10509" max="10509" width="10.625" style="97" customWidth="1"/>
    <col min="10510" max="10750" width="9.125" style="97"/>
    <col min="10751" max="10751" width="8" style="97" customWidth="1"/>
    <col min="10752" max="10752" width="28.5" style="97" customWidth="1"/>
    <col min="10753" max="10764" width="9.125" style="97"/>
    <col min="10765" max="10765" width="10.625" style="97" customWidth="1"/>
    <col min="10766" max="11006" width="9.125" style="97"/>
    <col min="11007" max="11007" width="8" style="97" customWidth="1"/>
    <col min="11008" max="11008" width="28.5" style="97" customWidth="1"/>
    <col min="11009" max="11020" width="9.125" style="97"/>
    <col min="11021" max="11021" width="10.625" style="97" customWidth="1"/>
    <col min="11022" max="11262" width="9.125" style="97"/>
    <col min="11263" max="11263" width="8" style="97" customWidth="1"/>
    <col min="11264" max="11264" width="28.5" style="97" customWidth="1"/>
    <col min="11265" max="11276" width="9.125" style="97"/>
    <col min="11277" max="11277" width="10.625" style="97" customWidth="1"/>
    <col min="11278" max="11518" width="9.125" style="97"/>
    <col min="11519" max="11519" width="8" style="97" customWidth="1"/>
    <col min="11520" max="11520" width="28.5" style="97" customWidth="1"/>
    <col min="11521" max="11532" width="9.125" style="97"/>
    <col min="11533" max="11533" width="10.625" style="97" customWidth="1"/>
    <col min="11534" max="11774" width="9.125" style="97"/>
    <col min="11775" max="11775" width="8" style="97" customWidth="1"/>
    <col min="11776" max="11776" width="28.5" style="97" customWidth="1"/>
    <col min="11777" max="11788" width="9.125" style="97"/>
    <col min="11789" max="11789" width="10.625" style="97" customWidth="1"/>
    <col min="11790" max="12030" width="9.125" style="97"/>
    <col min="12031" max="12031" width="8" style="97" customWidth="1"/>
    <col min="12032" max="12032" width="28.5" style="97" customWidth="1"/>
    <col min="12033" max="12044" width="9.125" style="97"/>
    <col min="12045" max="12045" width="10.625" style="97" customWidth="1"/>
    <col min="12046" max="12286" width="9.125" style="97"/>
    <col min="12287" max="12287" width="8" style="97" customWidth="1"/>
    <col min="12288" max="12288" width="28.5" style="97" customWidth="1"/>
    <col min="12289" max="12300" width="9.125" style="97"/>
    <col min="12301" max="12301" width="10.625" style="97" customWidth="1"/>
    <col min="12302" max="12542" width="9.125" style="97"/>
    <col min="12543" max="12543" width="8" style="97" customWidth="1"/>
    <col min="12544" max="12544" width="28.5" style="97" customWidth="1"/>
    <col min="12545" max="12556" width="9.125" style="97"/>
    <col min="12557" max="12557" width="10.625" style="97" customWidth="1"/>
    <col min="12558" max="12798" width="9.125" style="97"/>
    <col min="12799" max="12799" width="8" style="97" customWidth="1"/>
    <col min="12800" max="12800" width="28.5" style="97" customWidth="1"/>
    <col min="12801" max="12812" width="9.125" style="97"/>
    <col min="12813" max="12813" width="10.625" style="97" customWidth="1"/>
    <col min="12814" max="13054" width="9.125" style="97"/>
    <col min="13055" max="13055" width="8" style="97" customWidth="1"/>
    <col min="13056" max="13056" width="28.5" style="97" customWidth="1"/>
    <col min="13057" max="13068" width="9.125" style="97"/>
    <col min="13069" max="13069" width="10.625" style="97" customWidth="1"/>
    <col min="13070" max="13310" width="9.125" style="97"/>
    <col min="13311" max="13311" width="8" style="97" customWidth="1"/>
    <col min="13312" max="13312" width="28.5" style="97" customWidth="1"/>
    <col min="13313" max="13324" width="9.125" style="97"/>
    <col min="13325" max="13325" width="10.625" style="97" customWidth="1"/>
    <col min="13326" max="13566" width="9.125" style="97"/>
    <col min="13567" max="13567" width="8" style="97" customWidth="1"/>
    <col min="13568" max="13568" width="28.5" style="97" customWidth="1"/>
    <col min="13569" max="13580" width="9.125" style="97"/>
    <col min="13581" max="13581" width="10.625" style="97" customWidth="1"/>
    <col min="13582" max="13822" width="9.125" style="97"/>
    <col min="13823" max="13823" width="8" style="97" customWidth="1"/>
    <col min="13824" max="13824" width="28.5" style="97" customWidth="1"/>
    <col min="13825" max="13836" width="9.125" style="97"/>
    <col min="13837" max="13837" width="10.625" style="97" customWidth="1"/>
    <col min="13838" max="14078" width="9.125" style="97"/>
    <col min="14079" max="14079" width="8" style="97" customWidth="1"/>
    <col min="14080" max="14080" width="28.5" style="97" customWidth="1"/>
    <col min="14081" max="14092" width="9.125" style="97"/>
    <col min="14093" max="14093" width="10.625" style="97" customWidth="1"/>
    <col min="14094" max="14334" width="9.125" style="97"/>
    <col min="14335" max="14335" width="8" style="97" customWidth="1"/>
    <col min="14336" max="14336" width="28.5" style="97" customWidth="1"/>
    <col min="14337" max="14348" width="9.125" style="97"/>
    <col min="14349" max="14349" width="10.625" style="97" customWidth="1"/>
    <col min="14350" max="14590" width="9.125" style="97"/>
    <col min="14591" max="14591" width="8" style="97" customWidth="1"/>
    <col min="14592" max="14592" width="28.5" style="97" customWidth="1"/>
    <col min="14593" max="14604" width="9.125" style="97"/>
    <col min="14605" max="14605" width="10.625" style="97" customWidth="1"/>
    <col min="14606" max="14846" width="9.125" style="97"/>
    <col min="14847" max="14847" width="8" style="97" customWidth="1"/>
    <col min="14848" max="14848" width="28.5" style="97" customWidth="1"/>
    <col min="14849" max="14860" width="9.125" style="97"/>
    <col min="14861" max="14861" width="10.625" style="97" customWidth="1"/>
    <col min="14862" max="15102" width="9.125" style="97"/>
    <col min="15103" max="15103" width="8" style="97" customWidth="1"/>
    <col min="15104" max="15104" width="28.5" style="97" customWidth="1"/>
    <col min="15105" max="15116" width="9.125" style="97"/>
    <col min="15117" max="15117" width="10.625" style="97" customWidth="1"/>
    <col min="15118" max="15358" width="9.125" style="97"/>
    <col min="15359" max="15359" width="8" style="97" customWidth="1"/>
    <col min="15360" max="15360" width="28.5" style="97" customWidth="1"/>
    <col min="15361" max="15372" width="9.125" style="97"/>
    <col min="15373" max="15373" width="10.625" style="97" customWidth="1"/>
    <col min="15374" max="15614" width="9.125" style="97"/>
    <col min="15615" max="15615" width="8" style="97" customWidth="1"/>
    <col min="15616" max="15616" width="28.5" style="97" customWidth="1"/>
    <col min="15617" max="15628" width="9.125" style="97"/>
    <col min="15629" max="15629" width="10.625" style="97" customWidth="1"/>
    <col min="15630" max="15870" width="9.125" style="97"/>
    <col min="15871" max="15871" width="8" style="97" customWidth="1"/>
    <col min="15872" max="15872" width="28.5" style="97" customWidth="1"/>
    <col min="15873" max="15884" width="9.125" style="97"/>
    <col min="15885" max="15885" width="10.625" style="97" customWidth="1"/>
    <col min="15886" max="16126" width="9.125" style="97"/>
    <col min="16127" max="16127" width="8" style="97" customWidth="1"/>
    <col min="16128" max="16128" width="28.5" style="97" customWidth="1"/>
    <col min="16129" max="16140" width="9.125" style="97"/>
    <col min="16141" max="16141" width="10.625" style="97" customWidth="1"/>
    <col min="16142" max="16384" width="9.125" style="97"/>
  </cols>
  <sheetData>
    <row r="1" spans="1:13" ht="18.75">
      <c r="A1" s="98" t="s">
        <v>124</v>
      </c>
      <c r="B1" s="99"/>
      <c r="C1" s="100"/>
      <c r="D1" s="100"/>
      <c r="E1" s="99"/>
      <c r="F1" s="100"/>
      <c r="G1" s="100"/>
      <c r="H1" s="99"/>
      <c r="I1" s="100"/>
      <c r="J1" s="100"/>
      <c r="K1" s="100"/>
      <c r="L1" s="100"/>
      <c r="M1" s="100"/>
    </row>
    <row r="2" spans="1:13" ht="12">
      <c r="A2" s="97" t="s">
        <v>125</v>
      </c>
      <c r="B2" s="101"/>
    </row>
    <row r="3" spans="1:13" ht="16.899999999999999" customHeight="1">
      <c r="A3" s="102" t="s">
        <v>14</v>
      </c>
      <c r="B3" s="102" t="s">
        <v>126</v>
      </c>
      <c r="C3" s="180" t="s">
        <v>127</v>
      </c>
      <c r="D3" s="180"/>
      <c r="E3" s="180"/>
      <c r="F3" s="104"/>
      <c r="G3" s="105"/>
      <c r="H3" s="106"/>
      <c r="I3" s="106"/>
      <c r="J3" s="106" t="s">
        <v>128</v>
      </c>
      <c r="K3" s="106"/>
      <c r="L3" s="106"/>
      <c r="M3" s="127"/>
    </row>
    <row r="4" spans="1:13" ht="16.149999999999999" customHeight="1">
      <c r="A4" s="107"/>
      <c r="B4" s="107" t="s">
        <v>129</v>
      </c>
      <c r="C4" s="103">
        <v>2017</v>
      </c>
      <c r="D4" s="103">
        <f t="shared" ref="D4:L4" si="0">C4+1</f>
        <v>2018</v>
      </c>
      <c r="E4" s="103">
        <f t="shared" si="0"/>
        <v>2019</v>
      </c>
      <c r="F4" s="103">
        <f t="shared" si="0"/>
        <v>2020</v>
      </c>
      <c r="G4" s="103">
        <f t="shared" si="0"/>
        <v>2021</v>
      </c>
      <c r="H4" s="108">
        <f t="shared" si="0"/>
        <v>2022</v>
      </c>
      <c r="I4" s="108">
        <f t="shared" si="0"/>
        <v>2023</v>
      </c>
      <c r="J4" s="108">
        <f t="shared" si="0"/>
        <v>2024</v>
      </c>
      <c r="K4" s="108">
        <f t="shared" si="0"/>
        <v>2025</v>
      </c>
      <c r="L4" s="108">
        <f t="shared" si="0"/>
        <v>2026</v>
      </c>
      <c r="M4" s="128" t="s">
        <v>130</v>
      </c>
    </row>
    <row r="5" spans="1:13" ht="15.6" customHeight="1">
      <c r="A5" s="109">
        <v>1</v>
      </c>
      <c r="B5" s="110" t="s">
        <v>131</v>
      </c>
      <c r="C5" s="111">
        <f>SUM(C6:C9)</f>
        <v>0</v>
      </c>
      <c r="D5" s="111">
        <f t="shared" ref="D5:L5" si="1">SUM(D6:D9)</f>
        <v>0</v>
      </c>
      <c r="E5" s="111" t="e">
        <f t="shared" si="1"/>
        <v>#REF!</v>
      </c>
      <c r="F5" s="111">
        <f t="shared" si="1"/>
        <v>1481760</v>
      </c>
      <c r="G5" s="111">
        <f t="shared" si="1"/>
        <v>1411200</v>
      </c>
      <c r="H5" s="111">
        <f t="shared" si="1"/>
        <v>1411200</v>
      </c>
      <c r="I5" s="111" t="e">
        <f t="shared" si="1"/>
        <v>#REF!</v>
      </c>
      <c r="J5" s="111" t="e">
        <f t="shared" si="1"/>
        <v>#REF!</v>
      </c>
      <c r="K5" s="111" t="e">
        <f t="shared" si="1"/>
        <v>#REF!</v>
      </c>
      <c r="L5" s="111">
        <f t="shared" si="1"/>
        <v>4304160</v>
      </c>
      <c r="M5" s="115" t="e">
        <f t="shared" ref="M5:M17" si="2">SUM(C5:L5)</f>
        <v>#REF!</v>
      </c>
    </row>
    <row r="6" spans="1:13" ht="15.6" customHeight="1">
      <c r="A6" s="109">
        <v>1.1000000000000001</v>
      </c>
      <c r="B6" s="112" t="s">
        <v>132</v>
      </c>
      <c r="C6" s="113"/>
      <c r="D6" s="113"/>
      <c r="E6" s="113" t="e">
        <f>损益表!#REF!</f>
        <v>#REF!</v>
      </c>
      <c r="F6" s="113">
        <f>损益表!C4</f>
        <v>1481760</v>
      </c>
      <c r="G6" s="113">
        <f>损益表!D4</f>
        <v>1411200</v>
      </c>
      <c r="H6" s="113">
        <f>损益表!E4</f>
        <v>1411200</v>
      </c>
      <c r="I6" s="113" t="e">
        <f>损益表!#REF!</f>
        <v>#REF!</v>
      </c>
      <c r="J6" s="113" t="e">
        <f>损益表!#REF!</f>
        <v>#REF!</v>
      </c>
      <c r="K6" s="113" t="e">
        <f>损益表!#REF!</f>
        <v>#REF!</v>
      </c>
      <c r="L6" s="113">
        <f>损益表!H4</f>
        <v>4304160</v>
      </c>
      <c r="M6" s="115" t="e">
        <f t="shared" si="2"/>
        <v>#REF!</v>
      </c>
    </row>
    <row r="7" spans="1:13" ht="15.6" customHeight="1">
      <c r="A7" s="109">
        <v>1.2</v>
      </c>
      <c r="B7" s="112" t="s">
        <v>133</v>
      </c>
      <c r="C7" s="113"/>
      <c r="D7" s="113"/>
      <c r="E7" s="113">
        <f>[1]折、摊!G18</f>
        <v>0</v>
      </c>
      <c r="F7" s="113">
        <f>[1]折、摊!H18</f>
        <v>0</v>
      </c>
      <c r="G7" s="113">
        <f>[1]折、摊!I18</f>
        <v>0</v>
      </c>
      <c r="H7" s="113">
        <f>[1]折、摊!J18</f>
        <v>0</v>
      </c>
      <c r="I7" s="113">
        <f>[1]折、摊!K18</f>
        <v>0</v>
      </c>
      <c r="J7" s="113">
        <f>[1]折、摊!L18</f>
        <v>0</v>
      </c>
      <c r="K7" s="113">
        <f>[1]折、摊!M18</f>
        <v>0</v>
      </c>
      <c r="L7" s="113">
        <f>[1]折、摊!N18</f>
        <v>0</v>
      </c>
      <c r="M7" s="115">
        <f t="shared" si="2"/>
        <v>0</v>
      </c>
    </row>
    <row r="8" spans="1:13" ht="15.6" customHeight="1">
      <c r="A8" s="109">
        <v>1.3</v>
      </c>
      <c r="B8" s="112" t="s">
        <v>134</v>
      </c>
      <c r="C8" s="113" t="s">
        <v>135</v>
      </c>
      <c r="D8" s="113" t="s">
        <v>135</v>
      </c>
      <c r="E8" s="113" t="s">
        <v>135</v>
      </c>
      <c r="F8" s="113" t="s">
        <v>135</v>
      </c>
      <c r="G8" s="113" t="s">
        <v>135</v>
      </c>
      <c r="H8" s="113" t="s">
        <v>135</v>
      </c>
      <c r="I8" s="113" t="s">
        <v>135</v>
      </c>
      <c r="J8" s="113" t="s">
        <v>135</v>
      </c>
      <c r="K8" s="113" t="s">
        <v>135</v>
      </c>
      <c r="L8" s="113"/>
      <c r="M8" s="115">
        <f t="shared" si="2"/>
        <v>0</v>
      </c>
    </row>
    <row r="9" spans="1:13" s="96" customFormat="1" ht="15.6" customHeight="1">
      <c r="A9" s="114">
        <v>1.4</v>
      </c>
      <c r="B9" s="115" t="s">
        <v>136</v>
      </c>
      <c r="C9" s="113" t="s">
        <v>135</v>
      </c>
      <c r="D9" s="113" t="s">
        <v>135</v>
      </c>
      <c r="E9" s="113" t="s">
        <v>135</v>
      </c>
      <c r="F9" s="113" t="s">
        <v>135</v>
      </c>
      <c r="G9" s="113" t="s">
        <v>135</v>
      </c>
      <c r="H9" s="113" t="s">
        <v>135</v>
      </c>
      <c r="I9" s="113" t="s">
        <v>135</v>
      </c>
      <c r="J9" s="113" t="s">
        <v>135</v>
      </c>
      <c r="K9" s="113" t="s">
        <v>135</v>
      </c>
      <c r="L9" s="113" t="s">
        <v>135</v>
      </c>
      <c r="M9" s="115">
        <f t="shared" si="2"/>
        <v>0</v>
      </c>
    </row>
    <row r="10" spans="1:13" ht="15.6" customHeight="1">
      <c r="A10" s="114">
        <v>2</v>
      </c>
      <c r="B10" s="110" t="s">
        <v>137</v>
      </c>
      <c r="C10" s="111">
        <f t="shared" ref="C10:L10" si="3">SUM(C11:C16)</f>
        <v>0</v>
      </c>
      <c r="D10" s="111">
        <f t="shared" si="3"/>
        <v>0</v>
      </c>
      <c r="E10" s="111">
        <f t="shared" si="3"/>
        <v>0</v>
      </c>
      <c r="F10" s="111">
        <f t="shared" si="3"/>
        <v>0</v>
      </c>
      <c r="G10" s="111">
        <f t="shared" si="3"/>
        <v>0</v>
      </c>
      <c r="H10" s="111">
        <f t="shared" si="3"/>
        <v>0</v>
      </c>
      <c r="I10" s="111">
        <f t="shared" si="3"/>
        <v>0</v>
      </c>
      <c r="J10" s="111">
        <f t="shared" si="3"/>
        <v>0</v>
      </c>
      <c r="K10" s="111">
        <f t="shared" si="3"/>
        <v>0</v>
      </c>
      <c r="L10" s="111">
        <f t="shared" si="3"/>
        <v>0</v>
      </c>
      <c r="M10" s="115">
        <f t="shared" si="2"/>
        <v>0</v>
      </c>
    </row>
    <row r="11" spans="1:13" ht="15" customHeight="1">
      <c r="A11" s="109">
        <v>2.1</v>
      </c>
      <c r="B11" s="109" t="s">
        <v>138</v>
      </c>
      <c r="C11" s="113">
        <f>([1]计划!C6-[1]计划!C7)</f>
        <v>0</v>
      </c>
      <c r="D11" s="113">
        <f>([1]计划!D6-[1]计划!D7)</f>
        <v>0</v>
      </c>
      <c r="E11" s="113">
        <f>([1]计划!E6-[1]计划!E7)</f>
        <v>0</v>
      </c>
      <c r="F11" s="113">
        <f>([1]计划!F6-[1]计划!F7)</f>
        <v>0</v>
      </c>
      <c r="G11" s="113">
        <f>([1]计划!G6-[1]计划!G7)</f>
        <v>0</v>
      </c>
      <c r="H11" s="113">
        <f>([1]计划!H6-[1]计划!H7)</f>
        <v>0</v>
      </c>
      <c r="I11" s="113">
        <f>([1]计划!I6-[1]计划!I7)</f>
        <v>0</v>
      </c>
      <c r="J11" s="113">
        <f>([1]计划!J6-[1]计划!J7)</f>
        <v>0</v>
      </c>
      <c r="K11" s="113">
        <f>([1]计划!K6-[1]计划!K7)</f>
        <v>0</v>
      </c>
      <c r="L11" s="113">
        <f>([1]计划!L6-[1]计划!L7)</f>
        <v>0</v>
      </c>
      <c r="M11" s="115">
        <f t="shared" si="2"/>
        <v>0</v>
      </c>
    </row>
    <row r="12" spans="1:13" s="96" customFormat="1" ht="15" customHeight="1">
      <c r="A12" s="109">
        <v>2.2000000000000002</v>
      </c>
      <c r="B12" s="115" t="s">
        <v>139</v>
      </c>
      <c r="C12" s="113">
        <f>[1]计划!C8</f>
        <v>0</v>
      </c>
      <c r="D12" s="113">
        <f>[1]计划!D8</f>
        <v>0</v>
      </c>
      <c r="E12" s="113">
        <f>[1]计划!E8</f>
        <v>0</v>
      </c>
      <c r="F12" s="113">
        <f>[1]计划!F8</f>
        <v>0</v>
      </c>
      <c r="G12" s="113">
        <f>[1]计划!G8</f>
        <v>0</v>
      </c>
      <c r="H12" s="113">
        <f>[1]计划!H8</f>
        <v>0</v>
      </c>
      <c r="I12" s="113">
        <f>[1]计划!I8</f>
        <v>0</v>
      </c>
      <c r="J12" s="113">
        <f>[1]计划!J8</f>
        <v>0</v>
      </c>
      <c r="K12" s="113">
        <f>[1]计划!K8</f>
        <v>0</v>
      </c>
      <c r="L12" s="113">
        <f>[1]计划!L8</f>
        <v>0</v>
      </c>
      <c r="M12" s="115">
        <f t="shared" si="2"/>
        <v>0</v>
      </c>
    </row>
    <row r="13" spans="1:13" ht="15" customHeight="1">
      <c r="A13" s="109">
        <v>2.2999999999999998</v>
      </c>
      <c r="B13" s="112" t="s">
        <v>140</v>
      </c>
      <c r="C13" s="113">
        <f>[1]总成本!C22</f>
        <v>0</v>
      </c>
      <c r="D13" s="113">
        <f>[1]总成本!D22</f>
        <v>0</v>
      </c>
      <c r="E13" s="113">
        <f>[1]总成本!E22</f>
        <v>0</v>
      </c>
      <c r="F13" s="113">
        <f>[1]总成本!F22</f>
        <v>0</v>
      </c>
      <c r="G13" s="113">
        <f>[1]总成本!G22</f>
        <v>0</v>
      </c>
      <c r="H13" s="113">
        <f>[1]总成本!H22</f>
        <v>0</v>
      </c>
      <c r="I13" s="113">
        <f>[1]总成本!I22</f>
        <v>0</v>
      </c>
      <c r="J13" s="113">
        <f>[1]总成本!J22</f>
        <v>0</v>
      </c>
      <c r="K13" s="113">
        <f>[1]总成本!K22</f>
        <v>0</v>
      </c>
      <c r="L13" s="113">
        <f>[1]总成本!L22</f>
        <v>0</v>
      </c>
      <c r="M13" s="115">
        <f t="shared" si="2"/>
        <v>0</v>
      </c>
    </row>
    <row r="14" spans="1:13" ht="15" customHeight="1">
      <c r="A14" s="109">
        <v>2.4</v>
      </c>
      <c r="B14" s="112" t="s">
        <v>141</v>
      </c>
      <c r="C14" s="113">
        <f>[1]价格!D15</f>
        <v>0</v>
      </c>
      <c r="D14" s="113">
        <f>[1]价格!E15</f>
        <v>0</v>
      </c>
      <c r="E14" s="113">
        <f>[1]价格!F15</f>
        <v>0</v>
      </c>
      <c r="F14" s="113">
        <f>[1]价格!G15</f>
        <v>0</v>
      </c>
      <c r="G14" s="113">
        <f>[1]价格!H15</f>
        <v>0</v>
      </c>
      <c r="H14" s="113">
        <f>[1]价格!I15</f>
        <v>0</v>
      </c>
      <c r="I14" s="113">
        <f>[1]价格!J15</f>
        <v>0</v>
      </c>
      <c r="J14" s="113">
        <f>[1]价格!K15</f>
        <v>0</v>
      </c>
      <c r="K14" s="113">
        <f>[1]价格!L15</f>
        <v>0</v>
      </c>
      <c r="L14" s="113">
        <f>[1]价格!M15</f>
        <v>0</v>
      </c>
      <c r="M14" s="115">
        <f t="shared" si="2"/>
        <v>0</v>
      </c>
    </row>
    <row r="15" spans="1:13" ht="15" customHeight="1">
      <c r="A15" s="109">
        <v>2.5</v>
      </c>
      <c r="B15" s="112" t="s">
        <v>59</v>
      </c>
      <c r="C15" s="113">
        <f>[1]利润!C13</f>
        <v>0</v>
      </c>
      <c r="D15" s="113">
        <f>[1]利润!D13</f>
        <v>0</v>
      </c>
      <c r="E15" s="113">
        <f>[1]利润!E13</f>
        <v>0</v>
      </c>
      <c r="F15" s="113">
        <f>[1]利润!F13</f>
        <v>0</v>
      </c>
      <c r="G15" s="113">
        <f>[1]利润!G13</f>
        <v>0</v>
      </c>
      <c r="H15" s="113">
        <f>[1]利润!H13</f>
        <v>0</v>
      </c>
      <c r="I15" s="113">
        <f>[1]利润!I13</f>
        <v>0</v>
      </c>
      <c r="J15" s="113">
        <f>[1]利润!J13</f>
        <v>0</v>
      </c>
      <c r="K15" s="113">
        <f>[1]利润!K13</f>
        <v>0</v>
      </c>
      <c r="L15" s="113">
        <f>[1]利润!L13</f>
        <v>0</v>
      </c>
      <c r="M15" s="115">
        <f t="shared" si="2"/>
        <v>0</v>
      </c>
    </row>
    <row r="16" spans="1:13" ht="15" customHeight="1">
      <c r="A16" s="109">
        <v>2.6</v>
      </c>
      <c r="B16" s="112" t="s">
        <v>142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5">
        <f t="shared" si="2"/>
        <v>0</v>
      </c>
    </row>
    <row r="17" spans="1:18" ht="12">
      <c r="A17" s="109">
        <v>3</v>
      </c>
      <c r="B17" s="110" t="s">
        <v>143</v>
      </c>
      <c r="C17" s="111">
        <f t="shared" ref="C17:L17" si="4">C5-C10</f>
        <v>0</v>
      </c>
      <c r="D17" s="111">
        <f t="shared" si="4"/>
        <v>0</v>
      </c>
      <c r="E17" s="111" t="e">
        <f t="shared" si="4"/>
        <v>#REF!</v>
      </c>
      <c r="F17" s="111">
        <f t="shared" si="4"/>
        <v>1481760</v>
      </c>
      <c r="G17" s="111">
        <f t="shared" si="4"/>
        <v>1411200</v>
      </c>
      <c r="H17" s="111">
        <f t="shared" si="4"/>
        <v>1411200</v>
      </c>
      <c r="I17" s="111" t="e">
        <f t="shared" si="4"/>
        <v>#REF!</v>
      </c>
      <c r="J17" s="111" t="e">
        <f t="shared" si="4"/>
        <v>#REF!</v>
      </c>
      <c r="K17" s="111" t="e">
        <f t="shared" si="4"/>
        <v>#REF!</v>
      </c>
      <c r="L17" s="111">
        <f t="shared" si="4"/>
        <v>4304160</v>
      </c>
      <c r="M17" s="115" t="e">
        <f t="shared" si="2"/>
        <v>#REF!</v>
      </c>
    </row>
    <row r="18" spans="1:18" ht="12">
      <c r="A18" s="116">
        <v>4</v>
      </c>
      <c r="B18" s="112" t="s">
        <v>144</v>
      </c>
      <c r="C18" s="113">
        <f>C17</f>
        <v>0</v>
      </c>
      <c r="D18" s="113">
        <f t="shared" ref="D18:L18" si="5">C18+D17</f>
        <v>0</v>
      </c>
      <c r="E18" s="113" t="e">
        <f t="shared" si="5"/>
        <v>#REF!</v>
      </c>
      <c r="F18" s="113" t="e">
        <f t="shared" si="5"/>
        <v>#REF!</v>
      </c>
      <c r="G18" s="113" t="e">
        <f t="shared" si="5"/>
        <v>#REF!</v>
      </c>
      <c r="H18" s="113" t="e">
        <f t="shared" si="5"/>
        <v>#REF!</v>
      </c>
      <c r="I18" s="113" t="e">
        <f t="shared" si="5"/>
        <v>#REF!</v>
      </c>
      <c r="J18" s="113" t="e">
        <f t="shared" si="5"/>
        <v>#REF!</v>
      </c>
      <c r="K18" s="113" t="e">
        <f t="shared" si="5"/>
        <v>#REF!</v>
      </c>
      <c r="L18" s="113" t="e">
        <f t="shared" si="5"/>
        <v>#REF!</v>
      </c>
      <c r="M18" s="112" t="s">
        <v>135</v>
      </c>
    </row>
    <row r="19" spans="1:18" s="96" customFormat="1" ht="12">
      <c r="A19" s="116">
        <v>5</v>
      </c>
      <c r="B19" s="112" t="s">
        <v>145</v>
      </c>
      <c r="C19" s="113">
        <f t="shared" ref="C19:L19" si="6">C17+C15</f>
        <v>0</v>
      </c>
      <c r="D19" s="113">
        <f t="shared" si="6"/>
        <v>0</v>
      </c>
      <c r="E19" s="113" t="e">
        <f t="shared" si="6"/>
        <v>#REF!</v>
      </c>
      <c r="F19" s="113">
        <f t="shared" si="6"/>
        <v>1481760</v>
      </c>
      <c r="G19" s="113">
        <f t="shared" si="6"/>
        <v>1411200</v>
      </c>
      <c r="H19" s="113">
        <f t="shared" si="6"/>
        <v>1411200</v>
      </c>
      <c r="I19" s="113" t="e">
        <f t="shared" si="6"/>
        <v>#REF!</v>
      </c>
      <c r="J19" s="113" t="e">
        <f t="shared" si="6"/>
        <v>#REF!</v>
      </c>
      <c r="K19" s="113" t="e">
        <f t="shared" si="6"/>
        <v>#REF!</v>
      </c>
      <c r="L19" s="113">
        <f t="shared" si="6"/>
        <v>4304160</v>
      </c>
      <c r="M19" s="115" t="e">
        <f>SUM(C19:L19)</f>
        <v>#REF!</v>
      </c>
    </row>
    <row r="20" spans="1:18" s="96" customFormat="1" ht="12">
      <c r="A20" s="109">
        <v>6</v>
      </c>
      <c r="B20" s="112" t="s">
        <v>146</v>
      </c>
      <c r="C20" s="113">
        <f>C19</f>
        <v>0</v>
      </c>
      <c r="D20" s="113">
        <f t="shared" ref="D20:L20" si="7">C20+D19</f>
        <v>0</v>
      </c>
      <c r="E20" s="113" t="e">
        <f t="shared" si="7"/>
        <v>#REF!</v>
      </c>
      <c r="F20" s="113" t="e">
        <f t="shared" si="7"/>
        <v>#REF!</v>
      </c>
      <c r="G20" s="113" t="e">
        <f t="shared" si="7"/>
        <v>#REF!</v>
      </c>
      <c r="H20" s="113" t="e">
        <f t="shared" si="7"/>
        <v>#REF!</v>
      </c>
      <c r="I20" s="113" t="e">
        <f t="shared" si="7"/>
        <v>#REF!</v>
      </c>
      <c r="J20" s="113" t="e">
        <f t="shared" si="7"/>
        <v>#REF!</v>
      </c>
      <c r="K20" s="113" t="e">
        <f t="shared" si="7"/>
        <v>#REF!</v>
      </c>
      <c r="L20" s="113" t="e">
        <f t="shared" si="7"/>
        <v>#REF!</v>
      </c>
      <c r="M20" s="112" t="s">
        <v>135</v>
      </c>
    </row>
    <row r="21" spans="1:18" ht="12">
      <c r="A21" s="117"/>
      <c r="B21" s="118" t="s">
        <v>147</v>
      </c>
      <c r="C21" s="118"/>
      <c r="D21" s="118"/>
      <c r="E21" s="118" t="s">
        <v>148</v>
      </c>
      <c r="F21" s="118"/>
      <c r="G21" s="118"/>
      <c r="H21" s="118"/>
      <c r="I21" s="118" t="s">
        <v>149</v>
      </c>
      <c r="J21" s="118"/>
      <c r="K21" s="118"/>
      <c r="L21" s="118"/>
      <c r="M21" s="129"/>
    </row>
    <row r="22" spans="1:18" ht="12">
      <c r="A22" s="119"/>
      <c r="B22" s="120" t="s">
        <v>150</v>
      </c>
      <c r="C22" s="120"/>
      <c r="D22" s="121" t="s">
        <v>151</v>
      </c>
      <c r="E22" s="122" t="e">
        <f>IRR(C17:L17,0.15)</f>
        <v>#VALUE!</v>
      </c>
      <c r="F22" s="120"/>
      <c r="G22" s="120"/>
      <c r="H22" s="120"/>
      <c r="I22" s="122" t="e">
        <f>IRR(C19:L19,0.15)</f>
        <v>#VALUE!</v>
      </c>
      <c r="J22" s="120"/>
      <c r="K22" s="120"/>
      <c r="L22" s="120"/>
      <c r="M22" s="130"/>
    </row>
    <row r="23" spans="1:18" ht="12">
      <c r="A23" s="119"/>
      <c r="B23" s="120" t="s">
        <v>152</v>
      </c>
      <c r="C23" s="120"/>
      <c r="D23" s="120"/>
      <c r="E23" s="123" t="e">
        <f>NPV(0.12,C17:L17)</f>
        <v>#REF!</v>
      </c>
      <c r="F23" s="120"/>
      <c r="G23" s="120"/>
      <c r="H23" s="120"/>
      <c r="I23" s="123" t="e">
        <f>NPV(0.12,C19:L19)</f>
        <v>#REF!</v>
      </c>
      <c r="J23" s="120"/>
      <c r="K23" s="120"/>
      <c r="L23" s="120"/>
      <c r="M23" s="130"/>
      <c r="R23" s="97">
        <f>30.9-29.82</f>
        <v>1.0799999999999983</v>
      </c>
    </row>
    <row r="24" spans="1:18" ht="12">
      <c r="A24" s="124"/>
      <c r="B24" s="125" t="s">
        <v>153</v>
      </c>
      <c r="C24" s="125"/>
      <c r="D24" s="125"/>
      <c r="E24" s="126" t="e">
        <f>6-H18/I17</f>
        <v>#REF!</v>
      </c>
      <c r="F24" s="125"/>
      <c r="G24" s="125"/>
      <c r="H24" s="125"/>
      <c r="I24" s="126" t="e">
        <f>6-H20/I19</f>
        <v>#REF!</v>
      </c>
      <c r="J24" s="125"/>
      <c r="K24" s="125"/>
      <c r="L24" s="125"/>
      <c r="M24" s="131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44" activePane="bottomRight" state="frozen"/>
      <selection pane="topRight"/>
      <selection pane="bottomLeft"/>
      <selection pane="bottomRight" activeCell="D44" sqref="D44"/>
    </sheetView>
  </sheetViews>
  <sheetFormatPr defaultColWidth="9" defaultRowHeight="16.5"/>
  <cols>
    <col min="1" max="1" width="5.125" style="73" customWidth="1"/>
    <col min="2" max="2" width="17.5" style="73" customWidth="1"/>
    <col min="3" max="3" width="13.25" style="74" customWidth="1"/>
    <col min="4" max="7" width="15.5" style="74" customWidth="1"/>
    <col min="8" max="8" width="18.75" style="74" customWidth="1"/>
    <col min="9" max="9" width="12.375" style="73" customWidth="1"/>
    <col min="10" max="10" width="10.125" style="73" customWidth="1"/>
    <col min="11" max="17" width="9" style="73" customWidth="1"/>
    <col min="18" max="34" width="9" style="73"/>
    <col min="35" max="35" width="4.375" style="73" customWidth="1"/>
    <col min="36" max="36" width="13.875" style="73" customWidth="1"/>
    <col min="37" max="16384" width="9" style="73"/>
  </cols>
  <sheetData>
    <row r="1" spans="1:37">
      <c r="A1" s="181" t="s">
        <v>154</v>
      </c>
      <c r="B1" s="181"/>
      <c r="C1" s="182" t="s">
        <v>155</v>
      </c>
      <c r="D1" s="183"/>
      <c r="E1" s="183"/>
      <c r="F1" s="183"/>
      <c r="G1" s="183"/>
      <c r="H1" s="184"/>
    </row>
    <row r="2" spans="1:37">
      <c r="A2" s="181" t="s">
        <v>156</v>
      </c>
      <c r="B2" s="181"/>
      <c r="C2" s="185" t="s">
        <v>157</v>
      </c>
      <c r="D2" s="185"/>
      <c r="E2" s="185"/>
      <c r="F2" s="185"/>
      <c r="G2" s="185"/>
      <c r="H2" s="185"/>
    </row>
    <row r="3" spans="1:37">
      <c r="A3" s="181" t="s">
        <v>158</v>
      </c>
      <c r="B3" s="181"/>
      <c r="C3" s="24" t="s">
        <v>159</v>
      </c>
      <c r="D3" s="24"/>
      <c r="E3" s="76"/>
      <c r="F3" s="76"/>
      <c r="G3" s="76"/>
      <c r="H3" s="186" t="s">
        <v>20</v>
      </c>
    </row>
    <row r="4" spans="1:37" ht="33">
      <c r="A4" s="181" t="s">
        <v>160</v>
      </c>
      <c r="B4" s="181"/>
      <c r="C4" s="27" t="s">
        <v>161</v>
      </c>
      <c r="D4" s="27"/>
      <c r="E4" s="76"/>
      <c r="F4" s="76"/>
      <c r="G4" s="76"/>
      <c r="H4" s="187"/>
    </row>
    <row r="5" spans="1:37">
      <c r="A5" s="181" t="s">
        <v>162</v>
      </c>
      <c r="B5" s="181"/>
      <c r="C5" s="77" t="s">
        <v>163</v>
      </c>
      <c r="D5" s="77"/>
      <c r="E5" s="77"/>
      <c r="F5" s="77"/>
      <c r="G5" s="77"/>
      <c r="H5" s="188"/>
      <c r="AK5" s="73" t="s">
        <v>21</v>
      </c>
    </row>
    <row r="6" spans="1:37" ht="17.25">
      <c r="A6" s="78" t="s">
        <v>14</v>
      </c>
      <c r="B6" s="79" t="s">
        <v>164</v>
      </c>
      <c r="C6" s="43">
        <f>销量!C9</f>
        <v>1260</v>
      </c>
      <c r="D6" s="43">
        <f>销量!D9</f>
        <v>0</v>
      </c>
      <c r="E6" s="43">
        <f>销量!E9</f>
        <v>0</v>
      </c>
      <c r="F6" s="43">
        <f>销量!F9</f>
        <v>0</v>
      </c>
      <c r="G6" s="43">
        <f>销量!G9</f>
        <v>0</v>
      </c>
      <c r="H6" s="80">
        <f t="shared" ref="H6:H15" si="0">+SUM(C6:G6)</f>
        <v>1260</v>
      </c>
      <c r="S6" s="79" t="s">
        <v>3</v>
      </c>
      <c r="AI6" s="78" t="s">
        <v>14</v>
      </c>
      <c r="AJ6" s="79" t="s">
        <v>3</v>
      </c>
      <c r="AK6" s="73" t="s">
        <v>22</v>
      </c>
    </row>
    <row r="7" spans="1:37">
      <c r="A7" s="75">
        <v>1</v>
      </c>
      <c r="B7" s="79" t="s">
        <v>23</v>
      </c>
      <c r="C7" s="80">
        <f>C6*销量!C8</f>
        <v>1481760</v>
      </c>
      <c r="D7" s="80">
        <f>D6*销量!D8</f>
        <v>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si="0"/>
        <v>1481760</v>
      </c>
      <c r="I7" s="74"/>
      <c r="S7" s="79" t="s">
        <v>23</v>
      </c>
      <c r="AI7" s="78" t="s">
        <v>24</v>
      </c>
      <c r="AJ7" s="79" t="s">
        <v>23</v>
      </c>
      <c r="AK7" s="73" t="s">
        <v>22</v>
      </c>
    </row>
    <row r="8" spans="1:37">
      <c r="A8" s="75">
        <v>2</v>
      </c>
      <c r="B8" s="75" t="s">
        <v>25</v>
      </c>
      <c r="C8" s="80"/>
      <c r="D8" s="80"/>
      <c r="E8" s="80"/>
      <c r="F8" s="80"/>
      <c r="G8" s="80"/>
      <c r="H8" s="80">
        <f t="shared" si="0"/>
        <v>0</v>
      </c>
      <c r="I8" s="93"/>
      <c r="S8" s="75" t="s">
        <v>27</v>
      </c>
      <c r="AI8" s="78" t="s">
        <v>26</v>
      </c>
      <c r="AJ8" s="75" t="s">
        <v>27</v>
      </c>
      <c r="AK8" s="73" t="s">
        <v>22</v>
      </c>
    </row>
    <row r="9" spans="1:37">
      <c r="A9" s="75">
        <v>3</v>
      </c>
      <c r="B9" s="79" t="s">
        <v>28</v>
      </c>
      <c r="C9" s="80">
        <f>+C7-C8</f>
        <v>1481760</v>
      </c>
      <c r="D9" s="80">
        <f t="shared" ref="D9:G9" si="1">+D7-D8</f>
        <v>0</v>
      </c>
      <c r="E9" s="80">
        <f t="shared" si="1"/>
        <v>0</v>
      </c>
      <c r="F9" s="80">
        <f t="shared" si="1"/>
        <v>0</v>
      </c>
      <c r="G9" s="80">
        <f t="shared" si="1"/>
        <v>0</v>
      </c>
      <c r="H9" s="80">
        <f t="shared" si="0"/>
        <v>1481760</v>
      </c>
      <c r="S9" s="79" t="s">
        <v>28</v>
      </c>
      <c r="AI9" s="78" t="s">
        <v>29</v>
      </c>
      <c r="AJ9" s="79" t="s">
        <v>28</v>
      </c>
      <c r="AK9" s="73" t="s">
        <v>30</v>
      </c>
    </row>
    <row r="10" spans="1:37">
      <c r="A10" s="75">
        <v>4</v>
      </c>
      <c r="B10" s="78" t="s">
        <v>31</v>
      </c>
      <c r="C10" s="80">
        <f>C6*材料成本!D24</f>
        <v>792668.52000000025</v>
      </c>
      <c r="D10" s="80">
        <f>D6*材料成本!E24</f>
        <v>0</v>
      </c>
      <c r="E10" s="80">
        <f>E6*材料成本!F24</f>
        <v>0</v>
      </c>
      <c r="F10" s="80">
        <f>F6*材料成本!G24</f>
        <v>0</v>
      </c>
      <c r="G10" s="80">
        <f>G6*材料成本!H24</f>
        <v>0</v>
      </c>
      <c r="H10" s="80">
        <f t="shared" si="0"/>
        <v>792668.52000000025</v>
      </c>
      <c r="S10" s="78" t="s">
        <v>31</v>
      </c>
      <c r="AI10" s="78" t="s">
        <v>32</v>
      </c>
      <c r="AJ10" s="78" t="s">
        <v>31</v>
      </c>
      <c r="AK10" s="73" t="s">
        <v>33</v>
      </c>
    </row>
    <row r="11" spans="1:37">
      <c r="A11" s="75">
        <v>5</v>
      </c>
      <c r="B11" s="78" t="s">
        <v>34</v>
      </c>
      <c r="C11" s="80">
        <f>+C6*C36</f>
        <v>74247.16320000001</v>
      </c>
      <c r="D11" s="80">
        <f>+D6*D36</f>
        <v>0</v>
      </c>
      <c r="E11" s="80">
        <f>+E6*E36</f>
        <v>0</v>
      </c>
      <c r="F11" s="80">
        <f>+F6*F36</f>
        <v>0</v>
      </c>
      <c r="G11" s="80">
        <f>+G6*G36</f>
        <v>0</v>
      </c>
      <c r="H11" s="80">
        <f t="shared" si="0"/>
        <v>74247.16320000001</v>
      </c>
      <c r="S11" s="78" t="s">
        <v>34</v>
      </c>
      <c r="AI11" s="78" t="s">
        <v>35</v>
      </c>
      <c r="AJ11" s="78" t="s">
        <v>34</v>
      </c>
    </row>
    <row r="12" spans="1:37">
      <c r="A12" s="75">
        <v>6</v>
      </c>
      <c r="B12" s="78" t="s">
        <v>36</v>
      </c>
      <c r="C12" s="80">
        <f>+C6*C37</f>
        <v>37381.982400000001</v>
      </c>
      <c r="D12" s="80">
        <f>+D6*D37</f>
        <v>0</v>
      </c>
      <c r="E12" s="80">
        <f>+E6*E37</f>
        <v>0</v>
      </c>
      <c r="F12" s="80">
        <f>+F6*F37</f>
        <v>0</v>
      </c>
      <c r="G12" s="80">
        <f>+G6*G37</f>
        <v>0</v>
      </c>
      <c r="H12" s="80">
        <f t="shared" si="0"/>
        <v>37381.982400000001</v>
      </c>
      <c r="S12" s="78" t="s">
        <v>36</v>
      </c>
      <c r="AI12" s="78" t="s">
        <v>37</v>
      </c>
      <c r="AJ12" s="78" t="s">
        <v>36</v>
      </c>
    </row>
    <row r="13" spans="1:37">
      <c r="A13" s="75">
        <v>7</v>
      </c>
      <c r="B13" s="78" t="s">
        <v>38</v>
      </c>
      <c r="C13" s="80">
        <f>+C6*C38</f>
        <v>75797.567999999999</v>
      </c>
      <c r="D13" s="80">
        <f t="shared" ref="D13:G13" si="2">+D6*D38</f>
        <v>0</v>
      </c>
      <c r="E13" s="80">
        <f t="shared" si="2"/>
        <v>0</v>
      </c>
      <c r="F13" s="80">
        <f t="shared" si="2"/>
        <v>0</v>
      </c>
      <c r="G13" s="80">
        <f t="shared" si="2"/>
        <v>0</v>
      </c>
      <c r="H13" s="80">
        <f t="shared" si="0"/>
        <v>75797.567999999999</v>
      </c>
      <c r="S13" s="78" t="s">
        <v>38</v>
      </c>
      <c r="AI13" s="78" t="s">
        <v>39</v>
      </c>
      <c r="AJ13" s="78" t="s">
        <v>38</v>
      </c>
      <c r="AK13" s="73" t="s">
        <v>22</v>
      </c>
    </row>
    <row r="14" spans="1:37">
      <c r="A14" s="75">
        <v>8</v>
      </c>
      <c r="B14" s="81" t="s">
        <v>40</v>
      </c>
      <c r="C14" s="80">
        <f>SUM(C11:C13)</f>
        <v>187426.71360000002</v>
      </c>
      <c r="D14" s="80">
        <f t="shared" ref="D14:G14" si="3">SUM(D11:D13)</f>
        <v>0</v>
      </c>
      <c r="E14" s="80">
        <f t="shared" si="3"/>
        <v>0</v>
      </c>
      <c r="F14" s="80">
        <f t="shared" si="3"/>
        <v>0</v>
      </c>
      <c r="G14" s="80">
        <f t="shared" si="3"/>
        <v>0</v>
      </c>
      <c r="H14" s="80">
        <f t="shared" si="0"/>
        <v>187426.71360000002</v>
      </c>
      <c r="S14" s="81" t="s">
        <v>40</v>
      </c>
      <c r="AI14" s="78" t="s">
        <v>41</v>
      </c>
      <c r="AJ14" s="81" t="s">
        <v>40</v>
      </c>
    </row>
    <row r="15" spans="1:37">
      <c r="A15" s="75">
        <v>9</v>
      </c>
      <c r="B15" s="81" t="s">
        <v>42</v>
      </c>
      <c r="C15" s="80">
        <f>+C9-C10-C14</f>
        <v>501664.76639999973</v>
      </c>
      <c r="D15" s="80">
        <f t="shared" ref="D15:G15" si="4">+D9-D10-D14</f>
        <v>0</v>
      </c>
      <c r="E15" s="80">
        <f t="shared" si="4"/>
        <v>0</v>
      </c>
      <c r="F15" s="80">
        <f t="shared" si="4"/>
        <v>0</v>
      </c>
      <c r="G15" s="80">
        <f t="shared" si="4"/>
        <v>0</v>
      </c>
      <c r="H15" s="80">
        <f t="shared" si="0"/>
        <v>501664.76639999973</v>
      </c>
      <c r="S15" s="81" t="s">
        <v>42</v>
      </c>
      <c r="AI15" s="78" t="s">
        <v>43</v>
      </c>
      <c r="AJ15" s="81" t="s">
        <v>42</v>
      </c>
    </row>
    <row r="16" spans="1:37">
      <c r="A16" s="75">
        <v>10</v>
      </c>
      <c r="B16" s="78" t="s">
        <v>44</v>
      </c>
      <c r="C16" s="82">
        <f>+C15/C9</f>
        <v>0.33856006802721073</v>
      </c>
      <c r="D16" s="82" t="e">
        <f t="shared" ref="D16:H16" si="5">+D15/D9</f>
        <v>#DIV/0!</v>
      </c>
      <c r="E16" s="82" t="e">
        <f t="shared" si="5"/>
        <v>#DIV/0!</v>
      </c>
      <c r="F16" s="82" t="e">
        <f t="shared" si="5"/>
        <v>#DIV/0!</v>
      </c>
      <c r="G16" s="82" t="e">
        <f t="shared" si="5"/>
        <v>#DIV/0!</v>
      </c>
      <c r="H16" s="82">
        <f t="shared" si="5"/>
        <v>0.33856006802721073</v>
      </c>
      <c r="S16" s="78" t="s">
        <v>44</v>
      </c>
      <c r="AI16" s="78" t="s">
        <v>45</v>
      </c>
      <c r="AJ16" s="78" t="s">
        <v>44</v>
      </c>
    </row>
    <row r="17" spans="1:37">
      <c r="A17" s="75">
        <v>11</v>
      </c>
      <c r="B17" s="78" t="s">
        <v>46</v>
      </c>
      <c r="C17" s="80">
        <f>C6*C43+C18</f>
        <v>72909.552000000011</v>
      </c>
      <c r="D17" s="80">
        <f>D6*D43+D18</f>
        <v>0</v>
      </c>
      <c r="E17" s="80">
        <f>E6*E43+E18</f>
        <v>0</v>
      </c>
      <c r="F17" s="80">
        <f>F6*F43+F18</f>
        <v>0</v>
      </c>
      <c r="G17" s="80">
        <f>G6*G43+G18</f>
        <v>0</v>
      </c>
      <c r="H17" s="80">
        <f>SUM(C17:G17)</f>
        <v>72909.552000000011</v>
      </c>
      <c r="I17" s="93"/>
      <c r="S17" s="78" t="s">
        <v>46</v>
      </c>
      <c r="AI17" s="78" t="s">
        <v>47</v>
      </c>
      <c r="AJ17" s="78" t="s">
        <v>46</v>
      </c>
    </row>
    <row r="18" spans="1:37" s="71" customFormat="1">
      <c r="A18" s="75">
        <v>12</v>
      </c>
      <c r="B18" s="83" t="s">
        <v>165</v>
      </c>
      <c r="C18" s="84">
        <f>$H$18/$H$6*C6</f>
        <v>2280</v>
      </c>
      <c r="D18" s="84">
        <f>$H$18/$H$6*D6</f>
        <v>0</v>
      </c>
      <c r="E18" s="84">
        <f>$H$18/$H$6*E6</f>
        <v>0</v>
      </c>
      <c r="F18" s="84">
        <f>$H$18/$H$6*F6</f>
        <v>0</v>
      </c>
      <c r="G18" s="84">
        <f>$H$18/$H$6*G6</f>
        <v>0</v>
      </c>
      <c r="H18" s="84">
        <f>项目投资!D26</f>
        <v>2280</v>
      </c>
      <c r="I18" s="94" t="s">
        <v>166</v>
      </c>
      <c r="J18" s="94"/>
      <c r="K18" s="94"/>
    </row>
    <row r="19" spans="1:37">
      <c r="A19" s="75">
        <v>13</v>
      </c>
      <c r="B19" s="78" t="s">
        <v>48</v>
      </c>
      <c r="C19" s="80">
        <f>C6*C44</f>
        <v>12058.704000000002</v>
      </c>
      <c r="D19" s="80">
        <f>D6*D44</f>
        <v>0</v>
      </c>
      <c r="E19" s="80">
        <f>E6*E44</f>
        <v>0</v>
      </c>
      <c r="F19" s="80">
        <f>F6*F44</f>
        <v>0</v>
      </c>
      <c r="G19" s="80">
        <f>G6*G44</f>
        <v>0</v>
      </c>
      <c r="H19" s="80">
        <f>SUM(C19:G19)</f>
        <v>12058.704000000002</v>
      </c>
      <c r="I19" s="71"/>
      <c r="S19" s="78" t="s">
        <v>48</v>
      </c>
      <c r="AI19" s="78" t="s">
        <v>49</v>
      </c>
      <c r="AJ19" s="78" t="s">
        <v>48</v>
      </c>
      <c r="AK19" s="73" t="s">
        <v>22</v>
      </c>
    </row>
    <row r="20" spans="1:37">
      <c r="A20" s="75">
        <v>14</v>
      </c>
      <c r="B20" s="78" t="s">
        <v>50</v>
      </c>
      <c r="C20" s="80">
        <f>C6*C45</f>
        <v>37800</v>
      </c>
      <c r="D20" s="80">
        <f>D6*D45</f>
        <v>0</v>
      </c>
      <c r="E20" s="80">
        <f>E6*E45</f>
        <v>0</v>
      </c>
      <c r="F20" s="80">
        <f>F6*F45</f>
        <v>0</v>
      </c>
      <c r="G20" s="80">
        <f>G6*G45</f>
        <v>0</v>
      </c>
      <c r="H20" s="80">
        <f>SUM(C20:G20)</f>
        <v>37800</v>
      </c>
      <c r="S20" s="78" t="s">
        <v>50</v>
      </c>
      <c r="AI20" s="78" t="s">
        <v>51</v>
      </c>
      <c r="AJ20" s="78" t="s">
        <v>50</v>
      </c>
    </row>
    <row r="21" spans="1:37">
      <c r="A21" s="75">
        <v>15</v>
      </c>
      <c r="B21" s="78" t="s">
        <v>52</v>
      </c>
      <c r="C21" s="85">
        <f>$H$21/$H$6*C6</f>
        <v>3400.0000000000005</v>
      </c>
      <c r="D21" s="85">
        <f>$H$21/$H$6*D6</f>
        <v>0</v>
      </c>
      <c r="E21" s="85">
        <f>$H$21/$H$6*E6</f>
        <v>0</v>
      </c>
      <c r="F21" s="85">
        <f>$H$21/$H$6*F6</f>
        <v>0</v>
      </c>
      <c r="G21" s="85">
        <f>$H$21/$H$6*G6</f>
        <v>0</v>
      </c>
      <c r="H21" s="80">
        <f>项目投资!D27</f>
        <v>3400</v>
      </c>
      <c r="S21" s="78" t="s">
        <v>52</v>
      </c>
      <c r="AI21" s="78"/>
      <c r="AJ21" s="78"/>
    </row>
    <row r="22" spans="1:37">
      <c r="A22" s="75">
        <v>16</v>
      </c>
      <c r="B22" s="78" t="s">
        <v>53</v>
      </c>
      <c r="C22" s="80">
        <f>C6*C47</f>
        <v>36692.9136</v>
      </c>
      <c r="D22" s="80">
        <f>D6*D47</f>
        <v>0</v>
      </c>
      <c r="E22" s="80">
        <f>E6*E47</f>
        <v>0</v>
      </c>
      <c r="F22" s="80">
        <f>F6*F47</f>
        <v>0</v>
      </c>
      <c r="G22" s="80">
        <f>G6*G47</f>
        <v>0</v>
      </c>
      <c r="H22" s="80">
        <f>+SUM(C22:G22)</f>
        <v>36692.9136</v>
      </c>
      <c r="S22" s="78" t="s">
        <v>53</v>
      </c>
      <c r="AI22" s="78" t="s">
        <v>54</v>
      </c>
      <c r="AJ22" s="78" t="s">
        <v>53</v>
      </c>
    </row>
    <row r="23" spans="1:37">
      <c r="A23" s="75">
        <v>17</v>
      </c>
      <c r="B23" s="81" t="s">
        <v>55</v>
      </c>
      <c r="C23" s="85">
        <f>+C22+C21+C20+C19+C17</f>
        <v>162861.16960000002</v>
      </c>
      <c r="D23" s="85">
        <f>+D22+D21+D20+D19+D17</f>
        <v>0</v>
      </c>
      <c r="E23" s="85">
        <f>+E22+E21+E20+E19+E17</f>
        <v>0</v>
      </c>
      <c r="F23" s="85">
        <f>+F22+F21+F20+F19+F17</f>
        <v>0</v>
      </c>
      <c r="G23" s="85">
        <f>+G22+G21+G20+G19+G17</f>
        <v>0</v>
      </c>
      <c r="H23" s="85">
        <f t="shared" ref="H23" si="6">+H22+H21+H20+H19+H17</f>
        <v>162861.16960000002</v>
      </c>
      <c r="S23" s="81" t="s">
        <v>55</v>
      </c>
      <c r="AI23" s="78" t="s">
        <v>56</v>
      </c>
      <c r="AJ23" s="81" t="s">
        <v>55</v>
      </c>
    </row>
    <row r="24" spans="1:37">
      <c r="A24" s="75">
        <v>18</v>
      </c>
      <c r="B24" s="86" t="s">
        <v>57</v>
      </c>
      <c r="C24" s="85">
        <f>+C15-C23</f>
        <v>338803.59679999971</v>
      </c>
      <c r="D24" s="85">
        <f>+D15-D23</f>
        <v>0</v>
      </c>
      <c r="E24" s="85">
        <f>+E15-E23</f>
        <v>0</v>
      </c>
      <c r="F24" s="85">
        <f>+F15-F23</f>
        <v>0</v>
      </c>
      <c r="G24" s="85">
        <f>+G15-G23</f>
        <v>0</v>
      </c>
      <c r="H24" s="85">
        <f t="shared" ref="H24" si="7">+H15-H23</f>
        <v>338803.59679999971</v>
      </c>
      <c r="J24" s="95"/>
      <c r="S24" s="78" t="s">
        <v>57</v>
      </c>
      <c r="AI24" s="78" t="s">
        <v>58</v>
      </c>
      <c r="AJ24" s="78" t="s">
        <v>57</v>
      </c>
    </row>
    <row r="25" spans="1:37">
      <c r="A25" s="75">
        <v>19</v>
      </c>
      <c r="B25" s="78" t="s">
        <v>167</v>
      </c>
      <c r="C25" s="85">
        <f>IF(C24&lt;0,0,C24*0.25)</f>
        <v>84700.899199999927</v>
      </c>
      <c r="D25" s="85">
        <f>IF(D24&lt;0,0,D24*0.25)</f>
        <v>0</v>
      </c>
      <c r="E25" s="85">
        <f>IF(E24&lt;0,0,E24*0.25)</f>
        <v>0</v>
      </c>
      <c r="F25" s="85">
        <f>IF(F24&lt;0,0,F24*0.25)</f>
        <v>0</v>
      </c>
      <c r="G25" s="85">
        <f>IF(G24&lt;0,0,G24*0.25)</f>
        <v>0</v>
      </c>
      <c r="H25" s="85">
        <f t="shared" ref="H25" si="8">IF(H24&lt;0,0,H24*0.25)</f>
        <v>84700.899199999927</v>
      </c>
      <c r="I25" s="2"/>
      <c r="J25" s="2"/>
      <c r="K25" s="2"/>
      <c r="S25" s="78" t="s">
        <v>59</v>
      </c>
      <c r="AI25" s="78" t="s">
        <v>60</v>
      </c>
      <c r="AJ25" s="78" t="s">
        <v>59</v>
      </c>
    </row>
    <row r="26" spans="1:37">
      <c r="A26" s="75">
        <v>20</v>
      </c>
      <c r="B26" s="78" t="s">
        <v>61</v>
      </c>
      <c r="C26" s="85">
        <f t="shared" ref="C26:G26" si="9">C24-C25</f>
        <v>254102.69759999978</v>
      </c>
      <c r="D26" s="85">
        <f t="shared" si="9"/>
        <v>0</v>
      </c>
      <c r="E26" s="85">
        <f t="shared" si="9"/>
        <v>0</v>
      </c>
      <c r="F26" s="85">
        <f t="shared" si="9"/>
        <v>0</v>
      </c>
      <c r="G26" s="85">
        <f t="shared" si="9"/>
        <v>0</v>
      </c>
      <c r="H26" s="80">
        <f>+SUM(C26:G26)</f>
        <v>254102.69759999978</v>
      </c>
      <c r="I26" s="2"/>
      <c r="J26" s="2"/>
      <c r="K26" s="2"/>
      <c r="S26" s="78" t="s">
        <v>61</v>
      </c>
      <c r="AI26" s="78" t="s">
        <v>62</v>
      </c>
      <c r="AJ26" s="78" t="s">
        <v>61</v>
      </c>
    </row>
    <row r="27" spans="1:37">
      <c r="A27" s="75">
        <v>21</v>
      </c>
      <c r="B27" s="78" t="s">
        <v>65</v>
      </c>
      <c r="C27" s="87">
        <f t="shared" ref="C27:H27" si="10">C26/C7</f>
        <v>0.17148708130871382</v>
      </c>
      <c r="D27" s="87" t="e">
        <f t="shared" si="10"/>
        <v>#DIV/0!</v>
      </c>
      <c r="E27" s="87" t="e">
        <f t="shared" si="10"/>
        <v>#DIV/0!</v>
      </c>
      <c r="F27" s="87" t="e">
        <f t="shared" si="10"/>
        <v>#DIV/0!</v>
      </c>
      <c r="G27" s="87" t="e">
        <f t="shared" si="10"/>
        <v>#DIV/0!</v>
      </c>
      <c r="H27" s="87">
        <f t="shared" si="10"/>
        <v>0.17148708130871382</v>
      </c>
      <c r="I27" s="2"/>
      <c r="J27" s="2"/>
      <c r="K27" s="2"/>
      <c r="S27" s="78" t="s">
        <v>65</v>
      </c>
      <c r="AI27" s="78" t="s">
        <v>64</v>
      </c>
      <c r="AJ27" s="78" t="s">
        <v>65</v>
      </c>
    </row>
    <row r="28" spans="1:37">
      <c r="I28" s="2"/>
      <c r="J28" s="2"/>
      <c r="K28" s="2"/>
      <c r="S28" s="78"/>
    </row>
    <row r="29" spans="1:37">
      <c r="A29" s="73" t="s">
        <v>66</v>
      </c>
      <c r="H29" s="74" t="s">
        <v>168</v>
      </c>
      <c r="I29" s="2"/>
      <c r="J29" s="2"/>
      <c r="K29" s="2"/>
      <c r="S29" s="78"/>
      <c r="AI29" s="73" t="s">
        <v>66</v>
      </c>
    </row>
    <row r="30" spans="1:37">
      <c r="A30" s="78" t="s">
        <v>72</v>
      </c>
      <c r="B30" s="81" t="s">
        <v>73</v>
      </c>
      <c r="C30" s="85"/>
      <c r="D30" s="85"/>
      <c r="E30" s="85"/>
      <c r="F30" s="85"/>
      <c r="G30" s="85"/>
      <c r="H30" s="85"/>
      <c r="I30" s="2"/>
      <c r="J30" s="2"/>
      <c r="K30" s="2"/>
      <c r="M30" s="2"/>
      <c r="S30" s="81" t="s">
        <v>73</v>
      </c>
      <c r="AI30" s="78" t="s">
        <v>74</v>
      </c>
      <c r="AJ30" s="81" t="s">
        <v>73</v>
      </c>
    </row>
    <row r="31" spans="1:37">
      <c r="A31" s="75">
        <v>1</v>
      </c>
      <c r="B31" s="83" t="s">
        <v>75</v>
      </c>
      <c r="C31" s="88">
        <f>销量!C8</f>
        <v>1176</v>
      </c>
      <c r="D31" s="88">
        <f>销量!D8</f>
        <v>0</v>
      </c>
      <c r="E31" s="88">
        <f>销量!E8</f>
        <v>0</v>
      </c>
      <c r="F31" s="88">
        <f>销量!F8</f>
        <v>0</v>
      </c>
      <c r="G31" s="88">
        <f>销量!G8</f>
        <v>0</v>
      </c>
      <c r="H31" s="85"/>
      <c r="I31" s="2"/>
      <c r="J31" s="2"/>
      <c r="K31" s="2"/>
      <c r="M31" s="2"/>
      <c r="S31" s="78" t="s">
        <v>75</v>
      </c>
      <c r="AI31" s="78" t="s">
        <v>24</v>
      </c>
      <c r="AJ31" s="78" t="s">
        <v>75</v>
      </c>
    </row>
    <row r="32" spans="1:37">
      <c r="A32" s="75">
        <v>2</v>
      </c>
      <c r="B32" s="78" t="s">
        <v>169</v>
      </c>
      <c r="C32" s="80">
        <f>C31*1</f>
        <v>1176</v>
      </c>
      <c r="D32" s="80">
        <f t="shared" ref="D32:G32" si="11">D31*1</f>
        <v>0</v>
      </c>
      <c r="E32" s="80">
        <f t="shared" si="11"/>
        <v>0</v>
      </c>
      <c r="F32" s="80">
        <f t="shared" si="11"/>
        <v>0</v>
      </c>
      <c r="G32" s="80">
        <f t="shared" si="11"/>
        <v>0</v>
      </c>
      <c r="H32" s="85"/>
      <c r="I32" s="2"/>
      <c r="J32" s="2"/>
      <c r="K32" s="2"/>
      <c r="L32" s="2"/>
      <c r="M32" s="2"/>
      <c r="N32" s="2"/>
      <c r="O32" s="2"/>
      <c r="AI32" s="78"/>
      <c r="AJ32" s="78"/>
    </row>
    <row r="33" spans="1:36">
      <c r="A33" s="75">
        <v>3</v>
      </c>
      <c r="B33" s="83" t="s">
        <v>76</v>
      </c>
      <c r="C33" s="80">
        <f>材料成本!D24</f>
        <v>629.1020000000002</v>
      </c>
      <c r="D33" s="80">
        <f>材料成本!E24</f>
        <v>0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5"/>
      <c r="J33" s="2"/>
      <c r="K33" s="2"/>
      <c r="L33" s="2"/>
      <c r="M33" s="2"/>
      <c r="N33" s="2"/>
      <c r="O33" s="2"/>
      <c r="S33" s="78" t="s">
        <v>76</v>
      </c>
      <c r="AI33" s="78" t="s">
        <v>26</v>
      </c>
      <c r="AJ33" s="78" t="s">
        <v>76</v>
      </c>
    </row>
    <row r="34" spans="1:36" ht="17.25" customHeight="1">
      <c r="A34" s="75">
        <v>4</v>
      </c>
      <c r="B34" s="78" t="s">
        <v>78</v>
      </c>
      <c r="C34" s="89">
        <f>C32-C33</f>
        <v>546.8979999999998</v>
      </c>
      <c r="D34" s="89">
        <f t="shared" ref="D34:G34" si="12">D32-D33</f>
        <v>0</v>
      </c>
      <c r="E34" s="89">
        <f t="shared" si="12"/>
        <v>0</v>
      </c>
      <c r="F34" s="89">
        <f t="shared" si="12"/>
        <v>0</v>
      </c>
      <c r="G34" s="89">
        <f t="shared" si="12"/>
        <v>0</v>
      </c>
      <c r="H34" s="85"/>
      <c r="J34" s="2"/>
      <c r="K34" s="2"/>
      <c r="L34" s="2"/>
      <c r="M34" s="2"/>
      <c r="N34" s="2"/>
      <c r="O34" s="2"/>
      <c r="S34" s="78" t="s">
        <v>78</v>
      </c>
      <c r="AI34" s="78" t="s">
        <v>77</v>
      </c>
      <c r="AJ34" s="78" t="s">
        <v>78</v>
      </c>
    </row>
    <row r="35" spans="1:36">
      <c r="A35" s="78" t="s">
        <v>74</v>
      </c>
      <c r="B35" s="81" t="s">
        <v>8</v>
      </c>
      <c r="C35" s="85"/>
      <c r="D35" s="85"/>
      <c r="E35" s="85"/>
      <c r="F35" s="85"/>
      <c r="G35" s="85"/>
      <c r="H35" s="85"/>
      <c r="I35" s="2"/>
      <c r="J35" s="2"/>
      <c r="K35" s="2"/>
      <c r="L35" s="2"/>
      <c r="M35" s="2"/>
      <c r="N35" s="2"/>
      <c r="O35" s="2"/>
      <c r="P35" s="2"/>
      <c r="Q35" s="2"/>
      <c r="R35" s="2"/>
      <c r="S35" s="81" t="s">
        <v>8</v>
      </c>
      <c r="AI35" s="78" t="s">
        <v>80</v>
      </c>
      <c r="AJ35" s="81" t="s">
        <v>8</v>
      </c>
    </row>
    <row r="36" spans="1:36">
      <c r="A36" s="75">
        <v>1</v>
      </c>
      <c r="B36" s="78" t="s">
        <v>81</v>
      </c>
      <c r="C36" s="84">
        <f>标准成本!D4</f>
        <v>58.926320000000004</v>
      </c>
      <c r="D36" s="84"/>
      <c r="E36" s="84">
        <f t="shared" ref="D36:G38" si="13">D36</f>
        <v>0</v>
      </c>
      <c r="F36" s="84">
        <f t="shared" si="13"/>
        <v>0</v>
      </c>
      <c r="G36" s="84">
        <f t="shared" si="13"/>
        <v>0</v>
      </c>
      <c r="H36" s="88"/>
      <c r="I36" s="2"/>
      <c r="J36" s="2"/>
      <c r="K36" s="2"/>
      <c r="L36" s="2"/>
      <c r="M36" s="2"/>
      <c r="N36" s="2"/>
      <c r="O36" s="2"/>
      <c r="P36" s="2"/>
      <c r="Q36" s="2"/>
      <c r="R36" s="2"/>
      <c r="S36" s="78" t="s">
        <v>81</v>
      </c>
      <c r="AI36" s="78" t="s">
        <v>77</v>
      </c>
      <c r="AJ36" s="78" t="s">
        <v>81</v>
      </c>
    </row>
    <row r="37" spans="1:36">
      <c r="A37" s="75">
        <v>2</v>
      </c>
      <c r="B37" s="78" t="s">
        <v>82</v>
      </c>
      <c r="C37" s="84">
        <f>标准成本!D6</f>
        <v>29.668240000000001</v>
      </c>
      <c r="D37" s="84"/>
      <c r="E37" s="84">
        <f t="shared" si="13"/>
        <v>0</v>
      </c>
      <c r="F37" s="84">
        <f t="shared" si="13"/>
        <v>0</v>
      </c>
      <c r="G37" s="84">
        <f t="shared" si="13"/>
        <v>0</v>
      </c>
      <c r="H37" s="88"/>
      <c r="I37" s="2"/>
      <c r="J37" s="2"/>
      <c r="K37" s="2"/>
      <c r="L37" s="2"/>
      <c r="M37" s="2"/>
      <c r="N37" s="2"/>
      <c r="O37" s="2"/>
      <c r="P37" s="2"/>
      <c r="Q37" s="2"/>
      <c r="R37" s="2"/>
      <c r="S37" s="78" t="s">
        <v>82</v>
      </c>
      <c r="AI37" s="78" t="s">
        <v>29</v>
      </c>
      <c r="AJ37" s="78" t="s">
        <v>82</v>
      </c>
    </row>
    <row r="38" spans="1:36">
      <c r="A38" s="75">
        <v>3</v>
      </c>
      <c r="B38" s="78" t="s">
        <v>83</v>
      </c>
      <c r="C38" s="84">
        <f>标准成本!D10</f>
        <v>60.156799999999997</v>
      </c>
      <c r="D38" s="84"/>
      <c r="E38" s="84">
        <f t="shared" si="13"/>
        <v>0</v>
      </c>
      <c r="F38" s="84">
        <f t="shared" si="13"/>
        <v>0</v>
      </c>
      <c r="G38" s="84">
        <f t="shared" si="13"/>
        <v>0</v>
      </c>
      <c r="H38" s="88"/>
      <c r="I38" s="2"/>
      <c r="J38" s="2"/>
      <c r="K38" s="2"/>
      <c r="L38" s="2"/>
      <c r="M38" s="2"/>
      <c r="N38" s="2"/>
      <c r="O38" s="2"/>
      <c r="P38" s="2"/>
      <c r="Q38" s="2"/>
      <c r="R38" s="2"/>
      <c r="S38" s="78" t="s">
        <v>83</v>
      </c>
      <c r="AI38" s="78" t="s">
        <v>35</v>
      </c>
      <c r="AJ38" s="78" t="s">
        <v>83</v>
      </c>
    </row>
    <row r="39" spans="1:36">
      <c r="A39" s="78" t="s">
        <v>80</v>
      </c>
      <c r="B39" s="81" t="s">
        <v>85</v>
      </c>
      <c r="C39" s="85"/>
      <c r="D39" s="85"/>
      <c r="E39" s="85"/>
      <c r="F39" s="85"/>
      <c r="G39" s="85"/>
      <c r="H39" s="85"/>
      <c r="S39" s="81" t="s">
        <v>85</v>
      </c>
      <c r="AI39" s="78" t="s">
        <v>84</v>
      </c>
      <c r="AJ39" s="81" t="s">
        <v>85</v>
      </c>
    </row>
    <row r="40" spans="1:36">
      <c r="A40" s="75">
        <v>1</v>
      </c>
      <c r="B40" s="78" t="s">
        <v>86</v>
      </c>
      <c r="C40" s="85">
        <f>C34-C36-C37-C38</f>
        <v>398.14663999999976</v>
      </c>
      <c r="D40" s="85">
        <f t="shared" ref="D40:G40" si="14">D34-D36-D37-D38</f>
        <v>0</v>
      </c>
      <c r="E40" s="85">
        <f t="shared" si="14"/>
        <v>0</v>
      </c>
      <c r="F40" s="85">
        <f t="shared" si="14"/>
        <v>0</v>
      </c>
      <c r="G40" s="85">
        <f t="shared" si="14"/>
        <v>0</v>
      </c>
      <c r="H40" s="85"/>
      <c r="S40" s="78" t="s">
        <v>86</v>
      </c>
      <c r="AI40" s="78" t="s">
        <v>24</v>
      </c>
      <c r="AJ40" s="78" t="s">
        <v>86</v>
      </c>
    </row>
    <row r="41" spans="1:36">
      <c r="A41" s="75">
        <v>2</v>
      </c>
      <c r="B41" s="78" t="s">
        <v>87</v>
      </c>
      <c r="C41" s="85"/>
      <c r="D41" s="85"/>
      <c r="E41" s="85"/>
      <c r="F41" s="85"/>
      <c r="G41" s="85"/>
      <c r="H41" s="85"/>
      <c r="S41" s="78" t="s">
        <v>87</v>
      </c>
      <c r="AI41" s="78" t="s">
        <v>26</v>
      </c>
      <c r="AJ41" s="78" t="s">
        <v>87</v>
      </c>
    </row>
    <row r="42" spans="1:36">
      <c r="A42" s="78" t="s">
        <v>84</v>
      </c>
      <c r="B42" s="81" t="s">
        <v>89</v>
      </c>
      <c r="C42" s="85"/>
      <c r="D42" s="85"/>
      <c r="E42" s="85"/>
      <c r="F42" s="85"/>
      <c r="G42" s="85"/>
      <c r="H42" s="85"/>
      <c r="S42" s="81" t="s">
        <v>89</v>
      </c>
      <c r="AI42" s="78" t="s">
        <v>88</v>
      </c>
      <c r="AJ42" s="81" t="s">
        <v>89</v>
      </c>
    </row>
    <row r="43" spans="1:36">
      <c r="A43" s="75">
        <v>1</v>
      </c>
      <c r="B43" s="86" t="s">
        <v>90</v>
      </c>
      <c r="C43" s="84">
        <f>标准成本!D5</f>
        <v>56.055200000000006</v>
      </c>
      <c r="D43" s="84"/>
      <c r="E43" s="84">
        <f t="shared" ref="E43:E45" si="15">D43</f>
        <v>0</v>
      </c>
      <c r="F43" s="84">
        <f t="shared" ref="F43:F45" si="16">E43</f>
        <v>0</v>
      </c>
      <c r="G43" s="84">
        <f t="shared" ref="G43:G45" si="17">F43</f>
        <v>0</v>
      </c>
      <c r="H43" s="85"/>
      <c r="S43" s="78" t="s">
        <v>90</v>
      </c>
      <c r="AI43" s="78" t="s">
        <v>24</v>
      </c>
      <c r="AJ43" s="78" t="s">
        <v>90</v>
      </c>
    </row>
    <row r="44" spans="1:36">
      <c r="A44" s="75">
        <v>2</v>
      </c>
      <c r="B44" s="86" t="s">
        <v>91</v>
      </c>
      <c r="C44" s="84">
        <f>标准成本!D9</f>
        <v>9.5704000000000011</v>
      </c>
      <c r="D44" s="84"/>
      <c r="E44" s="84">
        <f t="shared" si="15"/>
        <v>0</v>
      </c>
      <c r="F44" s="84">
        <f t="shared" si="16"/>
        <v>0</v>
      </c>
      <c r="G44" s="84">
        <f t="shared" si="17"/>
        <v>0</v>
      </c>
      <c r="H44" s="85"/>
      <c r="S44" s="78" t="s">
        <v>91</v>
      </c>
      <c r="AI44" s="78" t="s">
        <v>26</v>
      </c>
      <c r="AJ44" s="78" t="s">
        <v>91</v>
      </c>
    </row>
    <row r="45" spans="1:36">
      <c r="A45" s="75">
        <v>3</v>
      </c>
      <c r="B45" s="86" t="s">
        <v>92</v>
      </c>
      <c r="C45" s="84">
        <v>30</v>
      </c>
      <c r="D45" s="84"/>
      <c r="E45" s="84">
        <f t="shared" si="15"/>
        <v>0</v>
      </c>
      <c r="F45" s="84">
        <f t="shared" si="16"/>
        <v>0</v>
      </c>
      <c r="G45" s="84">
        <f t="shared" si="17"/>
        <v>0</v>
      </c>
      <c r="H45" s="85"/>
      <c r="S45" s="78" t="s">
        <v>92</v>
      </c>
      <c r="AI45" s="78" t="s">
        <v>77</v>
      </c>
      <c r="AJ45" s="78" t="s">
        <v>92</v>
      </c>
    </row>
    <row r="46" spans="1:36" s="72" customFormat="1">
      <c r="A46" s="75">
        <v>4</v>
      </c>
      <c r="B46" s="86" t="s">
        <v>93</v>
      </c>
      <c r="C46" s="90">
        <f>C21/C6</f>
        <v>2.6984126984126986</v>
      </c>
      <c r="D46" s="90" t="e">
        <f>D21/D6</f>
        <v>#DIV/0!</v>
      </c>
      <c r="E46" s="90" t="e">
        <f>E21/E6</f>
        <v>#DIV/0!</v>
      </c>
      <c r="F46" s="90" t="e">
        <f>F21/F6</f>
        <v>#DIV/0!</v>
      </c>
      <c r="G46" s="90" t="e">
        <f>G21/G6</f>
        <v>#DIV/0!</v>
      </c>
      <c r="H46" s="90"/>
      <c r="S46" s="86" t="s">
        <v>95</v>
      </c>
      <c r="AI46" s="86" t="s">
        <v>32</v>
      </c>
      <c r="AJ46" s="86" t="s">
        <v>95</v>
      </c>
    </row>
    <row r="47" spans="1:36" s="72" customFormat="1">
      <c r="A47" s="75">
        <v>5</v>
      </c>
      <c r="B47" s="86" t="s">
        <v>95</v>
      </c>
      <c r="C47" s="90">
        <f>标准成本!D11</f>
        <v>29.121359999999999</v>
      </c>
      <c r="D47" s="90"/>
      <c r="E47" s="90">
        <f>D47</f>
        <v>0</v>
      </c>
      <c r="F47" s="90">
        <f>E47</f>
        <v>0</v>
      </c>
      <c r="G47" s="90">
        <f>F47</f>
        <v>0</v>
      </c>
      <c r="H47" s="90"/>
      <c r="S47" s="86" t="s">
        <v>95</v>
      </c>
      <c r="AI47" s="86" t="s">
        <v>32</v>
      </c>
      <c r="AJ47" s="86" t="s">
        <v>95</v>
      </c>
    </row>
    <row r="48" spans="1:36">
      <c r="A48" s="78" t="s">
        <v>88</v>
      </c>
      <c r="B48" s="81" t="s">
        <v>106</v>
      </c>
      <c r="C48" s="85">
        <f>C40-C43-C44-C45-C47-C46</f>
        <v>270.70126730158705</v>
      </c>
      <c r="D48" s="85" t="e">
        <f>D40-D43-D44-D45-D47-D46</f>
        <v>#DIV/0!</v>
      </c>
      <c r="E48" s="85" t="e">
        <f>E40-E43-E44-E45-E47-E46</f>
        <v>#DIV/0!</v>
      </c>
      <c r="F48" s="85" t="e">
        <f>F40-F43-F44-F45-F47-F46</f>
        <v>#DIV/0!</v>
      </c>
      <c r="G48" s="85" t="e">
        <f>G40-G43-G44-G45-G47-G46</f>
        <v>#DIV/0!</v>
      </c>
      <c r="H48" s="85"/>
      <c r="S48" s="81" t="s">
        <v>106</v>
      </c>
      <c r="AI48" s="78" t="s">
        <v>105</v>
      </c>
      <c r="AJ48" s="81" t="s">
        <v>106</v>
      </c>
    </row>
    <row r="51" spans="2:13">
      <c r="C51" s="91"/>
      <c r="D51" s="91"/>
      <c r="E51" s="91"/>
      <c r="F51" s="91"/>
      <c r="G51" s="91"/>
    </row>
    <row r="54" spans="2:13">
      <c r="B54" s="2"/>
      <c r="C54" s="92"/>
      <c r="D54" s="92"/>
      <c r="E54" s="92"/>
      <c r="F54" s="92"/>
      <c r="G54" s="92"/>
      <c r="H54" s="92"/>
      <c r="I54" s="2"/>
      <c r="J54" s="2"/>
      <c r="K54" s="2"/>
      <c r="L54" s="2"/>
      <c r="M54" s="2"/>
    </row>
    <row r="55" spans="2:13">
      <c r="B55" s="2"/>
      <c r="C55" s="92"/>
      <c r="D55" s="92"/>
      <c r="E55" s="92"/>
      <c r="F55" s="92"/>
      <c r="G55" s="92"/>
      <c r="H55" s="92"/>
      <c r="I55" s="2"/>
      <c r="J55" s="2"/>
      <c r="K55" s="2"/>
      <c r="L55" s="2"/>
      <c r="M55" s="2"/>
    </row>
    <row r="56" spans="2:13">
      <c r="B56" s="2"/>
      <c r="C56" s="92"/>
      <c r="D56" s="92"/>
      <c r="E56" s="92"/>
      <c r="F56" s="92"/>
      <c r="G56" s="92"/>
      <c r="H56" s="92"/>
      <c r="I56" s="2"/>
      <c r="J56" s="2"/>
      <c r="K56" s="2"/>
      <c r="L56" s="2"/>
      <c r="M56" s="2"/>
    </row>
    <row r="57" spans="2:13">
      <c r="B57" s="2"/>
      <c r="C57" s="92"/>
      <c r="D57" s="92"/>
      <c r="E57" s="92"/>
      <c r="F57" s="92"/>
      <c r="G57" s="92"/>
      <c r="H57" s="92"/>
      <c r="I57" s="2"/>
      <c r="J57" s="2"/>
      <c r="K57" s="2"/>
      <c r="L57" s="2"/>
      <c r="M57" s="2"/>
    </row>
    <row r="58" spans="2:13">
      <c r="B58" s="2"/>
      <c r="C58" s="92"/>
      <c r="D58" s="92"/>
      <c r="E58" s="92"/>
      <c r="F58" s="92"/>
      <c r="G58" s="92"/>
      <c r="H58" s="92"/>
      <c r="I58" s="2"/>
      <c r="J58" s="2"/>
      <c r="K58" s="2"/>
      <c r="L58" s="2"/>
      <c r="M58" s="2"/>
    </row>
    <row r="59" spans="2:13">
      <c r="B59" s="2"/>
      <c r="C59" s="92"/>
      <c r="D59" s="92"/>
      <c r="E59" s="92"/>
      <c r="F59" s="92"/>
      <c r="G59" s="92"/>
      <c r="H59" s="92"/>
      <c r="I59" s="2"/>
      <c r="J59" s="2"/>
      <c r="K59" s="2"/>
      <c r="L59" s="2"/>
      <c r="M59" s="2"/>
    </row>
    <row r="60" spans="2:13">
      <c r="B60" s="2"/>
      <c r="C60" s="92"/>
      <c r="D60" s="92"/>
      <c r="E60" s="92"/>
      <c r="F60" s="92"/>
      <c r="G60" s="92"/>
      <c r="H60" s="92"/>
      <c r="I60" s="2"/>
      <c r="J60" s="2"/>
      <c r="K60" s="2"/>
      <c r="L60" s="2"/>
      <c r="M60" s="2"/>
    </row>
    <row r="61" spans="2:13">
      <c r="B61" s="2"/>
      <c r="C61" s="92"/>
      <c r="D61" s="92"/>
      <c r="E61" s="92"/>
      <c r="F61" s="92"/>
      <c r="G61" s="92"/>
      <c r="H61" s="92"/>
      <c r="I61" s="2"/>
      <c r="J61" s="2"/>
      <c r="K61" s="2"/>
      <c r="L61" s="2"/>
      <c r="M61" s="2"/>
    </row>
    <row r="62" spans="2:13">
      <c r="B62" s="2"/>
      <c r="C62" s="92"/>
      <c r="D62" s="92"/>
      <c r="E62" s="92"/>
      <c r="F62" s="92"/>
      <c r="G62" s="92"/>
      <c r="H62" s="92"/>
      <c r="I62" s="2"/>
      <c r="J62" s="2"/>
      <c r="K62" s="2"/>
      <c r="L62" s="2"/>
      <c r="M62" s="2"/>
    </row>
    <row r="63" spans="2:13">
      <c r="B63" s="2"/>
      <c r="C63" s="92"/>
      <c r="D63" s="92"/>
      <c r="E63" s="92"/>
      <c r="F63" s="92"/>
      <c r="G63" s="92"/>
      <c r="H63" s="92"/>
      <c r="I63" s="2"/>
      <c r="J63" s="2"/>
      <c r="K63" s="2"/>
      <c r="L63" s="2"/>
      <c r="M63" s="2"/>
    </row>
    <row r="64" spans="2:13">
      <c r="B64" s="2"/>
      <c r="C64" s="92"/>
      <c r="D64" s="92"/>
      <c r="E64" s="92"/>
      <c r="F64" s="92"/>
      <c r="G64" s="92"/>
      <c r="H64" s="92"/>
      <c r="I64" s="2"/>
      <c r="J64" s="2"/>
      <c r="K64" s="2"/>
      <c r="L64" s="2"/>
      <c r="M64" s="2"/>
    </row>
    <row r="65" spans="2:13">
      <c r="B65" s="2"/>
      <c r="C65" s="92"/>
      <c r="D65" s="92"/>
      <c r="E65" s="92"/>
      <c r="F65" s="92"/>
      <c r="G65" s="92"/>
      <c r="H65" s="92"/>
      <c r="I65" s="2"/>
      <c r="J65" s="2"/>
      <c r="K65" s="2"/>
      <c r="L65" s="2"/>
      <c r="M65" s="2"/>
    </row>
    <row r="66" spans="2:13">
      <c r="B66" s="2"/>
      <c r="C66" s="92"/>
      <c r="D66" s="92"/>
      <c r="E66" s="92"/>
      <c r="F66" s="92"/>
      <c r="G66" s="92"/>
      <c r="H66" s="92"/>
      <c r="I66" s="2"/>
      <c r="J66" s="2"/>
      <c r="K66" s="2"/>
      <c r="L66" s="2"/>
      <c r="M66" s="2"/>
    </row>
    <row r="67" spans="2:13">
      <c r="B67" s="2"/>
      <c r="C67" s="92"/>
      <c r="D67" s="92"/>
      <c r="E67" s="92"/>
      <c r="F67" s="92"/>
      <c r="G67" s="92"/>
      <c r="H67" s="92"/>
      <c r="I67" s="2"/>
    </row>
    <row r="68" spans="2:13">
      <c r="B68" s="2"/>
      <c r="C68" s="92"/>
      <c r="D68" s="92"/>
      <c r="E68" s="92"/>
      <c r="F68" s="92"/>
      <c r="G68" s="92"/>
      <c r="H68" s="92"/>
      <c r="I68" s="2"/>
    </row>
    <row r="69" spans="2:13">
      <c r="B69" s="2"/>
      <c r="C69" s="92"/>
      <c r="D69" s="92"/>
      <c r="E69" s="92"/>
      <c r="F69" s="92"/>
      <c r="G69" s="92"/>
      <c r="H69" s="92"/>
      <c r="I69" s="2"/>
    </row>
    <row r="70" spans="2:13">
      <c r="B70" s="2"/>
      <c r="C70" s="92"/>
      <c r="D70" s="92"/>
      <c r="E70" s="92"/>
      <c r="F70" s="92"/>
      <c r="G70" s="92"/>
      <c r="H70" s="92"/>
      <c r="I70" s="2"/>
    </row>
    <row r="71" spans="2:13">
      <c r="B71" s="2"/>
      <c r="C71" s="92"/>
      <c r="D71" s="92"/>
      <c r="E71" s="92"/>
      <c r="F71" s="92"/>
      <c r="G71" s="92"/>
      <c r="H71" s="92"/>
      <c r="I71" s="2"/>
    </row>
    <row r="72" spans="2:13">
      <c r="B72" s="2"/>
      <c r="C72" s="92"/>
      <c r="D72" s="92"/>
      <c r="E72" s="92"/>
      <c r="F72" s="92"/>
      <c r="G72" s="92"/>
      <c r="H72" s="92"/>
      <c r="I72" s="2"/>
    </row>
    <row r="73" spans="2:13">
      <c r="B73" s="2"/>
      <c r="C73" s="92"/>
      <c r="D73" s="92"/>
      <c r="E73" s="92"/>
      <c r="F73" s="92"/>
      <c r="G73" s="92"/>
      <c r="H73" s="92"/>
      <c r="I73" s="2"/>
    </row>
    <row r="74" spans="2:13">
      <c r="B74" s="2"/>
      <c r="C74" s="92"/>
      <c r="D74" s="92"/>
      <c r="E74" s="92"/>
      <c r="F74" s="92"/>
      <c r="G74" s="92"/>
      <c r="H74" s="92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D12" sqref="D12"/>
    </sheetView>
  </sheetViews>
  <sheetFormatPr defaultColWidth="9" defaultRowHeight="16.5"/>
  <cols>
    <col min="1" max="1" width="5.125" style="73" customWidth="1"/>
    <col min="2" max="2" width="17.5" style="73" customWidth="1"/>
    <col min="3" max="3" width="13.25" style="74" customWidth="1"/>
    <col min="4" max="7" width="15.5" style="74" customWidth="1"/>
    <col min="8" max="8" width="18.75" style="74" customWidth="1"/>
    <col min="9" max="9" width="12.375" style="73" customWidth="1"/>
    <col min="10" max="10" width="10.125" style="73" customWidth="1"/>
    <col min="11" max="17" width="9" style="73" customWidth="1"/>
    <col min="18" max="34" width="9" style="73"/>
    <col min="35" max="35" width="4.375" style="73" customWidth="1"/>
    <col min="36" max="36" width="13.875" style="73" customWidth="1"/>
    <col min="37" max="16384" width="9" style="73"/>
  </cols>
  <sheetData>
    <row r="1" spans="1:37">
      <c r="A1" s="181" t="s">
        <v>154</v>
      </c>
      <c r="B1" s="181"/>
      <c r="C1" s="182" t="s">
        <v>170</v>
      </c>
      <c r="D1" s="183"/>
      <c r="E1" s="183"/>
      <c r="F1" s="183"/>
      <c r="G1" s="183"/>
      <c r="H1" s="184"/>
    </row>
    <row r="2" spans="1:37">
      <c r="A2" s="181" t="s">
        <v>156</v>
      </c>
      <c r="B2" s="181"/>
      <c r="C2" s="185" t="s">
        <v>157</v>
      </c>
      <c r="D2" s="185"/>
      <c r="E2" s="185"/>
      <c r="F2" s="185"/>
      <c r="G2" s="185"/>
      <c r="H2" s="185"/>
    </row>
    <row r="3" spans="1:37">
      <c r="A3" s="181" t="s">
        <v>158</v>
      </c>
      <c r="B3" s="181"/>
      <c r="C3" s="24" t="s">
        <v>159</v>
      </c>
      <c r="D3" s="24"/>
      <c r="E3" s="76"/>
      <c r="F3" s="76"/>
      <c r="G3" s="76"/>
      <c r="H3" s="186" t="s">
        <v>20</v>
      </c>
    </row>
    <row r="4" spans="1:37" ht="33">
      <c r="A4" s="181" t="s">
        <v>160</v>
      </c>
      <c r="B4" s="181"/>
      <c r="C4" s="27" t="s">
        <v>161</v>
      </c>
      <c r="D4" s="27"/>
      <c r="E4" s="76"/>
      <c r="F4" s="76"/>
      <c r="G4" s="76"/>
      <c r="H4" s="187"/>
    </row>
    <row r="5" spans="1:37">
      <c r="A5" s="181" t="s">
        <v>162</v>
      </c>
      <c r="B5" s="181"/>
      <c r="C5" s="77" t="s">
        <v>163</v>
      </c>
      <c r="D5" s="77"/>
      <c r="E5" s="77"/>
      <c r="F5" s="77"/>
      <c r="G5" s="77"/>
      <c r="H5" s="188"/>
      <c r="AK5" s="73" t="s">
        <v>21</v>
      </c>
    </row>
    <row r="6" spans="1:37" ht="17.25">
      <c r="A6" s="78" t="s">
        <v>14</v>
      </c>
      <c r="B6" s="79" t="s">
        <v>164</v>
      </c>
      <c r="C6" s="43">
        <f>销量!C10</f>
        <v>1200</v>
      </c>
      <c r="D6" s="43">
        <f>销量!D10</f>
        <v>0</v>
      </c>
      <c r="E6" s="43">
        <f>销量!E9</f>
        <v>0</v>
      </c>
      <c r="F6" s="43">
        <f>销量!F9</f>
        <v>0</v>
      </c>
      <c r="G6" s="43">
        <f>销量!G9</f>
        <v>0</v>
      </c>
      <c r="H6" s="80">
        <f t="shared" ref="H6:H15" si="0">+SUM(C6:G6)</f>
        <v>1200</v>
      </c>
      <c r="S6" s="79" t="s">
        <v>3</v>
      </c>
      <c r="AI6" s="78" t="s">
        <v>14</v>
      </c>
      <c r="AJ6" s="79" t="s">
        <v>3</v>
      </c>
      <c r="AK6" s="73" t="s">
        <v>22</v>
      </c>
    </row>
    <row r="7" spans="1:37">
      <c r="A7" s="75">
        <v>1</v>
      </c>
      <c r="B7" s="79" t="s">
        <v>23</v>
      </c>
      <c r="C7" s="80">
        <f>C6*销量!C8</f>
        <v>1411200</v>
      </c>
      <c r="D7" s="80">
        <f>D6*销量!D8</f>
        <v>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si="0"/>
        <v>1411200</v>
      </c>
      <c r="I7" s="74"/>
      <c r="S7" s="79" t="s">
        <v>23</v>
      </c>
      <c r="AI7" s="78" t="s">
        <v>24</v>
      </c>
      <c r="AJ7" s="79" t="s">
        <v>23</v>
      </c>
      <c r="AK7" s="73" t="s">
        <v>22</v>
      </c>
    </row>
    <row r="8" spans="1:37">
      <c r="A8" s="75">
        <v>2</v>
      </c>
      <c r="B8" s="75" t="s">
        <v>25</v>
      </c>
      <c r="C8" s="80">
        <f>C7*(1-销量!$L$7)</f>
        <v>0</v>
      </c>
      <c r="D8" s="80">
        <f>D7*(1-销量!$L$7)</f>
        <v>0</v>
      </c>
      <c r="E8" s="80"/>
      <c r="F8" s="80"/>
      <c r="G8" s="80"/>
      <c r="H8" s="80">
        <f t="shared" si="0"/>
        <v>0</v>
      </c>
      <c r="I8" s="93"/>
      <c r="S8" s="75" t="s">
        <v>27</v>
      </c>
      <c r="AI8" s="78" t="s">
        <v>26</v>
      </c>
      <c r="AJ8" s="75" t="s">
        <v>27</v>
      </c>
      <c r="AK8" s="73" t="s">
        <v>22</v>
      </c>
    </row>
    <row r="9" spans="1:37">
      <c r="A9" s="75">
        <v>3</v>
      </c>
      <c r="B9" s="79" t="s">
        <v>28</v>
      </c>
      <c r="C9" s="80">
        <f>+C7-C8</f>
        <v>1411200</v>
      </c>
      <c r="D9" s="80">
        <f t="shared" ref="D9:G9" si="1">+D7-D8</f>
        <v>0</v>
      </c>
      <c r="E9" s="80">
        <f t="shared" si="1"/>
        <v>0</v>
      </c>
      <c r="F9" s="80">
        <f t="shared" si="1"/>
        <v>0</v>
      </c>
      <c r="G9" s="80">
        <f t="shared" si="1"/>
        <v>0</v>
      </c>
      <c r="H9" s="80">
        <f t="shared" si="0"/>
        <v>1411200</v>
      </c>
      <c r="S9" s="79" t="s">
        <v>28</v>
      </c>
      <c r="AI9" s="78" t="s">
        <v>29</v>
      </c>
      <c r="AJ9" s="79" t="s">
        <v>28</v>
      </c>
      <c r="AK9" s="73" t="s">
        <v>30</v>
      </c>
    </row>
    <row r="10" spans="1:37">
      <c r="A10" s="75">
        <v>4</v>
      </c>
      <c r="B10" s="78" t="s">
        <v>31</v>
      </c>
      <c r="C10" s="80">
        <f>C6*材料成本!D24</f>
        <v>754922.40000000026</v>
      </c>
      <c r="D10" s="80">
        <f>D6*材料成本!E24</f>
        <v>0</v>
      </c>
      <c r="E10" s="80">
        <f>E6*材料成本!F24</f>
        <v>0</v>
      </c>
      <c r="F10" s="80">
        <f>F6*材料成本!G24</f>
        <v>0</v>
      </c>
      <c r="G10" s="80">
        <f>G6*材料成本!H24</f>
        <v>0</v>
      </c>
      <c r="H10" s="80">
        <f t="shared" si="0"/>
        <v>754922.40000000026</v>
      </c>
      <c r="S10" s="78" t="s">
        <v>31</v>
      </c>
      <c r="AI10" s="78" t="s">
        <v>32</v>
      </c>
      <c r="AJ10" s="78" t="s">
        <v>31</v>
      </c>
      <c r="AK10" s="73" t="s">
        <v>33</v>
      </c>
    </row>
    <row r="11" spans="1:37">
      <c r="A11" s="75">
        <v>5</v>
      </c>
      <c r="B11" s="78" t="s">
        <v>34</v>
      </c>
      <c r="C11" s="80">
        <f>+C6*C36</f>
        <v>70711.584000000003</v>
      </c>
      <c r="D11" s="80">
        <f>+D6*D36</f>
        <v>0</v>
      </c>
      <c r="E11" s="80">
        <f>+E6*E36</f>
        <v>0</v>
      </c>
      <c r="F11" s="80">
        <f>+F6*F36</f>
        <v>0</v>
      </c>
      <c r="G11" s="80">
        <f>+G6*G36</f>
        <v>0</v>
      </c>
      <c r="H11" s="80">
        <f t="shared" si="0"/>
        <v>70711.584000000003</v>
      </c>
      <c r="S11" s="78" t="s">
        <v>34</v>
      </c>
      <c r="AI11" s="78" t="s">
        <v>35</v>
      </c>
      <c r="AJ11" s="78" t="s">
        <v>34</v>
      </c>
    </row>
    <row r="12" spans="1:37">
      <c r="A12" s="75">
        <v>6</v>
      </c>
      <c r="B12" s="78" t="s">
        <v>36</v>
      </c>
      <c r="C12" s="80">
        <f>+C6*C37</f>
        <v>35601.887999999999</v>
      </c>
      <c r="D12" s="80">
        <f>+D6*D37</f>
        <v>0</v>
      </c>
      <c r="E12" s="80">
        <f>+E6*E37</f>
        <v>0</v>
      </c>
      <c r="F12" s="80">
        <f>+F6*F37</f>
        <v>0</v>
      </c>
      <c r="G12" s="80">
        <f>+G6*G37</f>
        <v>0</v>
      </c>
      <c r="H12" s="80">
        <f t="shared" si="0"/>
        <v>35601.887999999999</v>
      </c>
      <c r="S12" s="78" t="s">
        <v>36</v>
      </c>
      <c r="AI12" s="78" t="s">
        <v>37</v>
      </c>
      <c r="AJ12" s="78" t="s">
        <v>36</v>
      </c>
    </row>
    <row r="13" spans="1:37">
      <c r="A13" s="75">
        <v>7</v>
      </c>
      <c r="B13" s="78" t="s">
        <v>38</v>
      </c>
      <c r="C13" s="80">
        <f>+C6*C38</f>
        <v>72188.160000000003</v>
      </c>
      <c r="D13" s="80">
        <f t="shared" ref="D13:G13" si="2">+D6*D38</f>
        <v>0</v>
      </c>
      <c r="E13" s="80">
        <f t="shared" si="2"/>
        <v>0</v>
      </c>
      <c r="F13" s="80">
        <f t="shared" si="2"/>
        <v>0</v>
      </c>
      <c r="G13" s="80">
        <f t="shared" si="2"/>
        <v>0</v>
      </c>
      <c r="H13" s="80">
        <f t="shared" si="0"/>
        <v>72188.160000000003</v>
      </c>
      <c r="S13" s="78" t="s">
        <v>38</v>
      </c>
      <c r="AI13" s="78" t="s">
        <v>39</v>
      </c>
      <c r="AJ13" s="78" t="s">
        <v>38</v>
      </c>
      <c r="AK13" s="73" t="s">
        <v>22</v>
      </c>
    </row>
    <row r="14" spans="1:37">
      <c r="A14" s="75">
        <v>8</v>
      </c>
      <c r="B14" s="81" t="s">
        <v>40</v>
      </c>
      <c r="C14" s="80">
        <f>SUM(C11:C13)</f>
        <v>178501.63200000001</v>
      </c>
      <c r="D14" s="80">
        <f t="shared" ref="D14:G14" si="3">SUM(D11:D13)</f>
        <v>0</v>
      </c>
      <c r="E14" s="80">
        <f t="shared" si="3"/>
        <v>0</v>
      </c>
      <c r="F14" s="80">
        <f t="shared" si="3"/>
        <v>0</v>
      </c>
      <c r="G14" s="80">
        <f t="shared" si="3"/>
        <v>0</v>
      </c>
      <c r="H14" s="80">
        <f t="shared" si="0"/>
        <v>178501.63200000001</v>
      </c>
      <c r="S14" s="81" t="s">
        <v>40</v>
      </c>
      <c r="AI14" s="78" t="s">
        <v>41</v>
      </c>
      <c r="AJ14" s="81" t="s">
        <v>40</v>
      </c>
    </row>
    <row r="15" spans="1:37">
      <c r="A15" s="75">
        <v>9</v>
      </c>
      <c r="B15" s="81" t="s">
        <v>42</v>
      </c>
      <c r="C15" s="80">
        <f>+C9-C10-C14</f>
        <v>477775.96799999976</v>
      </c>
      <c r="D15" s="80">
        <f t="shared" ref="D15:G15" si="4">+D9-D10-D14</f>
        <v>0</v>
      </c>
      <c r="E15" s="80">
        <f t="shared" si="4"/>
        <v>0</v>
      </c>
      <c r="F15" s="80">
        <f t="shared" si="4"/>
        <v>0</v>
      </c>
      <c r="G15" s="80">
        <f t="shared" si="4"/>
        <v>0</v>
      </c>
      <c r="H15" s="80">
        <f t="shared" si="0"/>
        <v>477775.96799999976</v>
      </c>
      <c r="S15" s="81" t="s">
        <v>42</v>
      </c>
      <c r="AI15" s="78" t="s">
        <v>43</v>
      </c>
      <c r="AJ15" s="81" t="s">
        <v>42</v>
      </c>
    </row>
    <row r="16" spans="1:37">
      <c r="A16" s="75">
        <v>10</v>
      </c>
      <c r="B16" s="78" t="s">
        <v>44</v>
      </c>
      <c r="C16" s="82">
        <f>+C15/C9</f>
        <v>0.33856006802721073</v>
      </c>
      <c r="D16" s="82" t="e">
        <f t="shared" ref="D16:H16" si="5">+D15/D9</f>
        <v>#DIV/0!</v>
      </c>
      <c r="E16" s="82" t="e">
        <f t="shared" si="5"/>
        <v>#DIV/0!</v>
      </c>
      <c r="F16" s="82" t="e">
        <f t="shared" si="5"/>
        <v>#DIV/0!</v>
      </c>
      <c r="G16" s="82" t="e">
        <f t="shared" si="5"/>
        <v>#DIV/0!</v>
      </c>
      <c r="H16" s="82">
        <f t="shared" si="5"/>
        <v>0.33856006802721073</v>
      </c>
      <c r="S16" s="78" t="s">
        <v>44</v>
      </c>
      <c r="AI16" s="78" t="s">
        <v>45</v>
      </c>
      <c r="AJ16" s="78" t="s">
        <v>44</v>
      </c>
    </row>
    <row r="17" spans="1:37">
      <c r="A17" s="75">
        <v>11</v>
      </c>
      <c r="B17" s="78" t="s">
        <v>46</v>
      </c>
      <c r="C17" s="80">
        <f>C6*C43+C18</f>
        <v>69546.240000000005</v>
      </c>
      <c r="D17" s="80">
        <f>D6*D43+D18</f>
        <v>0</v>
      </c>
      <c r="E17" s="80">
        <f>E6*E43+E18</f>
        <v>0</v>
      </c>
      <c r="F17" s="80">
        <f>F6*F43+F18</f>
        <v>0</v>
      </c>
      <c r="G17" s="80">
        <f>G6*G43+G18</f>
        <v>0</v>
      </c>
      <c r="H17" s="80">
        <f>SUM(C17:G17)</f>
        <v>69546.240000000005</v>
      </c>
      <c r="I17" s="93"/>
      <c r="S17" s="78" t="s">
        <v>46</v>
      </c>
      <c r="AI17" s="78" t="s">
        <v>47</v>
      </c>
      <c r="AJ17" s="78" t="s">
        <v>46</v>
      </c>
    </row>
    <row r="18" spans="1:37" s="71" customFormat="1">
      <c r="A18" s="75">
        <v>12</v>
      </c>
      <c r="B18" s="83" t="s">
        <v>165</v>
      </c>
      <c r="C18" s="84">
        <f>$H$18/$H$6*C6</f>
        <v>2280</v>
      </c>
      <c r="D18" s="84">
        <f>$H$18/$H$6*D6</f>
        <v>0</v>
      </c>
      <c r="E18" s="84">
        <f>$H$18/$H$6*E6</f>
        <v>0</v>
      </c>
      <c r="F18" s="84">
        <f>$H$18/$H$6*F6</f>
        <v>0</v>
      </c>
      <c r="G18" s="84">
        <f>$H$18/$H$6*G6</f>
        <v>0</v>
      </c>
      <c r="H18" s="84">
        <f>项目投资!D26</f>
        <v>2280</v>
      </c>
      <c r="I18" s="94" t="s">
        <v>166</v>
      </c>
      <c r="J18" s="94"/>
      <c r="K18" s="94"/>
    </row>
    <row r="19" spans="1:37">
      <c r="A19" s="75">
        <v>13</v>
      </c>
      <c r="B19" s="78" t="s">
        <v>48</v>
      </c>
      <c r="C19" s="80">
        <f>C6*C44</f>
        <v>11484.480000000001</v>
      </c>
      <c r="D19" s="80">
        <f>D6*D44</f>
        <v>0</v>
      </c>
      <c r="E19" s="80">
        <f>E6*E44</f>
        <v>0</v>
      </c>
      <c r="F19" s="80">
        <f>F6*F44</f>
        <v>0</v>
      </c>
      <c r="G19" s="80">
        <f>G6*G44</f>
        <v>0</v>
      </c>
      <c r="H19" s="80">
        <f>SUM(C19:G19)</f>
        <v>11484.480000000001</v>
      </c>
      <c r="I19" s="71"/>
      <c r="S19" s="78" t="s">
        <v>48</v>
      </c>
      <c r="AI19" s="78" t="s">
        <v>49</v>
      </c>
      <c r="AJ19" s="78" t="s">
        <v>48</v>
      </c>
      <c r="AK19" s="73" t="s">
        <v>22</v>
      </c>
    </row>
    <row r="20" spans="1:37">
      <c r="A20" s="75">
        <v>14</v>
      </c>
      <c r="B20" s="78" t="s">
        <v>50</v>
      </c>
      <c r="C20" s="80">
        <f>C6*C45</f>
        <v>36000</v>
      </c>
      <c r="D20" s="80">
        <f>D6*D45</f>
        <v>0</v>
      </c>
      <c r="E20" s="80">
        <f>E6*E45</f>
        <v>0</v>
      </c>
      <c r="F20" s="80">
        <f>F6*F45</f>
        <v>0</v>
      </c>
      <c r="G20" s="80">
        <f>G6*G45</f>
        <v>0</v>
      </c>
      <c r="H20" s="80">
        <f>SUM(C20:G20)</f>
        <v>36000</v>
      </c>
      <c r="S20" s="78" t="s">
        <v>50</v>
      </c>
      <c r="AI20" s="78" t="s">
        <v>51</v>
      </c>
      <c r="AJ20" s="78" t="s">
        <v>50</v>
      </c>
    </row>
    <row r="21" spans="1:37">
      <c r="A21" s="75">
        <v>15</v>
      </c>
      <c r="B21" s="78" t="s">
        <v>52</v>
      </c>
      <c r="C21" s="85">
        <f>$H$21/$H$6*C6</f>
        <v>3400</v>
      </c>
      <c r="D21" s="85">
        <f>$H$21/$H$6*D6</f>
        <v>0</v>
      </c>
      <c r="E21" s="85">
        <f>$H$21/$H$6*E6</f>
        <v>0</v>
      </c>
      <c r="F21" s="85">
        <f>$H$21/$H$6*F6</f>
        <v>0</v>
      </c>
      <c r="G21" s="85">
        <f>$H$21/$H$6*G6</f>
        <v>0</v>
      </c>
      <c r="H21" s="80">
        <f>项目投资!D27</f>
        <v>3400</v>
      </c>
      <c r="S21" s="78" t="s">
        <v>52</v>
      </c>
      <c r="AI21" s="78"/>
      <c r="AJ21" s="78"/>
    </row>
    <row r="22" spans="1:37">
      <c r="A22" s="75">
        <v>16</v>
      </c>
      <c r="B22" s="78" t="s">
        <v>53</v>
      </c>
      <c r="C22" s="80">
        <f>C6*C47</f>
        <v>34945.631999999998</v>
      </c>
      <c r="D22" s="80">
        <f>D6*D47</f>
        <v>0</v>
      </c>
      <c r="E22" s="80">
        <f>E6*E47</f>
        <v>0</v>
      </c>
      <c r="F22" s="80">
        <f>F6*F47</f>
        <v>0</v>
      </c>
      <c r="G22" s="80">
        <f>G6*G47</f>
        <v>0</v>
      </c>
      <c r="H22" s="80">
        <f>+SUM(C22:G22)</f>
        <v>34945.631999999998</v>
      </c>
      <c r="S22" s="78" t="s">
        <v>53</v>
      </c>
      <c r="AI22" s="78" t="s">
        <v>54</v>
      </c>
      <c r="AJ22" s="78" t="s">
        <v>53</v>
      </c>
    </row>
    <row r="23" spans="1:37">
      <c r="A23" s="75">
        <v>17</v>
      </c>
      <c r="B23" s="81" t="s">
        <v>55</v>
      </c>
      <c r="C23" s="85">
        <f>+C22+C21+C20+C19+C17</f>
        <v>155376.35200000001</v>
      </c>
      <c r="D23" s="85">
        <f>+D22+D21+D20+D19+D17</f>
        <v>0</v>
      </c>
      <c r="E23" s="85">
        <f>+E22+E21+E20+E19+E17</f>
        <v>0</v>
      </c>
      <c r="F23" s="85">
        <f>+F22+F21+F20+F19+F17</f>
        <v>0</v>
      </c>
      <c r="G23" s="85">
        <f>+G22+G21+G20+G19+G17</f>
        <v>0</v>
      </c>
      <c r="H23" s="85">
        <f t="shared" ref="H23" si="6">+H22+H21+H20+H19+H17</f>
        <v>155376.35200000001</v>
      </c>
      <c r="S23" s="81" t="s">
        <v>55</v>
      </c>
      <c r="AI23" s="78" t="s">
        <v>56</v>
      </c>
      <c r="AJ23" s="81" t="s">
        <v>55</v>
      </c>
    </row>
    <row r="24" spans="1:37">
      <c r="A24" s="75">
        <v>18</v>
      </c>
      <c r="B24" s="86" t="s">
        <v>57</v>
      </c>
      <c r="C24" s="85">
        <f>+C15-C23</f>
        <v>322399.61599999975</v>
      </c>
      <c r="D24" s="85">
        <f>+D15-D23</f>
        <v>0</v>
      </c>
      <c r="E24" s="85">
        <f>+E15-E23</f>
        <v>0</v>
      </c>
      <c r="F24" s="85">
        <f>+F15-F23</f>
        <v>0</v>
      </c>
      <c r="G24" s="85">
        <f>+G15-G23</f>
        <v>0</v>
      </c>
      <c r="H24" s="85">
        <f t="shared" ref="H24" si="7">+H15-H23</f>
        <v>322399.61599999975</v>
      </c>
      <c r="J24" s="95"/>
      <c r="S24" s="78" t="s">
        <v>57</v>
      </c>
      <c r="AI24" s="78" t="s">
        <v>58</v>
      </c>
      <c r="AJ24" s="78" t="s">
        <v>57</v>
      </c>
    </row>
    <row r="25" spans="1:37">
      <c r="A25" s="75">
        <v>19</v>
      </c>
      <c r="B25" s="78" t="s">
        <v>167</v>
      </c>
      <c r="C25" s="85">
        <f>IF(C24&lt;0,0,C24*0.25)</f>
        <v>80599.903999999937</v>
      </c>
      <c r="D25" s="85">
        <f>IF(D24&lt;0,0,D24*0.25)</f>
        <v>0</v>
      </c>
      <c r="E25" s="85">
        <f>IF(E24&lt;0,0,E24*0.25)</f>
        <v>0</v>
      </c>
      <c r="F25" s="85">
        <f>IF(F24&lt;0,0,F24*0.25)</f>
        <v>0</v>
      </c>
      <c r="G25" s="85">
        <f>IF(G24&lt;0,0,G24*0.25)</f>
        <v>0</v>
      </c>
      <c r="H25" s="85">
        <f t="shared" ref="H25" si="8">IF(H24&lt;0,0,H24*0.25)</f>
        <v>80599.903999999937</v>
      </c>
      <c r="I25" s="2"/>
      <c r="J25" s="2"/>
      <c r="K25" s="2"/>
      <c r="S25" s="78" t="s">
        <v>59</v>
      </c>
      <c r="AI25" s="78" t="s">
        <v>60</v>
      </c>
      <c r="AJ25" s="78" t="s">
        <v>59</v>
      </c>
    </row>
    <row r="26" spans="1:37">
      <c r="A26" s="75">
        <v>20</v>
      </c>
      <c r="B26" s="78" t="s">
        <v>61</v>
      </c>
      <c r="C26" s="85">
        <f t="shared" ref="C26:G26" si="9">C24-C25</f>
        <v>241799.71199999982</v>
      </c>
      <c r="D26" s="85">
        <f t="shared" si="9"/>
        <v>0</v>
      </c>
      <c r="E26" s="85">
        <f t="shared" si="9"/>
        <v>0</v>
      </c>
      <c r="F26" s="85">
        <f t="shared" si="9"/>
        <v>0</v>
      </c>
      <c r="G26" s="85">
        <f t="shared" si="9"/>
        <v>0</v>
      </c>
      <c r="H26" s="80">
        <f>+SUM(C26:G26)</f>
        <v>241799.71199999982</v>
      </c>
      <c r="I26" s="2"/>
      <c r="J26" s="2"/>
      <c r="K26" s="2"/>
      <c r="S26" s="78" t="s">
        <v>61</v>
      </c>
      <c r="AI26" s="78" t="s">
        <v>62</v>
      </c>
      <c r="AJ26" s="78" t="s">
        <v>61</v>
      </c>
    </row>
    <row r="27" spans="1:37">
      <c r="A27" s="75">
        <v>21</v>
      </c>
      <c r="B27" s="78" t="s">
        <v>65</v>
      </c>
      <c r="C27" s="87">
        <f t="shared" ref="C27:H27" si="10">C26/C7</f>
        <v>0.17134333333333321</v>
      </c>
      <c r="D27" s="87" t="e">
        <f t="shared" si="10"/>
        <v>#DIV/0!</v>
      </c>
      <c r="E27" s="87" t="e">
        <f t="shared" si="10"/>
        <v>#DIV/0!</v>
      </c>
      <c r="F27" s="87" t="e">
        <f t="shared" si="10"/>
        <v>#DIV/0!</v>
      </c>
      <c r="G27" s="87" t="e">
        <f t="shared" si="10"/>
        <v>#DIV/0!</v>
      </c>
      <c r="H27" s="87">
        <f t="shared" si="10"/>
        <v>0.17134333333333321</v>
      </c>
      <c r="I27" s="2"/>
      <c r="J27" s="2"/>
      <c r="K27" s="2"/>
      <c r="S27" s="78" t="s">
        <v>65</v>
      </c>
      <c r="AI27" s="78" t="s">
        <v>64</v>
      </c>
      <c r="AJ27" s="78" t="s">
        <v>65</v>
      </c>
    </row>
    <row r="28" spans="1:37">
      <c r="I28" s="2"/>
      <c r="J28" s="2"/>
      <c r="K28" s="2"/>
      <c r="S28" s="78"/>
    </row>
    <row r="29" spans="1:37">
      <c r="A29" s="73" t="s">
        <v>66</v>
      </c>
      <c r="H29" s="74" t="s">
        <v>168</v>
      </c>
      <c r="I29" s="2"/>
      <c r="J29" s="2"/>
      <c r="K29" s="2"/>
      <c r="S29" s="78"/>
      <c r="AI29" s="73" t="s">
        <v>66</v>
      </c>
    </row>
    <row r="30" spans="1:37">
      <c r="A30" s="78" t="s">
        <v>72</v>
      </c>
      <c r="B30" s="81" t="s">
        <v>73</v>
      </c>
      <c r="C30" s="85"/>
      <c r="D30" s="85"/>
      <c r="E30" s="85"/>
      <c r="F30" s="85"/>
      <c r="G30" s="85"/>
      <c r="H30" s="85"/>
      <c r="I30" s="2"/>
      <c r="J30" s="2"/>
      <c r="K30" s="2"/>
      <c r="M30" s="2"/>
      <c r="S30" s="81" t="s">
        <v>73</v>
      </c>
      <c r="AI30" s="78" t="s">
        <v>74</v>
      </c>
      <c r="AJ30" s="81" t="s">
        <v>73</v>
      </c>
    </row>
    <row r="31" spans="1:37">
      <c r="A31" s="75">
        <v>1</v>
      </c>
      <c r="B31" s="83" t="s">
        <v>75</v>
      </c>
      <c r="C31" s="88">
        <f>销量!C8</f>
        <v>1176</v>
      </c>
      <c r="D31" s="88">
        <f>销量!D8</f>
        <v>0</v>
      </c>
      <c r="E31" s="88">
        <f>销量!E8</f>
        <v>0</v>
      </c>
      <c r="F31" s="88">
        <f>销量!F8</f>
        <v>0</v>
      </c>
      <c r="G31" s="88">
        <f>销量!G8</f>
        <v>0</v>
      </c>
      <c r="H31" s="85"/>
      <c r="I31" s="2"/>
      <c r="J31" s="2"/>
      <c r="K31" s="2"/>
      <c r="M31" s="2"/>
      <c r="S31" s="78" t="s">
        <v>75</v>
      </c>
      <c r="AI31" s="78" t="s">
        <v>24</v>
      </c>
      <c r="AJ31" s="78" t="s">
        <v>75</v>
      </c>
    </row>
    <row r="32" spans="1:37">
      <c r="A32" s="75">
        <v>2</v>
      </c>
      <c r="B32" s="78" t="s">
        <v>169</v>
      </c>
      <c r="C32" s="80">
        <f>C9/C6</f>
        <v>1176</v>
      </c>
      <c r="D32" s="80" t="e">
        <f>D9/D6</f>
        <v>#DIV/0!</v>
      </c>
      <c r="E32" s="80">
        <f t="shared" ref="E32:G32" si="11">E31*1</f>
        <v>0</v>
      </c>
      <c r="F32" s="80">
        <f t="shared" si="11"/>
        <v>0</v>
      </c>
      <c r="G32" s="80">
        <f t="shared" si="11"/>
        <v>0</v>
      </c>
      <c r="H32" s="85"/>
      <c r="I32" s="2"/>
      <c r="J32" s="2"/>
      <c r="K32" s="2"/>
      <c r="L32" s="2"/>
      <c r="M32" s="2"/>
      <c r="N32" s="2"/>
      <c r="O32" s="2"/>
      <c r="AI32" s="78"/>
      <c r="AJ32" s="78"/>
    </row>
    <row r="33" spans="1:36">
      <c r="A33" s="75">
        <v>3</v>
      </c>
      <c r="B33" s="83" t="s">
        <v>76</v>
      </c>
      <c r="C33" s="80">
        <f>材料成本!D24</f>
        <v>629.1020000000002</v>
      </c>
      <c r="D33" s="80">
        <f>材料成本!E24</f>
        <v>0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5"/>
      <c r="J33" s="2"/>
      <c r="K33" s="2"/>
      <c r="L33" s="2"/>
      <c r="M33" s="2"/>
      <c r="N33" s="2"/>
      <c r="O33" s="2"/>
      <c r="S33" s="78" t="s">
        <v>76</v>
      </c>
      <c r="AI33" s="78" t="s">
        <v>26</v>
      </c>
      <c r="AJ33" s="78" t="s">
        <v>76</v>
      </c>
    </row>
    <row r="34" spans="1:36" ht="17.25" customHeight="1">
      <c r="A34" s="75">
        <v>4</v>
      </c>
      <c r="B34" s="78" t="s">
        <v>78</v>
      </c>
      <c r="C34" s="89">
        <f>C32-C33</f>
        <v>546.8979999999998</v>
      </c>
      <c r="D34" s="89" t="e">
        <f t="shared" ref="D34:G34" si="12">D32-D33</f>
        <v>#DIV/0!</v>
      </c>
      <c r="E34" s="89">
        <f t="shared" si="12"/>
        <v>0</v>
      </c>
      <c r="F34" s="89">
        <f t="shared" si="12"/>
        <v>0</v>
      </c>
      <c r="G34" s="89">
        <f t="shared" si="12"/>
        <v>0</v>
      </c>
      <c r="H34" s="85"/>
      <c r="J34" s="2"/>
      <c r="K34" s="2"/>
      <c r="L34" s="2"/>
      <c r="M34" s="2"/>
      <c r="N34" s="2"/>
      <c r="O34" s="2"/>
      <c r="S34" s="78" t="s">
        <v>78</v>
      </c>
      <c r="AI34" s="78" t="s">
        <v>77</v>
      </c>
      <c r="AJ34" s="78" t="s">
        <v>78</v>
      </c>
    </row>
    <row r="35" spans="1:36">
      <c r="A35" s="78" t="s">
        <v>74</v>
      </c>
      <c r="B35" s="81" t="s">
        <v>8</v>
      </c>
      <c r="C35" s="85"/>
      <c r="D35" s="85"/>
      <c r="E35" s="85"/>
      <c r="F35" s="85"/>
      <c r="G35" s="85"/>
      <c r="H35" s="85"/>
      <c r="I35" s="2"/>
      <c r="J35" s="2"/>
      <c r="K35" s="2"/>
      <c r="L35" s="2"/>
      <c r="M35" s="2"/>
      <c r="N35" s="2"/>
      <c r="O35" s="2"/>
      <c r="P35" s="2"/>
      <c r="Q35" s="2"/>
      <c r="R35" s="2"/>
      <c r="S35" s="81" t="s">
        <v>8</v>
      </c>
      <c r="AI35" s="78" t="s">
        <v>80</v>
      </c>
      <c r="AJ35" s="81" t="s">
        <v>8</v>
      </c>
    </row>
    <row r="36" spans="1:36">
      <c r="A36" s="75">
        <v>1</v>
      </c>
      <c r="B36" s="78" t="s">
        <v>81</v>
      </c>
      <c r="C36" s="84">
        <f>标准成本!D4</f>
        <v>58.926320000000004</v>
      </c>
      <c r="D36" s="84">
        <f t="shared" ref="D36:G38" si="13">C36</f>
        <v>58.926320000000004</v>
      </c>
      <c r="E36" s="84">
        <f t="shared" si="13"/>
        <v>58.926320000000004</v>
      </c>
      <c r="F36" s="84">
        <f t="shared" si="13"/>
        <v>58.926320000000004</v>
      </c>
      <c r="G36" s="84">
        <f t="shared" si="13"/>
        <v>58.926320000000004</v>
      </c>
      <c r="H36" s="88"/>
      <c r="I36" s="2"/>
      <c r="J36" s="2"/>
      <c r="K36" s="2"/>
      <c r="L36" s="2"/>
      <c r="M36" s="2"/>
      <c r="N36" s="2"/>
      <c r="O36" s="2"/>
      <c r="P36" s="2"/>
      <c r="Q36" s="2"/>
      <c r="R36" s="2"/>
      <c r="S36" s="78" t="s">
        <v>81</v>
      </c>
      <c r="AI36" s="78" t="s">
        <v>77</v>
      </c>
      <c r="AJ36" s="78" t="s">
        <v>81</v>
      </c>
    </row>
    <row r="37" spans="1:36">
      <c r="A37" s="75">
        <v>2</v>
      </c>
      <c r="B37" s="78" t="s">
        <v>82</v>
      </c>
      <c r="C37" s="84">
        <f>标准成本!D6</f>
        <v>29.668240000000001</v>
      </c>
      <c r="D37" s="84">
        <f t="shared" si="13"/>
        <v>29.668240000000001</v>
      </c>
      <c r="E37" s="84">
        <f t="shared" si="13"/>
        <v>29.668240000000001</v>
      </c>
      <c r="F37" s="84">
        <f t="shared" si="13"/>
        <v>29.668240000000001</v>
      </c>
      <c r="G37" s="84">
        <f t="shared" si="13"/>
        <v>29.668240000000001</v>
      </c>
      <c r="H37" s="88"/>
      <c r="I37" s="2"/>
      <c r="J37" s="2"/>
      <c r="K37" s="2"/>
      <c r="L37" s="2"/>
      <c r="M37" s="2"/>
      <c r="N37" s="2"/>
      <c r="O37" s="2"/>
      <c r="P37" s="2"/>
      <c r="Q37" s="2"/>
      <c r="R37" s="2"/>
      <c r="S37" s="78" t="s">
        <v>82</v>
      </c>
      <c r="AI37" s="78" t="s">
        <v>29</v>
      </c>
      <c r="AJ37" s="78" t="s">
        <v>82</v>
      </c>
    </row>
    <row r="38" spans="1:36">
      <c r="A38" s="75">
        <v>3</v>
      </c>
      <c r="B38" s="78" t="s">
        <v>83</v>
      </c>
      <c r="C38" s="84">
        <f>标准成本!D10</f>
        <v>60.156799999999997</v>
      </c>
      <c r="D38" s="84">
        <f t="shared" si="13"/>
        <v>60.156799999999997</v>
      </c>
      <c r="E38" s="84">
        <f t="shared" si="13"/>
        <v>60.156799999999997</v>
      </c>
      <c r="F38" s="84">
        <f t="shared" si="13"/>
        <v>60.156799999999997</v>
      </c>
      <c r="G38" s="84">
        <f t="shared" si="13"/>
        <v>60.156799999999997</v>
      </c>
      <c r="H38" s="88"/>
      <c r="I38" s="2"/>
      <c r="J38" s="2"/>
      <c r="K38" s="2"/>
      <c r="L38" s="2"/>
      <c r="M38" s="2"/>
      <c r="N38" s="2"/>
      <c r="O38" s="2"/>
      <c r="P38" s="2"/>
      <c r="Q38" s="2"/>
      <c r="R38" s="2"/>
      <c r="S38" s="78" t="s">
        <v>83</v>
      </c>
      <c r="AI38" s="78" t="s">
        <v>35</v>
      </c>
      <c r="AJ38" s="78" t="s">
        <v>83</v>
      </c>
    </row>
    <row r="39" spans="1:36">
      <c r="A39" s="78" t="s">
        <v>80</v>
      </c>
      <c r="B39" s="81" t="s">
        <v>85</v>
      </c>
      <c r="C39" s="85"/>
      <c r="D39" s="85"/>
      <c r="E39" s="85"/>
      <c r="F39" s="85"/>
      <c r="G39" s="85"/>
      <c r="H39" s="85"/>
      <c r="S39" s="81" t="s">
        <v>85</v>
      </c>
      <c r="AI39" s="78" t="s">
        <v>84</v>
      </c>
      <c r="AJ39" s="81" t="s">
        <v>85</v>
      </c>
    </row>
    <row r="40" spans="1:36">
      <c r="A40" s="75">
        <v>1</v>
      </c>
      <c r="B40" s="78" t="s">
        <v>86</v>
      </c>
      <c r="C40" s="85">
        <f>C34-C36-C37-C38</f>
        <v>398.14663999999976</v>
      </c>
      <c r="D40" s="85" t="e">
        <f t="shared" ref="D40:G40" si="14">D34-D36-D37-D38</f>
        <v>#DIV/0!</v>
      </c>
      <c r="E40" s="85">
        <f t="shared" si="14"/>
        <v>-148.75136000000001</v>
      </c>
      <c r="F40" s="85">
        <f t="shared" si="14"/>
        <v>-148.75136000000001</v>
      </c>
      <c r="G40" s="85">
        <f t="shared" si="14"/>
        <v>-148.75136000000001</v>
      </c>
      <c r="H40" s="85"/>
      <c r="S40" s="78" t="s">
        <v>86</v>
      </c>
      <c r="AI40" s="78" t="s">
        <v>24</v>
      </c>
      <c r="AJ40" s="78" t="s">
        <v>86</v>
      </c>
    </row>
    <row r="41" spans="1:36">
      <c r="A41" s="75">
        <v>2</v>
      </c>
      <c r="B41" s="78" t="s">
        <v>87</v>
      </c>
      <c r="C41" s="85"/>
      <c r="D41" s="85"/>
      <c r="E41" s="85"/>
      <c r="F41" s="85"/>
      <c r="G41" s="85"/>
      <c r="H41" s="85"/>
      <c r="S41" s="78" t="s">
        <v>87</v>
      </c>
      <c r="AI41" s="78" t="s">
        <v>26</v>
      </c>
      <c r="AJ41" s="78" t="s">
        <v>87</v>
      </c>
    </row>
    <row r="42" spans="1:36">
      <c r="A42" s="78" t="s">
        <v>84</v>
      </c>
      <c r="B42" s="81" t="s">
        <v>89</v>
      </c>
      <c r="C42" s="85"/>
      <c r="D42" s="85"/>
      <c r="E42" s="85"/>
      <c r="F42" s="85"/>
      <c r="G42" s="85"/>
      <c r="H42" s="85"/>
      <c r="S42" s="81" t="s">
        <v>89</v>
      </c>
      <c r="AI42" s="78" t="s">
        <v>88</v>
      </c>
      <c r="AJ42" s="81" t="s">
        <v>89</v>
      </c>
    </row>
    <row r="43" spans="1:36">
      <c r="A43" s="75">
        <v>1</v>
      </c>
      <c r="B43" s="86" t="s">
        <v>90</v>
      </c>
      <c r="C43" s="84">
        <f>标准成本!D5</f>
        <v>56.055200000000006</v>
      </c>
      <c r="D43" s="84">
        <f t="shared" ref="D43:G45" si="15">C43</f>
        <v>56.055200000000006</v>
      </c>
      <c r="E43" s="84">
        <f t="shared" si="15"/>
        <v>56.055200000000006</v>
      </c>
      <c r="F43" s="84">
        <f t="shared" si="15"/>
        <v>56.055200000000006</v>
      </c>
      <c r="G43" s="84">
        <f t="shared" si="15"/>
        <v>56.055200000000006</v>
      </c>
      <c r="H43" s="85"/>
      <c r="S43" s="78" t="s">
        <v>90</v>
      </c>
      <c r="AI43" s="78" t="s">
        <v>24</v>
      </c>
      <c r="AJ43" s="78" t="s">
        <v>90</v>
      </c>
    </row>
    <row r="44" spans="1:36">
      <c r="A44" s="75">
        <v>2</v>
      </c>
      <c r="B44" s="86" t="s">
        <v>91</v>
      </c>
      <c r="C44" s="84">
        <f>标准成本!D9</f>
        <v>9.5704000000000011</v>
      </c>
      <c r="D44" s="84">
        <f t="shared" si="15"/>
        <v>9.5704000000000011</v>
      </c>
      <c r="E44" s="84">
        <f t="shared" si="15"/>
        <v>9.5704000000000011</v>
      </c>
      <c r="F44" s="84">
        <f t="shared" si="15"/>
        <v>9.5704000000000011</v>
      </c>
      <c r="G44" s="84">
        <f t="shared" si="15"/>
        <v>9.5704000000000011</v>
      </c>
      <c r="H44" s="85"/>
      <c r="S44" s="78" t="s">
        <v>91</v>
      </c>
      <c r="AI44" s="78" t="s">
        <v>26</v>
      </c>
      <c r="AJ44" s="78" t="s">
        <v>91</v>
      </c>
    </row>
    <row r="45" spans="1:36">
      <c r="A45" s="75">
        <v>3</v>
      </c>
      <c r="B45" s="86" t="s">
        <v>92</v>
      </c>
      <c r="C45" s="84">
        <v>30</v>
      </c>
      <c r="D45" s="84">
        <f t="shared" si="15"/>
        <v>30</v>
      </c>
      <c r="E45" s="84">
        <f t="shared" si="15"/>
        <v>30</v>
      </c>
      <c r="F45" s="84">
        <f t="shared" si="15"/>
        <v>30</v>
      </c>
      <c r="G45" s="84">
        <f t="shared" si="15"/>
        <v>30</v>
      </c>
      <c r="H45" s="85"/>
      <c r="S45" s="78" t="s">
        <v>92</v>
      </c>
      <c r="AI45" s="78" t="s">
        <v>77</v>
      </c>
      <c r="AJ45" s="78" t="s">
        <v>92</v>
      </c>
    </row>
    <row r="46" spans="1:36" s="72" customFormat="1">
      <c r="A46" s="75">
        <v>4</v>
      </c>
      <c r="B46" s="86" t="s">
        <v>93</v>
      </c>
      <c r="C46" s="90">
        <f>C21/C6</f>
        <v>2.8333333333333335</v>
      </c>
      <c r="D46" s="90" t="e">
        <f>D21/D6</f>
        <v>#DIV/0!</v>
      </c>
      <c r="E46" s="90" t="e">
        <f>E21/E6</f>
        <v>#DIV/0!</v>
      </c>
      <c r="F46" s="90" t="e">
        <f>F21/F6</f>
        <v>#DIV/0!</v>
      </c>
      <c r="G46" s="90" t="e">
        <f>G21/G6</f>
        <v>#DIV/0!</v>
      </c>
      <c r="H46" s="90"/>
      <c r="S46" s="86" t="s">
        <v>95</v>
      </c>
      <c r="AI46" s="86" t="s">
        <v>32</v>
      </c>
      <c r="AJ46" s="86" t="s">
        <v>95</v>
      </c>
    </row>
    <row r="47" spans="1:36" s="72" customFormat="1">
      <c r="A47" s="75">
        <v>5</v>
      </c>
      <c r="B47" s="86" t="s">
        <v>95</v>
      </c>
      <c r="C47" s="90">
        <f>标准成本!D11</f>
        <v>29.121359999999999</v>
      </c>
      <c r="D47" s="90">
        <f>C47</f>
        <v>29.121359999999999</v>
      </c>
      <c r="E47" s="90">
        <f>D47</f>
        <v>29.121359999999999</v>
      </c>
      <c r="F47" s="90">
        <f>E47</f>
        <v>29.121359999999999</v>
      </c>
      <c r="G47" s="90">
        <f>F47</f>
        <v>29.121359999999999</v>
      </c>
      <c r="H47" s="90"/>
      <c r="S47" s="86" t="s">
        <v>95</v>
      </c>
      <c r="AI47" s="86" t="s">
        <v>32</v>
      </c>
      <c r="AJ47" s="86" t="s">
        <v>95</v>
      </c>
    </row>
    <row r="48" spans="1:36">
      <c r="A48" s="78" t="s">
        <v>88</v>
      </c>
      <c r="B48" s="81" t="s">
        <v>106</v>
      </c>
      <c r="C48" s="85">
        <f>C40-C43-C44-C45-C47-C46</f>
        <v>270.56634666666645</v>
      </c>
      <c r="D48" s="85" t="e">
        <f>D40-D43-D44-D45-D47-D46</f>
        <v>#DIV/0!</v>
      </c>
      <c r="E48" s="85" t="e">
        <f>E40-E43-E44-E45-E47-E46</f>
        <v>#DIV/0!</v>
      </c>
      <c r="F48" s="85" t="e">
        <f>F40-F43-F44-F45-F47-F46</f>
        <v>#DIV/0!</v>
      </c>
      <c r="G48" s="85" t="e">
        <f>G40-G43-G44-G45-G47-G46</f>
        <v>#DIV/0!</v>
      </c>
      <c r="H48" s="85"/>
      <c r="S48" s="81" t="s">
        <v>106</v>
      </c>
      <c r="AI48" s="78" t="s">
        <v>105</v>
      </c>
      <c r="AJ48" s="81" t="s">
        <v>106</v>
      </c>
    </row>
    <row r="51" spans="2:13">
      <c r="C51" s="91"/>
      <c r="D51" s="91"/>
      <c r="E51" s="91"/>
      <c r="F51" s="91"/>
      <c r="G51" s="91"/>
    </row>
    <row r="54" spans="2:13">
      <c r="B54" s="2"/>
      <c r="C54" s="92"/>
      <c r="D54" s="92"/>
      <c r="E54" s="92"/>
      <c r="F54" s="92"/>
      <c r="G54" s="92"/>
      <c r="H54" s="92"/>
      <c r="I54" s="2"/>
      <c r="J54" s="2"/>
      <c r="K54" s="2"/>
      <c r="L54" s="2"/>
      <c r="M54" s="2"/>
    </row>
    <row r="55" spans="2:13">
      <c r="B55" s="2"/>
      <c r="C55" s="92"/>
      <c r="D55" s="92"/>
      <c r="E55" s="92"/>
      <c r="F55" s="92"/>
      <c r="G55" s="92"/>
      <c r="H55" s="92"/>
      <c r="I55" s="2"/>
      <c r="J55" s="2"/>
      <c r="K55" s="2"/>
      <c r="L55" s="2"/>
      <c r="M55" s="2"/>
    </row>
    <row r="56" spans="2:13">
      <c r="B56" s="2"/>
      <c r="C56" s="92"/>
      <c r="D56" s="92"/>
      <c r="E56" s="92"/>
      <c r="F56" s="92"/>
      <c r="G56" s="92"/>
      <c r="H56" s="92"/>
      <c r="I56" s="2"/>
      <c r="J56" s="2"/>
      <c r="K56" s="2"/>
      <c r="L56" s="2"/>
      <c r="M56" s="2"/>
    </row>
    <row r="57" spans="2:13">
      <c r="B57" s="2"/>
      <c r="C57" s="92"/>
      <c r="D57" s="92"/>
      <c r="E57" s="92"/>
      <c r="F57" s="92"/>
      <c r="G57" s="92"/>
      <c r="H57" s="92"/>
      <c r="I57" s="2"/>
      <c r="J57" s="2"/>
      <c r="K57" s="2"/>
      <c r="L57" s="2"/>
      <c r="M57" s="2"/>
    </row>
    <row r="58" spans="2:13">
      <c r="B58" s="2"/>
      <c r="C58" s="92"/>
      <c r="D58" s="92"/>
      <c r="E58" s="92"/>
      <c r="F58" s="92"/>
      <c r="G58" s="92"/>
      <c r="H58" s="92"/>
      <c r="I58" s="2"/>
      <c r="J58" s="2"/>
      <c r="K58" s="2"/>
      <c r="L58" s="2"/>
      <c r="M58" s="2"/>
    </row>
    <row r="59" spans="2:13">
      <c r="B59" s="2"/>
      <c r="C59" s="92"/>
      <c r="D59" s="92"/>
      <c r="E59" s="92"/>
      <c r="F59" s="92"/>
      <c r="G59" s="92"/>
      <c r="H59" s="92"/>
      <c r="I59" s="2"/>
      <c r="J59" s="2"/>
      <c r="K59" s="2"/>
      <c r="L59" s="2"/>
      <c r="M59" s="2"/>
    </row>
    <row r="60" spans="2:13">
      <c r="B60" s="2"/>
      <c r="C60" s="92"/>
      <c r="D60" s="92"/>
      <c r="E60" s="92"/>
      <c r="F60" s="92"/>
      <c r="G60" s="92"/>
      <c r="H60" s="92"/>
      <c r="I60" s="2"/>
      <c r="J60" s="2"/>
      <c r="K60" s="2"/>
      <c r="L60" s="2"/>
      <c r="M60" s="2"/>
    </row>
    <row r="61" spans="2:13">
      <c r="B61" s="2"/>
      <c r="C61" s="92"/>
      <c r="D61" s="92"/>
      <c r="E61" s="92"/>
      <c r="F61" s="92"/>
      <c r="G61" s="92"/>
      <c r="H61" s="92"/>
      <c r="I61" s="2"/>
      <c r="J61" s="2"/>
      <c r="K61" s="2"/>
      <c r="L61" s="2"/>
      <c r="M61" s="2"/>
    </row>
    <row r="62" spans="2:13">
      <c r="B62" s="2"/>
      <c r="C62" s="92"/>
      <c r="D62" s="92"/>
      <c r="E62" s="92"/>
      <c r="F62" s="92"/>
      <c r="G62" s="92"/>
      <c r="H62" s="92"/>
      <c r="I62" s="2"/>
      <c r="J62" s="2"/>
      <c r="K62" s="2"/>
      <c r="L62" s="2"/>
      <c r="M62" s="2"/>
    </row>
    <row r="63" spans="2:13">
      <c r="B63" s="2"/>
      <c r="C63" s="92"/>
      <c r="D63" s="92"/>
      <c r="E63" s="92"/>
      <c r="F63" s="92"/>
      <c r="G63" s="92"/>
      <c r="H63" s="92"/>
      <c r="I63" s="2"/>
      <c r="J63" s="2"/>
      <c r="K63" s="2"/>
      <c r="L63" s="2"/>
      <c r="M63" s="2"/>
    </row>
    <row r="64" spans="2:13">
      <c r="B64" s="2"/>
      <c r="C64" s="92"/>
      <c r="D64" s="92"/>
      <c r="E64" s="92"/>
      <c r="F64" s="92"/>
      <c r="G64" s="92"/>
      <c r="H64" s="92"/>
      <c r="I64" s="2"/>
      <c r="J64" s="2"/>
      <c r="K64" s="2"/>
      <c r="L64" s="2"/>
      <c r="M64" s="2"/>
    </row>
    <row r="65" spans="2:13">
      <c r="B65" s="2"/>
      <c r="C65" s="92"/>
      <c r="D65" s="92"/>
      <c r="E65" s="92"/>
      <c r="F65" s="92"/>
      <c r="G65" s="92"/>
      <c r="H65" s="92"/>
      <c r="I65" s="2"/>
      <c r="J65" s="2"/>
      <c r="K65" s="2"/>
      <c r="L65" s="2"/>
      <c r="M65" s="2"/>
    </row>
    <row r="66" spans="2:13">
      <c r="B66" s="2"/>
      <c r="C66" s="92"/>
      <c r="D66" s="92"/>
      <c r="E66" s="92"/>
      <c r="F66" s="92"/>
      <c r="G66" s="92"/>
      <c r="H66" s="92"/>
      <c r="I66" s="2"/>
      <c r="J66" s="2"/>
      <c r="K66" s="2"/>
      <c r="L66" s="2"/>
      <c r="M66" s="2"/>
    </row>
    <row r="67" spans="2:13">
      <c r="B67" s="2"/>
      <c r="C67" s="92"/>
      <c r="D67" s="92"/>
      <c r="E67" s="92"/>
      <c r="F67" s="92"/>
      <c r="G67" s="92"/>
      <c r="H67" s="92"/>
      <c r="I67" s="2"/>
    </row>
    <row r="68" spans="2:13">
      <c r="B68" s="2"/>
      <c r="C68" s="92"/>
      <c r="D68" s="92"/>
      <c r="E68" s="92"/>
      <c r="F68" s="92"/>
      <c r="G68" s="92"/>
      <c r="H68" s="92"/>
      <c r="I68" s="2"/>
    </row>
    <row r="69" spans="2:13">
      <c r="B69" s="2"/>
      <c r="C69" s="92"/>
      <c r="D69" s="92"/>
      <c r="E69" s="92"/>
      <c r="F69" s="92"/>
      <c r="G69" s="92"/>
      <c r="H69" s="92"/>
      <c r="I69" s="2"/>
    </row>
    <row r="70" spans="2:13">
      <c r="B70" s="2"/>
      <c r="C70" s="92"/>
      <c r="D70" s="92"/>
      <c r="E70" s="92"/>
      <c r="F70" s="92"/>
      <c r="G70" s="92"/>
      <c r="H70" s="92"/>
      <c r="I70" s="2"/>
    </row>
    <row r="71" spans="2:13">
      <c r="B71" s="2"/>
      <c r="C71" s="92"/>
      <c r="D71" s="92"/>
      <c r="E71" s="92"/>
      <c r="F71" s="92"/>
      <c r="G71" s="92"/>
      <c r="H71" s="92"/>
      <c r="I71" s="2"/>
    </row>
    <row r="72" spans="2:13">
      <c r="B72" s="2"/>
      <c r="C72" s="92"/>
      <c r="D72" s="92"/>
      <c r="E72" s="92"/>
      <c r="F72" s="92"/>
      <c r="G72" s="92"/>
      <c r="H72" s="92"/>
      <c r="I72" s="2"/>
    </row>
    <row r="73" spans="2:13">
      <c r="B73" s="2"/>
      <c r="C73" s="92"/>
      <c r="D73" s="92"/>
      <c r="E73" s="92"/>
      <c r="F73" s="92"/>
      <c r="G73" s="92"/>
      <c r="H73" s="92"/>
      <c r="I73" s="2"/>
    </row>
    <row r="74" spans="2:13">
      <c r="B74" s="2"/>
      <c r="C74" s="92"/>
      <c r="D74" s="92"/>
      <c r="E74" s="92"/>
      <c r="F74" s="92"/>
      <c r="G74" s="92"/>
      <c r="H74" s="92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0" activePane="bottomRight" state="frozen"/>
      <selection pane="topRight"/>
      <selection pane="bottomLeft"/>
      <selection pane="bottomRight" activeCell="C44" sqref="C44"/>
    </sheetView>
  </sheetViews>
  <sheetFormatPr defaultColWidth="9" defaultRowHeight="16.5"/>
  <cols>
    <col min="1" max="1" width="5.125" style="73" customWidth="1"/>
    <col min="2" max="2" width="17.5" style="73" customWidth="1"/>
    <col min="3" max="3" width="13.25" style="74" customWidth="1"/>
    <col min="4" max="7" width="15.5" style="74" customWidth="1"/>
    <col min="8" max="8" width="18.75" style="74" customWidth="1"/>
    <col min="9" max="9" width="12.375" style="73" customWidth="1"/>
    <col min="10" max="10" width="10.125" style="73" customWidth="1"/>
    <col min="11" max="17" width="9" style="73" customWidth="1"/>
    <col min="18" max="34" width="9" style="73"/>
    <col min="35" max="35" width="4.375" style="73" customWidth="1"/>
    <col min="36" max="36" width="13.875" style="73" customWidth="1"/>
    <col min="37" max="16384" width="9" style="73"/>
  </cols>
  <sheetData>
    <row r="1" spans="1:37">
      <c r="A1" s="181" t="s">
        <v>154</v>
      </c>
      <c r="B1" s="181"/>
      <c r="C1" s="182" t="s">
        <v>171</v>
      </c>
      <c r="D1" s="183"/>
      <c r="E1" s="183"/>
      <c r="F1" s="183"/>
      <c r="G1" s="183"/>
      <c r="H1" s="184"/>
    </row>
    <row r="2" spans="1:37">
      <c r="A2" s="181" t="s">
        <v>156</v>
      </c>
      <c r="B2" s="181"/>
      <c r="C2" s="185" t="s">
        <v>157</v>
      </c>
      <c r="D2" s="185"/>
      <c r="E2" s="185"/>
      <c r="F2" s="185"/>
      <c r="G2" s="185"/>
      <c r="H2" s="185"/>
    </row>
    <row r="3" spans="1:37">
      <c r="A3" s="181" t="s">
        <v>158</v>
      </c>
      <c r="B3" s="181"/>
      <c r="C3" s="24" t="s">
        <v>159</v>
      </c>
      <c r="D3" s="24"/>
      <c r="E3" s="76"/>
      <c r="F3" s="76"/>
      <c r="G3" s="76"/>
      <c r="H3" s="186" t="s">
        <v>20</v>
      </c>
    </row>
    <row r="4" spans="1:37" ht="33">
      <c r="A4" s="181" t="s">
        <v>160</v>
      </c>
      <c r="B4" s="181"/>
      <c r="C4" s="27" t="s">
        <v>161</v>
      </c>
      <c r="D4" s="27"/>
      <c r="E4" s="76"/>
      <c r="F4" s="76"/>
      <c r="G4" s="76"/>
      <c r="H4" s="187"/>
    </row>
    <row r="5" spans="1:37">
      <c r="A5" s="181" t="s">
        <v>162</v>
      </c>
      <c r="B5" s="181"/>
      <c r="C5" s="77" t="s">
        <v>163</v>
      </c>
      <c r="D5" s="77"/>
      <c r="E5" s="77"/>
      <c r="F5" s="77"/>
      <c r="G5" s="77"/>
      <c r="H5" s="188"/>
      <c r="AK5" s="73" t="s">
        <v>21</v>
      </c>
    </row>
    <row r="6" spans="1:37" ht="17.25">
      <c r="A6" s="78" t="s">
        <v>14</v>
      </c>
      <c r="B6" s="79" t="s">
        <v>164</v>
      </c>
      <c r="C6" s="43">
        <f>销量!C11</f>
        <v>1200</v>
      </c>
      <c r="D6" s="43">
        <f>销量!D11</f>
        <v>0</v>
      </c>
      <c r="E6" s="43">
        <f>销量!E9</f>
        <v>0</v>
      </c>
      <c r="F6" s="43">
        <f>销量!F9</f>
        <v>0</v>
      </c>
      <c r="G6" s="43">
        <f>销量!G9</f>
        <v>0</v>
      </c>
      <c r="H6" s="80">
        <f t="shared" ref="H6:H15" si="0">+SUM(C6:G6)</f>
        <v>1200</v>
      </c>
      <c r="S6" s="79" t="s">
        <v>3</v>
      </c>
      <c r="AI6" s="78" t="s">
        <v>14</v>
      </c>
      <c r="AJ6" s="79" t="s">
        <v>3</v>
      </c>
      <c r="AK6" s="73" t="s">
        <v>22</v>
      </c>
    </row>
    <row r="7" spans="1:37">
      <c r="A7" s="75">
        <v>1</v>
      </c>
      <c r="B7" s="79" t="s">
        <v>23</v>
      </c>
      <c r="C7" s="80">
        <f>C6*销量!C8</f>
        <v>1411200</v>
      </c>
      <c r="D7" s="80">
        <f>D6*销量!D8</f>
        <v>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si="0"/>
        <v>1411200</v>
      </c>
      <c r="I7" s="74"/>
      <c r="S7" s="79" t="s">
        <v>23</v>
      </c>
      <c r="AI7" s="78" t="s">
        <v>24</v>
      </c>
      <c r="AJ7" s="79" t="s">
        <v>23</v>
      </c>
      <c r="AK7" s="73" t="s">
        <v>22</v>
      </c>
    </row>
    <row r="8" spans="1:37">
      <c r="A8" s="75">
        <v>2</v>
      </c>
      <c r="B8" s="75" t="s">
        <v>25</v>
      </c>
      <c r="C8" s="80">
        <f>C7*(1-销量!$L$8)</f>
        <v>0</v>
      </c>
      <c r="D8" s="80">
        <f>D7*(1-销量!$L$8)</f>
        <v>0</v>
      </c>
      <c r="E8" s="80"/>
      <c r="F8" s="80"/>
      <c r="G8" s="80"/>
      <c r="H8" s="80">
        <f t="shared" si="0"/>
        <v>0</v>
      </c>
      <c r="I8" s="93"/>
      <c r="S8" s="75" t="s">
        <v>27</v>
      </c>
      <c r="AI8" s="78" t="s">
        <v>26</v>
      </c>
      <c r="AJ8" s="75" t="s">
        <v>27</v>
      </c>
      <c r="AK8" s="73" t="s">
        <v>22</v>
      </c>
    </row>
    <row r="9" spans="1:37">
      <c r="A9" s="75">
        <v>3</v>
      </c>
      <c r="B9" s="79" t="s">
        <v>28</v>
      </c>
      <c r="C9" s="80">
        <f>+C7-C8</f>
        <v>1411200</v>
      </c>
      <c r="D9" s="80">
        <f t="shared" ref="D9:G9" si="1">+D7-D8</f>
        <v>0</v>
      </c>
      <c r="E9" s="80">
        <f t="shared" si="1"/>
        <v>0</v>
      </c>
      <c r="F9" s="80">
        <f t="shared" si="1"/>
        <v>0</v>
      </c>
      <c r="G9" s="80">
        <f t="shared" si="1"/>
        <v>0</v>
      </c>
      <c r="H9" s="80">
        <f t="shared" si="0"/>
        <v>1411200</v>
      </c>
      <c r="S9" s="79" t="s">
        <v>28</v>
      </c>
      <c r="AI9" s="78" t="s">
        <v>29</v>
      </c>
      <c r="AJ9" s="79" t="s">
        <v>28</v>
      </c>
      <c r="AK9" s="73" t="s">
        <v>30</v>
      </c>
    </row>
    <row r="10" spans="1:37">
      <c r="A10" s="75">
        <v>4</v>
      </c>
      <c r="B10" s="78" t="s">
        <v>31</v>
      </c>
      <c r="C10" s="80">
        <f>C6*材料成本!D24</f>
        <v>754922.40000000026</v>
      </c>
      <c r="D10" s="80">
        <f>D6*材料成本!E24</f>
        <v>0</v>
      </c>
      <c r="E10" s="80">
        <f>E6*材料成本!F24</f>
        <v>0</v>
      </c>
      <c r="F10" s="80">
        <f>F6*材料成本!G24</f>
        <v>0</v>
      </c>
      <c r="G10" s="80">
        <f>G6*材料成本!H24</f>
        <v>0</v>
      </c>
      <c r="H10" s="80">
        <f t="shared" si="0"/>
        <v>754922.40000000026</v>
      </c>
      <c r="S10" s="78" t="s">
        <v>31</v>
      </c>
      <c r="AI10" s="78" t="s">
        <v>32</v>
      </c>
      <c r="AJ10" s="78" t="s">
        <v>31</v>
      </c>
      <c r="AK10" s="73" t="s">
        <v>33</v>
      </c>
    </row>
    <row r="11" spans="1:37">
      <c r="A11" s="75">
        <v>5</v>
      </c>
      <c r="B11" s="78" t="s">
        <v>34</v>
      </c>
      <c r="C11" s="80">
        <f>+C6*C36</f>
        <v>70711.584000000003</v>
      </c>
      <c r="D11" s="80">
        <f>+D6*D36</f>
        <v>0</v>
      </c>
      <c r="E11" s="80">
        <f>+E6*E36</f>
        <v>0</v>
      </c>
      <c r="F11" s="80">
        <f>+F6*F36</f>
        <v>0</v>
      </c>
      <c r="G11" s="80">
        <f>+G6*G36</f>
        <v>0</v>
      </c>
      <c r="H11" s="80">
        <f t="shared" si="0"/>
        <v>70711.584000000003</v>
      </c>
      <c r="S11" s="78" t="s">
        <v>34</v>
      </c>
      <c r="AI11" s="78" t="s">
        <v>35</v>
      </c>
      <c r="AJ11" s="78" t="s">
        <v>34</v>
      </c>
    </row>
    <row r="12" spans="1:37">
      <c r="A12" s="75">
        <v>6</v>
      </c>
      <c r="B12" s="78" t="s">
        <v>36</v>
      </c>
      <c r="C12" s="80">
        <f>+C6*C37</f>
        <v>35601.887999999999</v>
      </c>
      <c r="D12" s="80">
        <f>+D6*D37</f>
        <v>0</v>
      </c>
      <c r="E12" s="80">
        <f>+E6*E37</f>
        <v>0</v>
      </c>
      <c r="F12" s="80">
        <f>+F6*F37</f>
        <v>0</v>
      </c>
      <c r="G12" s="80">
        <f>+G6*G37</f>
        <v>0</v>
      </c>
      <c r="H12" s="80">
        <f t="shared" si="0"/>
        <v>35601.887999999999</v>
      </c>
      <c r="S12" s="78" t="s">
        <v>36</v>
      </c>
      <c r="AI12" s="78" t="s">
        <v>37</v>
      </c>
      <c r="AJ12" s="78" t="s">
        <v>36</v>
      </c>
    </row>
    <row r="13" spans="1:37">
      <c r="A13" s="75">
        <v>7</v>
      </c>
      <c r="B13" s="78" t="s">
        <v>38</v>
      </c>
      <c r="C13" s="80">
        <f>+C6*C38</f>
        <v>72188.160000000003</v>
      </c>
      <c r="D13" s="80">
        <f t="shared" ref="D13:G13" si="2">+D6*D38</f>
        <v>0</v>
      </c>
      <c r="E13" s="80">
        <f t="shared" si="2"/>
        <v>0</v>
      </c>
      <c r="F13" s="80">
        <f t="shared" si="2"/>
        <v>0</v>
      </c>
      <c r="G13" s="80">
        <f t="shared" si="2"/>
        <v>0</v>
      </c>
      <c r="H13" s="80">
        <f t="shared" si="0"/>
        <v>72188.160000000003</v>
      </c>
      <c r="S13" s="78" t="s">
        <v>38</v>
      </c>
      <c r="AI13" s="78" t="s">
        <v>39</v>
      </c>
      <c r="AJ13" s="78" t="s">
        <v>38</v>
      </c>
      <c r="AK13" s="73" t="s">
        <v>22</v>
      </c>
    </row>
    <row r="14" spans="1:37">
      <c r="A14" s="75">
        <v>8</v>
      </c>
      <c r="B14" s="81" t="s">
        <v>40</v>
      </c>
      <c r="C14" s="80">
        <f>SUM(C11:C13)</f>
        <v>178501.63200000001</v>
      </c>
      <c r="D14" s="80">
        <f t="shared" ref="D14:G14" si="3">SUM(D11:D13)</f>
        <v>0</v>
      </c>
      <c r="E14" s="80">
        <f t="shared" si="3"/>
        <v>0</v>
      </c>
      <c r="F14" s="80">
        <f t="shared" si="3"/>
        <v>0</v>
      </c>
      <c r="G14" s="80">
        <f t="shared" si="3"/>
        <v>0</v>
      </c>
      <c r="H14" s="80">
        <f t="shared" si="0"/>
        <v>178501.63200000001</v>
      </c>
      <c r="S14" s="81" t="s">
        <v>40</v>
      </c>
      <c r="AI14" s="78" t="s">
        <v>41</v>
      </c>
      <c r="AJ14" s="81" t="s">
        <v>40</v>
      </c>
    </row>
    <row r="15" spans="1:37">
      <c r="A15" s="75">
        <v>9</v>
      </c>
      <c r="B15" s="81" t="s">
        <v>42</v>
      </c>
      <c r="C15" s="80">
        <f>+C9-C10-C14</f>
        <v>477775.96799999976</v>
      </c>
      <c r="D15" s="80">
        <f t="shared" ref="D15:G15" si="4">+D9-D10-D14</f>
        <v>0</v>
      </c>
      <c r="E15" s="80">
        <f t="shared" si="4"/>
        <v>0</v>
      </c>
      <c r="F15" s="80">
        <f t="shared" si="4"/>
        <v>0</v>
      </c>
      <c r="G15" s="80">
        <f t="shared" si="4"/>
        <v>0</v>
      </c>
      <c r="H15" s="80">
        <f t="shared" si="0"/>
        <v>477775.96799999976</v>
      </c>
      <c r="S15" s="81" t="s">
        <v>42</v>
      </c>
      <c r="AI15" s="78" t="s">
        <v>43</v>
      </c>
      <c r="AJ15" s="81" t="s">
        <v>42</v>
      </c>
    </row>
    <row r="16" spans="1:37">
      <c r="A16" s="75">
        <v>10</v>
      </c>
      <c r="B16" s="78" t="s">
        <v>44</v>
      </c>
      <c r="C16" s="82">
        <f>+C15/C9</f>
        <v>0.33856006802721073</v>
      </c>
      <c r="D16" s="82" t="e">
        <f t="shared" ref="D16:H16" si="5">+D15/D9</f>
        <v>#DIV/0!</v>
      </c>
      <c r="E16" s="82" t="e">
        <f t="shared" si="5"/>
        <v>#DIV/0!</v>
      </c>
      <c r="F16" s="82" t="e">
        <f t="shared" si="5"/>
        <v>#DIV/0!</v>
      </c>
      <c r="G16" s="82" t="e">
        <f t="shared" si="5"/>
        <v>#DIV/0!</v>
      </c>
      <c r="H16" s="82">
        <f t="shared" si="5"/>
        <v>0.33856006802721073</v>
      </c>
      <c r="S16" s="78" t="s">
        <v>44</v>
      </c>
      <c r="AI16" s="78" t="s">
        <v>45</v>
      </c>
      <c r="AJ16" s="78" t="s">
        <v>44</v>
      </c>
    </row>
    <row r="17" spans="1:37">
      <c r="A17" s="75">
        <v>11</v>
      </c>
      <c r="B17" s="78" t="s">
        <v>46</v>
      </c>
      <c r="C17" s="80">
        <f>C6*C43+C18</f>
        <v>69546.240000000005</v>
      </c>
      <c r="D17" s="80">
        <f>D6*D43+D18</f>
        <v>0</v>
      </c>
      <c r="E17" s="80">
        <f>E6*E43+E18</f>
        <v>0</v>
      </c>
      <c r="F17" s="80">
        <f>F6*F43+F18</f>
        <v>0</v>
      </c>
      <c r="G17" s="80">
        <f>G6*G43+G18</f>
        <v>0</v>
      </c>
      <c r="H17" s="80">
        <f>SUM(C17:G17)</f>
        <v>69546.240000000005</v>
      </c>
      <c r="I17" s="93"/>
      <c r="S17" s="78" t="s">
        <v>46</v>
      </c>
      <c r="AI17" s="78" t="s">
        <v>47</v>
      </c>
      <c r="AJ17" s="78" t="s">
        <v>46</v>
      </c>
    </row>
    <row r="18" spans="1:37" s="71" customFormat="1">
      <c r="A18" s="75">
        <v>12</v>
      </c>
      <c r="B18" s="83" t="s">
        <v>165</v>
      </c>
      <c r="C18" s="84">
        <f>$H$18/$H$6*C6</f>
        <v>2280</v>
      </c>
      <c r="D18" s="84">
        <f>$H$18/$H$6*D6</f>
        <v>0</v>
      </c>
      <c r="E18" s="84">
        <f>$H$18/$H$6*E6</f>
        <v>0</v>
      </c>
      <c r="F18" s="84">
        <f>$H$18/$H$6*F6</f>
        <v>0</v>
      </c>
      <c r="G18" s="84">
        <f>$H$18/$H$6*G6</f>
        <v>0</v>
      </c>
      <c r="H18" s="84">
        <f>项目投资!D26</f>
        <v>2280</v>
      </c>
      <c r="I18" s="94" t="s">
        <v>166</v>
      </c>
      <c r="J18" s="94"/>
      <c r="K18" s="94"/>
    </row>
    <row r="19" spans="1:37">
      <c r="A19" s="75">
        <v>13</v>
      </c>
      <c r="B19" s="78" t="s">
        <v>48</v>
      </c>
      <c r="C19" s="80">
        <f>C6*C44</f>
        <v>11484.480000000001</v>
      </c>
      <c r="D19" s="80">
        <f>D6*D44</f>
        <v>0</v>
      </c>
      <c r="E19" s="80">
        <f>E6*E44</f>
        <v>0</v>
      </c>
      <c r="F19" s="80">
        <f>F6*F44</f>
        <v>0</v>
      </c>
      <c r="G19" s="80">
        <f>G6*G44</f>
        <v>0</v>
      </c>
      <c r="H19" s="80">
        <f>SUM(C19:G19)</f>
        <v>11484.480000000001</v>
      </c>
      <c r="I19" s="71"/>
      <c r="S19" s="78" t="s">
        <v>48</v>
      </c>
      <c r="AI19" s="78" t="s">
        <v>49</v>
      </c>
      <c r="AJ19" s="78" t="s">
        <v>48</v>
      </c>
      <c r="AK19" s="73" t="s">
        <v>22</v>
      </c>
    </row>
    <row r="20" spans="1:37">
      <c r="A20" s="75">
        <v>14</v>
      </c>
      <c r="B20" s="78" t="s">
        <v>50</v>
      </c>
      <c r="C20" s="80">
        <f>C6*C45</f>
        <v>36000</v>
      </c>
      <c r="D20" s="80">
        <f>D6*D45</f>
        <v>0</v>
      </c>
      <c r="E20" s="80">
        <f>E6*E45</f>
        <v>0</v>
      </c>
      <c r="F20" s="80">
        <f>F6*F45</f>
        <v>0</v>
      </c>
      <c r="G20" s="80">
        <f>G6*G45</f>
        <v>0</v>
      </c>
      <c r="H20" s="80">
        <f>SUM(C20:G20)</f>
        <v>36000</v>
      </c>
      <c r="S20" s="78" t="s">
        <v>50</v>
      </c>
      <c r="AI20" s="78" t="s">
        <v>51</v>
      </c>
      <c r="AJ20" s="78" t="s">
        <v>50</v>
      </c>
    </row>
    <row r="21" spans="1:37">
      <c r="A21" s="75">
        <v>15</v>
      </c>
      <c r="B21" s="78" t="s">
        <v>52</v>
      </c>
      <c r="C21" s="85">
        <f>$H$21/$H$6*C6</f>
        <v>3400</v>
      </c>
      <c r="D21" s="85">
        <f>$H$21/$H$6*D6</f>
        <v>0</v>
      </c>
      <c r="E21" s="85">
        <f>$H$21/$H$6*E6</f>
        <v>0</v>
      </c>
      <c r="F21" s="85">
        <f>$H$21/$H$6*F6</f>
        <v>0</v>
      </c>
      <c r="G21" s="85">
        <f>$H$21/$H$6*G6</f>
        <v>0</v>
      </c>
      <c r="H21" s="80">
        <f>项目投资!D27</f>
        <v>3400</v>
      </c>
      <c r="S21" s="78" t="s">
        <v>52</v>
      </c>
      <c r="AI21" s="78"/>
      <c r="AJ21" s="78"/>
    </row>
    <row r="22" spans="1:37">
      <c r="A22" s="75">
        <v>16</v>
      </c>
      <c r="B22" s="78" t="s">
        <v>53</v>
      </c>
      <c r="C22" s="80">
        <f>C6*C47</f>
        <v>34945.631999999998</v>
      </c>
      <c r="D22" s="80">
        <f>D6*D47</f>
        <v>0</v>
      </c>
      <c r="E22" s="80">
        <f>E6*E47</f>
        <v>0</v>
      </c>
      <c r="F22" s="80">
        <f>F6*F47</f>
        <v>0</v>
      </c>
      <c r="G22" s="80">
        <f>G6*G47</f>
        <v>0</v>
      </c>
      <c r="H22" s="80">
        <f>+SUM(C22:G22)</f>
        <v>34945.631999999998</v>
      </c>
      <c r="S22" s="78" t="s">
        <v>53</v>
      </c>
      <c r="AI22" s="78" t="s">
        <v>54</v>
      </c>
      <c r="AJ22" s="78" t="s">
        <v>53</v>
      </c>
    </row>
    <row r="23" spans="1:37">
      <c r="A23" s="75">
        <v>17</v>
      </c>
      <c r="B23" s="81" t="s">
        <v>55</v>
      </c>
      <c r="C23" s="85">
        <f>+C22+C21+C20+C19+C17</f>
        <v>155376.35200000001</v>
      </c>
      <c r="D23" s="85">
        <f>+D22+D21+D20+D19+D17</f>
        <v>0</v>
      </c>
      <c r="E23" s="85">
        <f>+E22+E21+E20+E19+E17</f>
        <v>0</v>
      </c>
      <c r="F23" s="85">
        <f>+F22+F21+F20+F19+F17</f>
        <v>0</v>
      </c>
      <c r="G23" s="85">
        <f>+G22+G21+G20+G19+G17</f>
        <v>0</v>
      </c>
      <c r="H23" s="85">
        <f t="shared" ref="H23" si="6">+H22+H21+H20+H19+H17</f>
        <v>155376.35200000001</v>
      </c>
      <c r="S23" s="81" t="s">
        <v>55</v>
      </c>
      <c r="AI23" s="78" t="s">
        <v>56</v>
      </c>
      <c r="AJ23" s="81" t="s">
        <v>55</v>
      </c>
    </row>
    <row r="24" spans="1:37">
      <c r="A24" s="75">
        <v>18</v>
      </c>
      <c r="B24" s="86" t="s">
        <v>57</v>
      </c>
      <c r="C24" s="85">
        <f>+C15-C23</f>
        <v>322399.61599999975</v>
      </c>
      <c r="D24" s="85">
        <f>+D15-D23</f>
        <v>0</v>
      </c>
      <c r="E24" s="85">
        <f>+E15-E23</f>
        <v>0</v>
      </c>
      <c r="F24" s="85">
        <f>+F15-F23</f>
        <v>0</v>
      </c>
      <c r="G24" s="85">
        <f>+G15-G23</f>
        <v>0</v>
      </c>
      <c r="H24" s="85">
        <f t="shared" ref="H24" si="7">+H15-H23</f>
        <v>322399.61599999975</v>
      </c>
      <c r="J24" s="95"/>
      <c r="S24" s="78" t="s">
        <v>57</v>
      </c>
      <c r="AI24" s="78" t="s">
        <v>58</v>
      </c>
      <c r="AJ24" s="78" t="s">
        <v>57</v>
      </c>
    </row>
    <row r="25" spans="1:37">
      <c r="A25" s="75">
        <v>19</v>
      </c>
      <c r="B25" s="78" t="s">
        <v>167</v>
      </c>
      <c r="C25" s="85">
        <f>IF(C24&lt;0,0,C24*0.25)</f>
        <v>80599.903999999937</v>
      </c>
      <c r="D25" s="85">
        <f>IF(D24&lt;0,0,D24*0.25)</f>
        <v>0</v>
      </c>
      <c r="E25" s="85">
        <f>IF(E24&lt;0,0,E24*0.25)</f>
        <v>0</v>
      </c>
      <c r="F25" s="85">
        <f>IF(F24&lt;0,0,F24*0.25)</f>
        <v>0</v>
      </c>
      <c r="G25" s="85">
        <f>IF(G24&lt;0,0,G24*0.25)</f>
        <v>0</v>
      </c>
      <c r="H25" s="85">
        <f t="shared" ref="H25" si="8">IF(H24&lt;0,0,H24*0.25)</f>
        <v>80599.903999999937</v>
      </c>
      <c r="I25" s="2"/>
      <c r="J25" s="2"/>
      <c r="K25" s="2"/>
      <c r="S25" s="78" t="s">
        <v>59</v>
      </c>
      <c r="AI25" s="78" t="s">
        <v>60</v>
      </c>
      <c r="AJ25" s="78" t="s">
        <v>59</v>
      </c>
    </row>
    <row r="26" spans="1:37">
      <c r="A26" s="75">
        <v>20</v>
      </c>
      <c r="B26" s="78" t="s">
        <v>61</v>
      </c>
      <c r="C26" s="85">
        <f t="shared" ref="C26:G26" si="9">C24-C25</f>
        <v>241799.71199999982</v>
      </c>
      <c r="D26" s="85">
        <f t="shared" si="9"/>
        <v>0</v>
      </c>
      <c r="E26" s="85">
        <f t="shared" si="9"/>
        <v>0</v>
      </c>
      <c r="F26" s="85">
        <f t="shared" si="9"/>
        <v>0</v>
      </c>
      <c r="G26" s="85">
        <f t="shared" si="9"/>
        <v>0</v>
      </c>
      <c r="H26" s="80">
        <f>+SUM(C26:G26)</f>
        <v>241799.71199999982</v>
      </c>
      <c r="I26" s="2"/>
      <c r="J26" s="2"/>
      <c r="K26" s="2"/>
      <c r="S26" s="78" t="s">
        <v>61</v>
      </c>
      <c r="AI26" s="78" t="s">
        <v>62</v>
      </c>
      <c r="AJ26" s="78" t="s">
        <v>61</v>
      </c>
    </row>
    <row r="27" spans="1:37">
      <c r="A27" s="75">
        <v>21</v>
      </c>
      <c r="B27" s="78" t="s">
        <v>65</v>
      </c>
      <c r="C27" s="87">
        <f t="shared" ref="C27:H27" si="10">C26/C7</f>
        <v>0.17134333333333321</v>
      </c>
      <c r="D27" s="87" t="e">
        <f t="shared" si="10"/>
        <v>#DIV/0!</v>
      </c>
      <c r="E27" s="87" t="e">
        <f t="shared" si="10"/>
        <v>#DIV/0!</v>
      </c>
      <c r="F27" s="87" t="e">
        <f t="shared" si="10"/>
        <v>#DIV/0!</v>
      </c>
      <c r="G27" s="87" t="e">
        <f t="shared" si="10"/>
        <v>#DIV/0!</v>
      </c>
      <c r="H27" s="87">
        <f t="shared" si="10"/>
        <v>0.17134333333333321</v>
      </c>
      <c r="I27" s="2"/>
      <c r="J27" s="2"/>
      <c r="K27" s="2"/>
      <c r="S27" s="78" t="s">
        <v>65</v>
      </c>
      <c r="AI27" s="78" t="s">
        <v>64</v>
      </c>
      <c r="AJ27" s="78" t="s">
        <v>65</v>
      </c>
    </row>
    <row r="28" spans="1:37">
      <c r="I28" s="2"/>
      <c r="J28" s="2"/>
      <c r="K28" s="2"/>
      <c r="S28" s="78"/>
    </row>
    <row r="29" spans="1:37">
      <c r="A29" s="73" t="s">
        <v>66</v>
      </c>
      <c r="H29" s="74" t="s">
        <v>168</v>
      </c>
      <c r="I29" s="2"/>
      <c r="J29" s="2"/>
      <c r="K29" s="2"/>
      <c r="S29" s="78"/>
      <c r="AI29" s="73" t="s">
        <v>66</v>
      </c>
    </row>
    <row r="30" spans="1:37">
      <c r="A30" s="78" t="s">
        <v>72</v>
      </c>
      <c r="B30" s="81" t="s">
        <v>73</v>
      </c>
      <c r="C30" s="85"/>
      <c r="D30" s="85"/>
      <c r="E30" s="85"/>
      <c r="F30" s="85"/>
      <c r="G30" s="85"/>
      <c r="H30" s="85"/>
      <c r="I30" s="2"/>
      <c r="J30" s="2"/>
      <c r="K30" s="2"/>
      <c r="M30" s="2"/>
      <c r="S30" s="81" t="s">
        <v>73</v>
      </c>
      <c r="AI30" s="78" t="s">
        <v>74</v>
      </c>
      <c r="AJ30" s="81" t="s">
        <v>73</v>
      </c>
    </row>
    <row r="31" spans="1:37">
      <c r="A31" s="75">
        <v>1</v>
      </c>
      <c r="B31" s="83" t="s">
        <v>75</v>
      </c>
      <c r="C31" s="88">
        <f>销量!C8</f>
        <v>1176</v>
      </c>
      <c r="D31" s="88">
        <f>销量!D8</f>
        <v>0</v>
      </c>
      <c r="E31" s="88">
        <f>销量!E8</f>
        <v>0</v>
      </c>
      <c r="F31" s="88">
        <f>销量!F8</f>
        <v>0</v>
      </c>
      <c r="G31" s="88">
        <f>销量!G8</f>
        <v>0</v>
      </c>
      <c r="H31" s="85"/>
      <c r="I31" s="2"/>
      <c r="J31" s="2"/>
      <c r="K31" s="2"/>
      <c r="M31" s="2"/>
      <c r="S31" s="78" t="s">
        <v>75</v>
      </c>
      <c r="AI31" s="78" t="s">
        <v>24</v>
      </c>
      <c r="AJ31" s="78" t="s">
        <v>75</v>
      </c>
    </row>
    <row r="32" spans="1:37">
      <c r="A32" s="75">
        <v>2</v>
      </c>
      <c r="B32" s="78" t="s">
        <v>169</v>
      </c>
      <c r="C32" s="80">
        <f>C9/C6</f>
        <v>1176</v>
      </c>
      <c r="D32" s="80" t="e">
        <f>D9/D6</f>
        <v>#DIV/0!</v>
      </c>
      <c r="E32" s="80">
        <f t="shared" ref="E32:G32" si="11">E31*1</f>
        <v>0</v>
      </c>
      <c r="F32" s="80">
        <f t="shared" si="11"/>
        <v>0</v>
      </c>
      <c r="G32" s="80">
        <f t="shared" si="11"/>
        <v>0</v>
      </c>
      <c r="H32" s="85"/>
      <c r="I32" s="2"/>
      <c r="J32" s="2"/>
      <c r="K32" s="2"/>
      <c r="L32" s="2"/>
      <c r="M32" s="2"/>
      <c r="N32" s="2"/>
      <c r="O32" s="2"/>
      <c r="AI32" s="78"/>
      <c r="AJ32" s="78"/>
    </row>
    <row r="33" spans="1:36">
      <c r="A33" s="75">
        <v>3</v>
      </c>
      <c r="B33" s="83" t="s">
        <v>76</v>
      </c>
      <c r="C33" s="80">
        <f>材料成本!D24</f>
        <v>629.1020000000002</v>
      </c>
      <c r="D33" s="80">
        <f>材料成本!E24</f>
        <v>0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5"/>
      <c r="J33" s="2"/>
      <c r="K33" s="2"/>
      <c r="L33" s="2"/>
      <c r="M33" s="2"/>
      <c r="N33" s="2"/>
      <c r="O33" s="2"/>
      <c r="S33" s="78" t="s">
        <v>76</v>
      </c>
      <c r="AI33" s="78" t="s">
        <v>26</v>
      </c>
      <c r="AJ33" s="78" t="s">
        <v>76</v>
      </c>
    </row>
    <row r="34" spans="1:36" ht="17.25" customHeight="1">
      <c r="A34" s="75">
        <v>4</v>
      </c>
      <c r="B34" s="78" t="s">
        <v>78</v>
      </c>
      <c r="C34" s="89">
        <f>C32-C33</f>
        <v>546.8979999999998</v>
      </c>
      <c r="D34" s="89" t="e">
        <f t="shared" ref="D34:G34" si="12">D32-D33</f>
        <v>#DIV/0!</v>
      </c>
      <c r="E34" s="89">
        <f t="shared" si="12"/>
        <v>0</v>
      </c>
      <c r="F34" s="89">
        <f t="shared" si="12"/>
        <v>0</v>
      </c>
      <c r="G34" s="89">
        <f t="shared" si="12"/>
        <v>0</v>
      </c>
      <c r="H34" s="85"/>
      <c r="J34" s="2"/>
      <c r="K34" s="2"/>
      <c r="L34" s="2"/>
      <c r="M34" s="2"/>
      <c r="N34" s="2"/>
      <c r="O34" s="2"/>
      <c r="S34" s="78" t="s">
        <v>78</v>
      </c>
      <c r="AI34" s="78" t="s">
        <v>77</v>
      </c>
      <c r="AJ34" s="78" t="s">
        <v>78</v>
      </c>
    </row>
    <row r="35" spans="1:36">
      <c r="A35" s="78" t="s">
        <v>74</v>
      </c>
      <c r="B35" s="81" t="s">
        <v>8</v>
      </c>
      <c r="C35" s="85"/>
      <c r="D35" s="85"/>
      <c r="E35" s="85"/>
      <c r="F35" s="85"/>
      <c r="G35" s="85"/>
      <c r="H35" s="85"/>
      <c r="I35" s="2"/>
      <c r="J35" s="2"/>
      <c r="K35" s="2"/>
      <c r="L35" s="2"/>
      <c r="M35" s="2"/>
      <c r="N35" s="2"/>
      <c r="O35" s="2"/>
      <c r="P35" s="2"/>
      <c r="Q35" s="2"/>
      <c r="R35" s="2"/>
      <c r="S35" s="81" t="s">
        <v>8</v>
      </c>
      <c r="AI35" s="78" t="s">
        <v>80</v>
      </c>
      <c r="AJ35" s="81" t="s">
        <v>8</v>
      </c>
    </row>
    <row r="36" spans="1:36">
      <c r="A36" s="75">
        <v>1</v>
      </c>
      <c r="B36" s="78" t="s">
        <v>81</v>
      </c>
      <c r="C36" s="84">
        <f>标准成本!D4</f>
        <v>58.926320000000004</v>
      </c>
      <c r="D36" s="84">
        <f t="shared" ref="D36:G38" si="13">C36</f>
        <v>58.926320000000004</v>
      </c>
      <c r="E36" s="84">
        <f t="shared" si="13"/>
        <v>58.926320000000004</v>
      </c>
      <c r="F36" s="84">
        <f t="shared" si="13"/>
        <v>58.926320000000004</v>
      </c>
      <c r="G36" s="84">
        <f t="shared" si="13"/>
        <v>58.926320000000004</v>
      </c>
      <c r="H36" s="88"/>
      <c r="I36" s="2"/>
      <c r="J36" s="2"/>
      <c r="K36" s="2"/>
      <c r="L36" s="2"/>
      <c r="M36" s="2"/>
      <c r="N36" s="2"/>
      <c r="O36" s="2"/>
      <c r="P36" s="2"/>
      <c r="Q36" s="2"/>
      <c r="R36" s="2"/>
      <c r="S36" s="78" t="s">
        <v>81</v>
      </c>
      <c r="AI36" s="78" t="s">
        <v>77</v>
      </c>
      <c r="AJ36" s="78" t="s">
        <v>81</v>
      </c>
    </row>
    <row r="37" spans="1:36">
      <c r="A37" s="75">
        <v>2</v>
      </c>
      <c r="B37" s="78" t="s">
        <v>82</v>
      </c>
      <c r="C37" s="84">
        <f>标准成本!D6</f>
        <v>29.668240000000001</v>
      </c>
      <c r="D37" s="84">
        <f t="shared" si="13"/>
        <v>29.668240000000001</v>
      </c>
      <c r="E37" s="84">
        <f t="shared" si="13"/>
        <v>29.668240000000001</v>
      </c>
      <c r="F37" s="84">
        <f t="shared" si="13"/>
        <v>29.668240000000001</v>
      </c>
      <c r="G37" s="84">
        <f t="shared" si="13"/>
        <v>29.668240000000001</v>
      </c>
      <c r="H37" s="88"/>
      <c r="I37" s="2"/>
      <c r="J37" s="2"/>
      <c r="K37" s="2"/>
      <c r="L37" s="2"/>
      <c r="M37" s="2"/>
      <c r="N37" s="2"/>
      <c r="O37" s="2"/>
      <c r="P37" s="2"/>
      <c r="Q37" s="2"/>
      <c r="R37" s="2"/>
      <c r="S37" s="78" t="s">
        <v>82</v>
      </c>
      <c r="AI37" s="78" t="s">
        <v>29</v>
      </c>
      <c r="AJ37" s="78" t="s">
        <v>82</v>
      </c>
    </row>
    <row r="38" spans="1:36">
      <c r="A38" s="75">
        <v>3</v>
      </c>
      <c r="B38" s="78" t="s">
        <v>83</v>
      </c>
      <c r="C38" s="84">
        <f>标准成本!D10</f>
        <v>60.156799999999997</v>
      </c>
      <c r="D38" s="84">
        <f t="shared" si="13"/>
        <v>60.156799999999997</v>
      </c>
      <c r="E38" s="84">
        <f t="shared" si="13"/>
        <v>60.156799999999997</v>
      </c>
      <c r="F38" s="84">
        <f t="shared" si="13"/>
        <v>60.156799999999997</v>
      </c>
      <c r="G38" s="84">
        <f t="shared" si="13"/>
        <v>60.156799999999997</v>
      </c>
      <c r="H38" s="88"/>
      <c r="I38" s="2"/>
      <c r="J38" s="2"/>
      <c r="K38" s="2"/>
      <c r="L38" s="2"/>
      <c r="M38" s="2"/>
      <c r="N38" s="2"/>
      <c r="O38" s="2"/>
      <c r="P38" s="2"/>
      <c r="Q38" s="2"/>
      <c r="R38" s="2"/>
      <c r="S38" s="78" t="s">
        <v>83</v>
      </c>
      <c r="AI38" s="78" t="s">
        <v>35</v>
      </c>
      <c r="AJ38" s="78" t="s">
        <v>83</v>
      </c>
    </row>
    <row r="39" spans="1:36">
      <c r="A39" s="78" t="s">
        <v>80</v>
      </c>
      <c r="B39" s="81" t="s">
        <v>85</v>
      </c>
      <c r="C39" s="85"/>
      <c r="D39" s="85"/>
      <c r="E39" s="85"/>
      <c r="F39" s="85"/>
      <c r="G39" s="85"/>
      <c r="H39" s="85"/>
      <c r="S39" s="81" t="s">
        <v>85</v>
      </c>
      <c r="AI39" s="78" t="s">
        <v>84</v>
      </c>
      <c r="AJ39" s="81" t="s">
        <v>85</v>
      </c>
    </row>
    <row r="40" spans="1:36">
      <c r="A40" s="75">
        <v>1</v>
      </c>
      <c r="B40" s="78" t="s">
        <v>86</v>
      </c>
      <c r="C40" s="85">
        <f>C34-C36-C37-C38</f>
        <v>398.14663999999976</v>
      </c>
      <c r="D40" s="85" t="e">
        <f t="shared" ref="D40:G40" si="14">D34-D36-D37-D38</f>
        <v>#DIV/0!</v>
      </c>
      <c r="E40" s="85">
        <f t="shared" si="14"/>
        <v>-148.75136000000001</v>
      </c>
      <c r="F40" s="85">
        <f t="shared" si="14"/>
        <v>-148.75136000000001</v>
      </c>
      <c r="G40" s="85">
        <f t="shared" si="14"/>
        <v>-148.75136000000001</v>
      </c>
      <c r="H40" s="85"/>
      <c r="S40" s="78" t="s">
        <v>86</v>
      </c>
      <c r="AI40" s="78" t="s">
        <v>24</v>
      </c>
      <c r="AJ40" s="78" t="s">
        <v>86</v>
      </c>
    </row>
    <row r="41" spans="1:36">
      <c r="A41" s="75">
        <v>2</v>
      </c>
      <c r="B41" s="78" t="s">
        <v>87</v>
      </c>
      <c r="C41" s="85"/>
      <c r="D41" s="85"/>
      <c r="E41" s="85"/>
      <c r="F41" s="85"/>
      <c r="G41" s="85"/>
      <c r="H41" s="85"/>
      <c r="S41" s="78" t="s">
        <v>87</v>
      </c>
      <c r="AI41" s="78" t="s">
        <v>26</v>
      </c>
      <c r="AJ41" s="78" t="s">
        <v>87</v>
      </c>
    </row>
    <row r="42" spans="1:36">
      <c r="A42" s="78" t="s">
        <v>84</v>
      </c>
      <c r="B42" s="81" t="s">
        <v>89</v>
      </c>
      <c r="C42" s="85"/>
      <c r="D42" s="85"/>
      <c r="E42" s="85"/>
      <c r="F42" s="85"/>
      <c r="G42" s="85"/>
      <c r="H42" s="85"/>
      <c r="S42" s="81" t="s">
        <v>89</v>
      </c>
      <c r="AI42" s="78" t="s">
        <v>88</v>
      </c>
      <c r="AJ42" s="81" t="s">
        <v>89</v>
      </c>
    </row>
    <row r="43" spans="1:36">
      <c r="A43" s="75">
        <v>1</v>
      </c>
      <c r="B43" s="86" t="s">
        <v>90</v>
      </c>
      <c r="C43" s="84">
        <f>标准成本!D5</f>
        <v>56.055200000000006</v>
      </c>
      <c r="D43" s="84">
        <f t="shared" ref="D43:G45" si="15">C43</f>
        <v>56.055200000000006</v>
      </c>
      <c r="E43" s="84">
        <f t="shared" si="15"/>
        <v>56.055200000000006</v>
      </c>
      <c r="F43" s="84">
        <f t="shared" si="15"/>
        <v>56.055200000000006</v>
      </c>
      <c r="G43" s="84">
        <f t="shared" si="15"/>
        <v>56.055200000000006</v>
      </c>
      <c r="H43" s="85"/>
      <c r="S43" s="78" t="s">
        <v>90</v>
      </c>
      <c r="AI43" s="78" t="s">
        <v>24</v>
      </c>
      <c r="AJ43" s="78" t="s">
        <v>90</v>
      </c>
    </row>
    <row r="44" spans="1:36">
      <c r="A44" s="75">
        <v>2</v>
      </c>
      <c r="B44" s="86" t="s">
        <v>91</v>
      </c>
      <c r="C44" s="84">
        <f>标准成本!D9</f>
        <v>9.5704000000000011</v>
      </c>
      <c r="D44" s="84">
        <f t="shared" si="15"/>
        <v>9.5704000000000011</v>
      </c>
      <c r="E44" s="84">
        <f t="shared" si="15"/>
        <v>9.5704000000000011</v>
      </c>
      <c r="F44" s="84">
        <f t="shared" si="15"/>
        <v>9.5704000000000011</v>
      </c>
      <c r="G44" s="84">
        <f t="shared" si="15"/>
        <v>9.5704000000000011</v>
      </c>
      <c r="H44" s="85"/>
      <c r="S44" s="78" t="s">
        <v>91</v>
      </c>
      <c r="AI44" s="78" t="s">
        <v>26</v>
      </c>
      <c r="AJ44" s="78" t="s">
        <v>91</v>
      </c>
    </row>
    <row r="45" spans="1:36">
      <c r="A45" s="75">
        <v>3</v>
      </c>
      <c r="B45" s="86" t="s">
        <v>92</v>
      </c>
      <c r="C45" s="84">
        <v>30</v>
      </c>
      <c r="D45" s="84">
        <f t="shared" si="15"/>
        <v>30</v>
      </c>
      <c r="E45" s="84">
        <f t="shared" si="15"/>
        <v>30</v>
      </c>
      <c r="F45" s="84">
        <f t="shared" si="15"/>
        <v>30</v>
      </c>
      <c r="G45" s="84">
        <f t="shared" si="15"/>
        <v>30</v>
      </c>
      <c r="H45" s="85"/>
      <c r="S45" s="78" t="s">
        <v>92</v>
      </c>
      <c r="AI45" s="78" t="s">
        <v>77</v>
      </c>
      <c r="AJ45" s="78" t="s">
        <v>92</v>
      </c>
    </row>
    <row r="46" spans="1:36" s="72" customFormat="1">
      <c r="A46" s="75">
        <v>4</v>
      </c>
      <c r="B46" s="86" t="s">
        <v>93</v>
      </c>
      <c r="C46" s="90">
        <f>C21/C6</f>
        <v>2.8333333333333335</v>
      </c>
      <c r="D46" s="90" t="e">
        <f>D21/D6</f>
        <v>#DIV/0!</v>
      </c>
      <c r="E46" s="90" t="e">
        <f>E21/E6</f>
        <v>#DIV/0!</v>
      </c>
      <c r="F46" s="90" t="e">
        <f>F21/F6</f>
        <v>#DIV/0!</v>
      </c>
      <c r="G46" s="90" t="e">
        <f>G21/G6</f>
        <v>#DIV/0!</v>
      </c>
      <c r="H46" s="90"/>
      <c r="S46" s="86" t="s">
        <v>95</v>
      </c>
      <c r="AI46" s="86" t="s">
        <v>32</v>
      </c>
      <c r="AJ46" s="86" t="s">
        <v>95</v>
      </c>
    </row>
    <row r="47" spans="1:36" s="72" customFormat="1">
      <c r="A47" s="75">
        <v>5</v>
      </c>
      <c r="B47" s="86" t="s">
        <v>95</v>
      </c>
      <c r="C47" s="90">
        <f>标准成本!D11</f>
        <v>29.121359999999999</v>
      </c>
      <c r="D47" s="90">
        <f>C47</f>
        <v>29.121359999999999</v>
      </c>
      <c r="E47" s="90">
        <f>D47</f>
        <v>29.121359999999999</v>
      </c>
      <c r="F47" s="90">
        <f>E47</f>
        <v>29.121359999999999</v>
      </c>
      <c r="G47" s="90">
        <f>F47</f>
        <v>29.121359999999999</v>
      </c>
      <c r="H47" s="90"/>
      <c r="S47" s="86" t="s">
        <v>95</v>
      </c>
      <c r="AI47" s="86" t="s">
        <v>32</v>
      </c>
      <c r="AJ47" s="86" t="s">
        <v>95</v>
      </c>
    </row>
    <row r="48" spans="1:36">
      <c r="A48" s="78" t="s">
        <v>88</v>
      </c>
      <c r="B48" s="81" t="s">
        <v>106</v>
      </c>
      <c r="C48" s="85">
        <f>C40-C43-C44-C45-C47-C46</f>
        <v>270.56634666666645</v>
      </c>
      <c r="D48" s="85" t="e">
        <f>D40-D43-D44-D45-D47-D46</f>
        <v>#DIV/0!</v>
      </c>
      <c r="E48" s="85" t="e">
        <f>E40-E43-E44-E45-E47-E46</f>
        <v>#DIV/0!</v>
      </c>
      <c r="F48" s="85" t="e">
        <f>F40-F43-F44-F45-F47-F46</f>
        <v>#DIV/0!</v>
      </c>
      <c r="G48" s="85" t="e">
        <f>G40-G43-G44-G45-G47-G46</f>
        <v>#DIV/0!</v>
      </c>
      <c r="H48" s="85"/>
      <c r="S48" s="81" t="s">
        <v>106</v>
      </c>
      <c r="AI48" s="78" t="s">
        <v>105</v>
      </c>
      <c r="AJ48" s="81" t="s">
        <v>106</v>
      </c>
    </row>
    <row r="51" spans="2:13">
      <c r="C51" s="91"/>
      <c r="D51" s="91"/>
      <c r="E51" s="91"/>
      <c r="F51" s="91"/>
      <c r="G51" s="91"/>
    </row>
    <row r="54" spans="2:13">
      <c r="B54" s="2"/>
      <c r="C54" s="92"/>
      <c r="D54" s="92"/>
      <c r="E54" s="92"/>
      <c r="F54" s="92"/>
      <c r="G54" s="92"/>
      <c r="H54" s="92"/>
      <c r="I54" s="2"/>
      <c r="J54" s="2"/>
      <c r="K54" s="2"/>
      <c r="L54" s="2"/>
      <c r="M54" s="2"/>
    </row>
    <row r="55" spans="2:13">
      <c r="B55" s="2"/>
      <c r="C55" s="92"/>
      <c r="D55" s="92"/>
      <c r="E55" s="92"/>
      <c r="F55" s="92"/>
      <c r="G55" s="92"/>
      <c r="H55" s="92"/>
      <c r="I55" s="2"/>
      <c r="J55" s="2"/>
      <c r="K55" s="2"/>
      <c r="L55" s="2"/>
      <c r="M55" s="2"/>
    </row>
    <row r="56" spans="2:13">
      <c r="B56" s="2"/>
      <c r="C56" s="92"/>
      <c r="D56" s="92"/>
      <c r="E56" s="92"/>
      <c r="F56" s="92"/>
      <c r="G56" s="92"/>
      <c r="H56" s="92"/>
      <c r="I56" s="2"/>
      <c r="J56" s="2"/>
      <c r="K56" s="2"/>
      <c r="L56" s="2"/>
      <c r="M56" s="2"/>
    </row>
    <row r="57" spans="2:13">
      <c r="B57" s="2"/>
      <c r="C57" s="92"/>
      <c r="D57" s="92"/>
      <c r="E57" s="92"/>
      <c r="F57" s="92"/>
      <c r="G57" s="92"/>
      <c r="H57" s="92"/>
      <c r="I57" s="2"/>
      <c r="J57" s="2"/>
      <c r="K57" s="2"/>
      <c r="L57" s="2"/>
      <c r="M57" s="2"/>
    </row>
    <row r="58" spans="2:13">
      <c r="B58" s="2"/>
      <c r="C58" s="92"/>
      <c r="D58" s="92"/>
      <c r="E58" s="92"/>
      <c r="F58" s="92"/>
      <c r="G58" s="92"/>
      <c r="H58" s="92"/>
      <c r="I58" s="2"/>
      <c r="J58" s="2"/>
      <c r="K58" s="2"/>
      <c r="L58" s="2"/>
      <c r="M58" s="2"/>
    </row>
    <row r="59" spans="2:13">
      <c r="B59" s="2"/>
      <c r="C59" s="92"/>
      <c r="D59" s="92"/>
      <c r="E59" s="92"/>
      <c r="F59" s="92"/>
      <c r="G59" s="92"/>
      <c r="H59" s="92"/>
      <c r="I59" s="2"/>
      <c r="J59" s="2"/>
      <c r="K59" s="2"/>
      <c r="L59" s="2"/>
      <c r="M59" s="2"/>
    </row>
    <row r="60" spans="2:13">
      <c r="B60" s="2"/>
      <c r="C60" s="92"/>
      <c r="D60" s="92"/>
      <c r="E60" s="92"/>
      <c r="F60" s="92"/>
      <c r="G60" s="92"/>
      <c r="H60" s="92"/>
      <c r="I60" s="2"/>
      <c r="J60" s="2"/>
      <c r="K60" s="2"/>
      <c r="L60" s="2"/>
      <c r="M60" s="2"/>
    </row>
    <row r="61" spans="2:13">
      <c r="B61" s="2"/>
      <c r="C61" s="92"/>
      <c r="D61" s="92"/>
      <c r="E61" s="92"/>
      <c r="F61" s="92"/>
      <c r="G61" s="92"/>
      <c r="H61" s="92"/>
      <c r="I61" s="2"/>
      <c r="J61" s="2"/>
      <c r="K61" s="2"/>
      <c r="L61" s="2"/>
      <c r="M61" s="2"/>
    </row>
    <row r="62" spans="2:13">
      <c r="B62" s="2"/>
      <c r="C62" s="92"/>
      <c r="D62" s="92"/>
      <c r="E62" s="92"/>
      <c r="F62" s="92"/>
      <c r="G62" s="92"/>
      <c r="H62" s="92"/>
      <c r="I62" s="2"/>
      <c r="J62" s="2"/>
      <c r="K62" s="2"/>
      <c r="L62" s="2"/>
      <c r="M62" s="2"/>
    </row>
    <row r="63" spans="2:13">
      <c r="B63" s="2"/>
      <c r="C63" s="92"/>
      <c r="D63" s="92"/>
      <c r="E63" s="92"/>
      <c r="F63" s="92"/>
      <c r="G63" s="92"/>
      <c r="H63" s="92"/>
      <c r="I63" s="2"/>
      <c r="J63" s="2"/>
      <c r="K63" s="2"/>
      <c r="L63" s="2"/>
      <c r="M63" s="2"/>
    </row>
    <row r="64" spans="2:13">
      <c r="B64" s="2"/>
      <c r="C64" s="92"/>
      <c r="D64" s="92"/>
      <c r="E64" s="92"/>
      <c r="F64" s="92"/>
      <c r="G64" s="92"/>
      <c r="H64" s="92"/>
      <c r="I64" s="2"/>
      <c r="J64" s="2"/>
      <c r="K64" s="2"/>
      <c r="L64" s="2"/>
      <c r="M64" s="2"/>
    </row>
    <row r="65" spans="2:13">
      <c r="B65" s="2"/>
      <c r="C65" s="92"/>
      <c r="D65" s="92"/>
      <c r="E65" s="92"/>
      <c r="F65" s="92"/>
      <c r="G65" s="92"/>
      <c r="H65" s="92"/>
      <c r="I65" s="2"/>
      <c r="J65" s="2"/>
      <c r="K65" s="2"/>
      <c r="L65" s="2"/>
      <c r="M65" s="2"/>
    </row>
    <row r="66" spans="2:13">
      <c r="B66" s="2"/>
      <c r="C66" s="92"/>
      <c r="D66" s="92"/>
      <c r="E66" s="92"/>
      <c r="F66" s="92"/>
      <c r="G66" s="92"/>
      <c r="H66" s="92"/>
      <c r="I66" s="2"/>
      <c r="J66" s="2"/>
      <c r="K66" s="2"/>
      <c r="L66" s="2"/>
      <c r="M66" s="2"/>
    </row>
    <row r="67" spans="2:13">
      <c r="B67" s="2"/>
      <c r="C67" s="92"/>
      <c r="D67" s="92"/>
      <c r="E67" s="92"/>
      <c r="F67" s="92"/>
      <c r="G67" s="92"/>
      <c r="H67" s="92"/>
      <c r="I67" s="2"/>
    </row>
    <row r="68" spans="2:13">
      <c r="B68" s="2"/>
      <c r="C68" s="92"/>
      <c r="D68" s="92"/>
      <c r="E68" s="92"/>
      <c r="F68" s="92"/>
      <c r="G68" s="92"/>
      <c r="H68" s="92"/>
      <c r="I68" s="2"/>
    </row>
    <row r="69" spans="2:13">
      <c r="B69" s="2"/>
      <c r="C69" s="92"/>
      <c r="D69" s="92"/>
      <c r="E69" s="92"/>
      <c r="F69" s="92"/>
      <c r="G69" s="92"/>
      <c r="H69" s="92"/>
      <c r="I69" s="2"/>
    </row>
    <row r="70" spans="2:13">
      <c r="B70" s="2"/>
      <c r="C70" s="92"/>
      <c r="D70" s="92"/>
      <c r="E70" s="92"/>
      <c r="F70" s="92"/>
      <c r="G70" s="92"/>
      <c r="H70" s="92"/>
      <c r="I70" s="2"/>
    </row>
    <row r="71" spans="2:13">
      <c r="B71" s="2"/>
      <c r="C71" s="92"/>
      <c r="D71" s="92"/>
      <c r="E71" s="92"/>
      <c r="F71" s="92"/>
      <c r="G71" s="92"/>
      <c r="H71" s="92"/>
      <c r="I71" s="2"/>
    </row>
    <row r="72" spans="2:13">
      <c r="B72" s="2"/>
      <c r="C72" s="92"/>
      <c r="D72" s="92"/>
      <c r="E72" s="92"/>
      <c r="F72" s="92"/>
      <c r="G72" s="92"/>
      <c r="H72" s="92"/>
      <c r="I72" s="2"/>
    </row>
    <row r="73" spans="2:13">
      <c r="B73" s="2"/>
      <c r="C73" s="92"/>
      <c r="D73" s="92"/>
      <c r="E73" s="92"/>
      <c r="F73" s="92"/>
      <c r="G73" s="92"/>
      <c r="H73" s="92"/>
      <c r="I73" s="2"/>
    </row>
    <row r="74" spans="2:13">
      <c r="B74" s="2"/>
      <c r="C74" s="92"/>
      <c r="D74" s="92"/>
      <c r="E74" s="92"/>
      <c r="F74" s="92"/>
      <c r="G74" s="92"/>
      <c r="H74" s="92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0" activePane="bottomRight" state="frozen"/>
      <selection pane="topRight"/>
      <selection pane="bottomLeft"/>
      <selection pane="bottomRight" activeCell="H28" sqref="H28"/>
    </sheetView>
  </sheetViews>
  <sheetFormatPr defaultColWidth="9" defaultRowHeight="16.5"/>
  <cols>
    <col min="1" max="1" width="5.125" style="73" customWidth="1"/>
    <col min="2" max="2" width="17.5" style="73" customWidth="1"/>
    <col min="3" max="3" width="13.25" style="74" customWidth="1"/>
    <col min="4" max="7" width="15.5" style="74" customWidth="1"/>
    <col min="8" max="8" width="18.75" style="74" customWidth="1"/>
    <col min="9" max="9" width="12.375" style="73" customWidth="1"/>
    <col min="10" max="10" width="10.125" style="73" customWidth="1"/>
    <col min="11" max="17" width="9" style="73" customWidth="1"/>
    <col min="18" max="34" width="9" style="73"/>
    <col min="35" max="35" width="4.375" style="73" customWidth="1"/>
    <col min="36" max="36" width="13.875" style="73" customWidth="1"/>
    <col min="37" max="16384" width="9" style="73"/>
  </cols>
  <sheetData>
    <row r="1" spans="1:37">
      <c r="A1" s="181" t="s">
        <v>154</v>
      </c>
      <c r="B1" s="181"/>
      <c r="C1" s="182" t="s">
        <v>172</v>
      </c>
      <c r="D1" s="183"/>
      <c r="E1" s="183"/>
      <c r="F1" s="183"/>
      <c r="G1" s="183"/>
      <c r="H1" s="184"/>
    </row>
    <row r="2" spans="1:37">
      <c r="A2" s="181" t="s">
        <v>156</v>
      </c>
      <c r="B2" s="181"/>
      <c r="C2" s="185"/>
      <c r="D2" s="185"/>
      <c r="E2" s="185"/>
      <c r="F2" s="185"/>
      <c r="G2" s="185"/>
      <c r="H2" s="185"/>
    </row>
    <row r="3" spans="1:37">
      <c r="A3" s="181" t="s">
        <v>158</v>
      </c>
      <c r="B3" s="181"/>
      <c r="C3" s="24"/>
      <c r="D3" s="24"/>
      <c r="E3" s="76"/>
      <c r="F3" s="76"/>
      <c r="G3" s="76"/>
      <c r="H3" s="186" t="s">
        <v>20</v>
      </c>
    </row>
    <row r="4" spans="1:37">
      <c r="A4" s="181" t="s">
        <v>160</v>
      </c>
      <c r="B4" s="181"/>
      <c r="C4" s="27"/>
      <c r="D4" s="27"/>
      <c r="E4" s="76"/>
      <c r="F4" s="76"/>
      <c r="G4" s="76"/>
      <c r="H4" s="187"/>
    </row>
    <row r="5" spans="1:37">
      <c r="A5" s="181" t="s">
        <v>162</v>
      </c>
      <c r="B5" s="181"/>
      <c r="C5" s="77"/>
      <c r="D5" s="77"/>
      <c r="E5" s="77"/>
      <c r="F5" s="77"/>
      <c r="G5" s="77"/>
      <c r="H5" s="188"/>
      <c r="AK5" s="73" t="s">
        <v>21</v>
      </c>
    </row>
    <row r="6" spans="1:37" ht="17.25">
      <c r="A6" s="78" t="s">
        <v>14</v>
      </c>
      <c r="B6" s="79" t="s">
        <v>164</v>
      </c>
      <c r="C6" s="43">
        <f>销量!C12</f>
        <v>0</v>
      </c>
      <c r="D6" s="43">
        <f>销量!D12</f>
        <v>0</v>
      </c>
      <c r="E6" s="43">
        <f>销量!E9</f>
        <v>0</v>
      </c>
      <c r="F6" s="43">
        <f>销量!F9</f>
        <v>0</v>
      </c>
      <c r="G6" s="43">
        <f>销量!G9</f>
        <v>0</v>
      </c>
      <c r="H6" s="80">
        <f t="shared" ref="H6:H15" si="0">+SUM(C6:G6)</f>
        <v>0</v>
      </c>
      <c r="S6" s="79" t="s">
        <v>3</v>
      </c>
      <c r="AI6" s="78" t="s">
        <v>14</v>
      </c>
      <c r="AJ6" s="79" t="s">
        <v>3</v>
      </c>
      <c r="AK6" s="73" t="s">
        <v>22</v>
      </c>
    </row>
    <row r="7" spans="1:37">
      <c r="A7" s="75">
        <v>1</v>
      </c>
      <c r="B7" s="79" t="s">
        <v>23</v>
      </c>
      <c r="C7" s="80">
        <f>C6*销量!C8</f>
        <v>0</v>
      </c>
      <c r="D7" s="80">
        <f>D6*销量!D8</f>
        <v>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si="0"/>
        <v>0</v>
      </c>
      <c r="I7" s="74"/>
      <c r="S7" s="79" t="s">
        <v>23</v>
      </c>
      <c r="AI7" s="78" t="s">
        <v>24</v>
      </c>
      <c r="AJ7" s="79" t="s">
        <v>23</v>
      </c>
      <c r="AK7" s="73" t="s">
        <v>22</v>
      </c>
    </row>
    <row r="8" spans="1:37">
      <c r="A8" s="75">
        <v>2</v>
      </c>
      <c r="B8" s="75" t="s">
        <v>25</v>
      </c>
      <c r="C8" s="80">
        <f>C7*(1-销量!$L$9)</f>
        <v>0</v>
      </c>
      <c r="D8" s="80">
        <f>D7*(1-销量!$L$9)</f>
        <v>0</v>
      </c>
      <c r="E8" s="80"/>
      <c r="F8" s="80"/>
      <c r="G8" s="80"/>
      <c r="H8" s="80">
        <f t="shared" si="0"/>
        <v>0</v>
      </c>
      <c r="I8" s="93"/>
      <c r="S8" s="75" t="s">
        <v>27</v>
      </c>
      <c r="AI8" s="78" t="s">
        <v>26</v>
      </c>
      <c r="AJ8" s="75" t="s">
        <v>27</v>
      </c>
      <c r="AK8" s="73" t="s">
        <v>22</v>
      </c>
    </row>
    <row r="9" spans="1:37">
      <c r="A9" s="75">
        <v>3</v>
      </c>
      <c r="B9" s="79" t="s">
        <v>28</v>
      </c>
      <c r="C9" s="80">
        <f>+C7-C8</f>
        <v>0</v>
      </c>
      <c r="D9" s="80">
        <f t="shared" ref="D9:G9" si="1">+D7-D8</f>
        <v>0</v>
      </c>
      <c r="E9" s="80">
        <f t="shared" si="1"/>
        <v>0</v>
      </c>
      <c r="F9" s="80">
        <f t="shared" si="1"/>
        <v>0</v>
      </c>
      <c r="G9" s="80">
        <f t="shared" si="1"/>
        <v>0</v>
      </c>
      <c r="H9" s="80">
        <f t="shared" si="0"/>
        <v>0</v>
      </c>
      <c r="S9" s="79" t="s">
        <v>28</v>
      </c>
      <c r="AI9" s="78" t="s">
        <v>29</v>
      </c>
      <c r="AJ9" s="79" t="s">
        <v>28</v>
      </c>
      <c r="AK9" s="73" t="s">
        <v>30</v>
      </c>
    </row>
    <row r="10" spans="1:37">
      <c r="A10" s="75">
        <v>4</v>
      </c>
      <c r="B10" s="78" t="s">
        <v>31</v>
      </c>
      <c r="C10" s="80">
        <f>C6*材料成本!D24</f>
        <v>0</v>
      </c>
      <c r="D10" s="80">
        <f>D6*材料成本!E24</f>
        <v>0</v>
      </c>
      <c r="E10" s="80">
        <f>E6*材料成本!F24</f>
        <v>0</v>
      </c>
      <c r="F10" s="80">
        <f>F6*材料成本!G24</f>
        <v>0</v>
      </c>
      <c r="G10" s="80">
        <f>G6*材料成本!H24</f>
        <v>0</v>
      </c>
      <c r="H10" s="80">
        <f t="shared" si="0"/>
        <v>0</v>
      </c>
      <c r="S10" s="78" t="s">
        <v>31</v>
      </c>
      <c r="AI10" s="78" t="s">
        <v>32</v>
      </c>
      <c r="AJ10" s="78" t="s">
        <v>31</v>
      </c>
      <c r="AK10" s="73" t="s">
        <v>33</v>
      </c>
    </row>
    <row r="11" spans="1:37">
      <c r="A11" s="75">
        <v>5</v>
      </c>
      <c r="B11" s="78" t="s">
        <v>34</v>
      </c>
      <c r="C11" s="80">
        <f>+C6*C36</f>
        <v>0</v>
      </c>
      <c r="D11" s="80">
        <f>+D6*D36</f>
        <v>0</v>
      </c>
      <c r="E11" s="80">
        <f>+E6*E36</f>
        <v>0</v>
      </c>
      <c r="F11" s="80">
        <f>+F6*F36</f>
        <v>0</v>
      </c>
      <c r="G11" s="80">
        <f>+G6*G36</f>
        <v>0</v>
      </c>
      <c r="H11" s="80">
        <f t="shared" si="0"/>
        <v>0</v>
      </c>
      <c r="S11" s="78" t="s">
        <v>34</v>
      </c>
      <c r="AI11" s="78" t="s">
        <v>35</v>
      </c>
      <c r="AJ11" s="78" t="s">
        <v>34</v>
      </c>
    </row>
    <row r="12" spans="1:37">
      <c r="A12" s="75">
        <v>6</v>
      </c>
      <c r="B12" s="78" t="s">
        <v>36</v>
      </c>
      <c r="C12" s="80">
        <f>+C6*C37</f>
        <v>0</v>
      </c>
      <c r="D12" s="80">
        <f>+D6*D37</f>
        <v>0</v>
      </c>
      <c r="E12" s="80">
        <f>+E6*E37</f>
        <v>0</v>
      </c>
      <c r="F12" s="80">
        <f>+F6*F37</f>
        <v>0</v>
      </c>
      <c r="G12" s="80">
        <f>+G6*G37</f>
        <v>0</v>
      </c>
      <c r="H12" s="80">
        <f t="shared" si="0"/>
        <v>0</v>
      </c>
      <c r="S12" s="78" t="s">
        <v>36</v>
      </c>
      <c r="AI12" s="78" t="s">
        <v>37</v>
      </c>
      <c r="AJ12" s="78" t="s">
        <v>36</v>
      </c>
    </row>
    <row r="13" spans="1:37">
      <c r="A13" s="75">
        <v>7</v>
      </c>
      <c r="B13" s="78" t="s">
        <v>38</v>
      </c>
      <c r="C13" s="80">
        <f>+C6*C38</f>
        <v>0</v>
      </c>
      <c r="D13" s="80">
        <f t="shared" ref="D13:G13" si="2">+D6*D38</f>
        <v>0</v>
      </c>
      <c r="E13" s="80">
        <f t="shared" si="2"/>
        <v>0</v>
      </c>
      <c r="F13" s="80">
        <f t="shared" si="2"/>
        <v>0</v>
      </c>
      <c r="G13" s="80">
        <f t="shared" si="2"/>
        <v>0</v>
      </c>
      <c r="H13" s="80">
        <f t="shared" si="0"/>
        <v>0</v>
      </c>
      <c r="S13" s="78" t="s">
        <v>38</v>
      </c>
      <c r="AI13" s="78" t="s">
        <v>39</v>
      </c>
      <c r="AJ13" s="78" t="s">
        <v>38</v>
      </c>
      <c r="AK13" s="73" t="s">
        <v>22</v>
      </c>
    </row>
    <row r="14" spans="1:37">
      <c r="A14" s="75">
        <v>8</v>
      </c>
      <c r="B14" s="81" t="s">
        <v>40</v>
      </c>
      <c r="C14" s="80">
        <f>SUM(C11:C13)</f>
        <v>0</v>
      </c>
      <c r="D14" s="80">
        <f t="shared" ref="D14:G14" si="3">SUM(D11:D13)</f>
        <v>0</v>
      </c>
      <c r="E14" s="80">
        <f t="shared" si="3"/>
        <v>0</v>
      </c>
      <c r="F14" s="80">
        <f t="shared" si="3"/>
        <v>0</v>
      </c>
      <c r="G14" s="80">
        <f t="shared" si="3"/>
        <v>0</v>
      </c>
      <c r="H14" s="80">
        <f t="shared" si="0"/>
        <v>0</v>
      </c>
      <c r="S14" s="81" t="s">
        <v>40</v>
      </c>
      <c r="AI14" s="78" t="s">
        <v>41</v>
      </c>
      <c r="AJ14" s="81" t="s">
        <v>40</v>
      </c>
    </row>
    <row r="15" spans="1:37">
      <c r="A15" s="75">
        <v>9</v>
      </c>
      <c r="B15" s="81" t="s">
        <v>42</v>
      </c>
      <c r="C15" s="80">
        <f>+C9-C10-C14</f>
        <v>0</v>
      </c>
      <c r="D15" s="80">
        <f t="shared" ref="D15:G15" si="4">+D9-D10-D14</f>
        <v>0</v>
      </c>
      <c r="E15" s="80">
        <f t="shared" si="4"/>
        <v>0</v>
      </c>
      <c r="F15" s="80">
        <f t="shared" si="4"/>
        <v>0</v>
      </c>
      <c r="G15" s="80">
        <f t="shared" si="4"/>
        <v>0</v>
      </c>
      <c r="H15" s="80">
        <f t="shared" si="0"/>
        <v>0</v>
      </c>
      <c r="S15" s="81" t="s">
        <v>42</v>
      </c>
      <c r="AI15" s="78" t="s">
        <v>43</v>
      </c>
      <c r="AJ15" s="81" t="s">
        <v>42</v>
      </c>
    </row>
    <row r="16" spans="1:37">
      <c r="A16" s="75">
        <v>10</v>
      </c>
      <c r="B16" s="78" t="s">
        <v>44</v>
      </c>
      <c r="C16" s="82" t="e">
        <f>+C15/C9</f>
        <v>#DIV/0!</v>
      </c>
      <c r="D16" s="82" t="e">
        <f t="shared" ref="D16:H16" si="5">+D15/D9</f>
        <v>#DIV/0!</v>
      </c>
      <c r="E16" s="82" t="e">
        <f t="shared" si="5"/>
        <v>#DIV/0!</v>
      </c>
      <c r="F16" s="82" t="e">
        <f t="shared" si="5"/>
        <v>#DIV/0!</v>
      </c>
      <c r="G16" s="82" t="e">
        <f t="shared" si="5"/>
        <v>#DIV/0!</v>
      </c>
      <c r="H16" s="82" t="e">
        <f t="shared" si="5"/>
        <v>#DIV/0!</v>
      </c>
      <c r="S16" s="78" t="s">
        <v>44</v>
      </c>
      <c r="AI16" s="78" t="s">
        <v>45</v>
      </c>
      <c r="AJ16" s="78" t="s">
        <v>44</v>
      </c>
    </row>
    <row r="17" spans="1:37">
      <c r="A17" s="75">
        <v>11</v>
      </c>
      <c r="B17" s="78" t="s">
        <v>46</v>
      </c>
      <c r="C17" s="80" t="e">
        <f ca="1">C6*C43+C18</f>
        <v>#DIV/0!</v>
      </c>
      <c r="D17" s="80" t="e">
        <f ca="1">D6*D43+D18</f>
        <v>#DIV/0!</v>
      </c>
      <c r="E17" s="80" t="e">
        <f ca="1">E6*E43+E18</f>
        <v>#DIV/0!</v>
      </c>
      <c r="F17" s="80" t="e">
        <f ca="1">F6*F43+F18</f>
        <v>#DIV/0!</v>
      </c>
      <c r="G17" s="80" t="e">
        <f ca="1">G6*G43+G18</f>
        <v>#DIV/0!</v>
      </c>
      <c r="H17" s="80" t="e">
        <f ca="1">SUM(C17:G17)</f>
        <v>#DIV/0!</v>
      </c>
      <c r="I17" s="93"/>
      <c r="S17" s="78" t="s">
        <v>46</v>
      </c>
      <c r="AI17" s="78" t="s">
        <v>47</v>
      </c>
      <c r="AJ17" s="78" t="s">
        <v>46</v>
      </c>
    </row>
    <row r="18" spans="1:37" s="71" customFormat="1">
      <c r="A18" s="75">
        <v>12</v>
      </c>
      <c r="B18" s="83" t="s">
        <v>165</v>
      </c>
      <c r="C18" s="84" t="e">
        <f ca="1">$H$18/$H$6*C6</f>
        <v>#DIV/0!</v>
      </c>
      <c r="D18" s="84" t="e">
        <f ca="1">$H$18/$H$6*D6</f>
        <v>#DIV/0!</v>
      </c>
      <c r="E18" s="84" t="e">
        <f ca="1">$H$18/$H$6*E6</f>
        <v>#DIV/0!</v>
      </c>
      <c r="F18" s="84" t="e">
        <f ca="1">$H$18/$H$6*F6</f>
        <v>#DIV/0!</v>
      </c>
      <c r="G18" s="84" t="e">
        <f ca="1">$H$18/$H$6*G6</f>
        <v>#DIV/0!</v>
      </c>
      <c r="H18" s="80">
        <f ca="1">SUM(C18:G18)</f>
        <v>0</v>
      </c>
      <c r="I18" s="94" t="s">
        <v>166</v>
      </c>
      <c r="J18" s="94"/>
      <c r="K18" s="94"/>
    </row>
    <row r="19" spans="1:37">
      <c r="A19" s="75">
        <v>13</v>
      </c>
      <c r="B19" s="78" t="s">
        <v>48</v>
      </c>
      <c r="C19" s="80">
        <f>C6*C44</f>
        <v>0</v>
      </c>
      <c r="D19" s="80">
        <f>D6*D44</f>
        <v>0</v>
      </c>
      <c r="E19" s="80">
        <f>E6*E44</f>
        <v>0</v>
      </c>
      <c r="F19" s="80">
        <f>F6*F44</f>
        <v>0</v>
      </c>
      <c r="G19" s="80">
        <f>G6*G44</f>
        <v>0</v>
      </c>
      <c r="H19" s="80">
        <f>SUM(C19:G19)</f>
        <v>0</v>
      </c>
      <c r="I19" s="71"/>
      <c r="S19" s="78" t="s">
        <v>48</v>
      </c>
      <c r="AI19" s="78" t="s">
        <v>49</v>
      </c>
      <c r="AJ19" s="78" t="s">
        <v>48</v>
      </c>
      <c r="AK19" s="73" t="s">
        <v>22</v>
      </c>
    </row>
    <row r="20" spans="1:37">
      <c r="A20" s="75">
        <v>14</v>
      </c>
      <c r="B20" s="78" t="s">
        <v>50</v>
      </c>
      <c r="C20" s="80">
        <f>C6*C45</f>
        <v>0</v>
      </c>
      <c r="D20" s="80">
        <f>D6*D45</f>
        <v>0</v>
      </c>
      <c r="E20" s="80">
        <f>E6*E45</f>
        <v>0</v>
      </c>
      <c r="F20" s="80">
        <f>F6*F45</f>
        <v>0</v>
      </c>
      <c r="G20" s="80">
        <f>G6*G45</f>
        <v>0</v>
      </c>
      <c r="H20" s="80">
        <f>SUM(C20:G20)</f>
        <v>0</v>
      </c>
      <c r="S20" s="78" t="s">
        <v>50</v>
      </c>
      <c r="AI20" s="78" t="s">
        <v>51</v>
      </c>
      <c r="AJ20" s="78" t="s">
        <v>50</v>
      </c>
    </row>
    <row r="21" spans="1:37">
      <c r="A21" s="75">
        <v>15</v>
      </c>
      <c r="B21" s="78" t="s">
        <v>52</v>
      </c>
      <c r="C21" s="85" t="e">
        <f ca="1">$H$21/$H$6*C6</f>
        <v>#DIV/0!</v>
      </c>
      <c r="D21" s="85" t="e">
        <f ca="1">$H$21/$H$6*D6</f>
        <v>#DIV/0!</v>
      </c>
      <c r="E21" s="85" t="e">
        <f ca="1">$H$21/$H$6*E6</f>
        <v>#DIV/0!</v>
      </c>
      <c r="F21" s="85" t="e">
        <f ca="1">$H$21/$H$6*F6</f>
        <v>#DIV/0!</v>
      </c>
      <c r="G21" s="85" t="e">
        <f ca="1">$H$21/$H$6*G6</f>
        <v>#DIV/0!</v>
      </c>
      <c r="H21" s="80">
        <f ca="1">SUM(C21:G21)</f>
        <v>0</v>
      </c>
      <c r="S21" s="78" t="s">
        <v>52</v>
      </c>
      <c r="AI21" s="78"/>
      <c r="AJ21" s="78"/>
    </row>
    <row r="22" spans="1:37">
      <c r="A22" s="75">
        <v>16</v>
      </c>
      <c r="B22" s="78" t="s">
        <v>53</v>
      </c>
      <c r="C22" s="80">
        <f>C6*C47</f>
        <v>0</v>
      </c>
      <c r="D22" s="80">
        <f>D6*D47</f>
        <v>0</v>
      </c>
      <c r="E22" s="80">
        <f>E6*E47</f>
        <v>0</v>
      </c>
      <c r="F22" s="80">
        <f>F6*F47</f>
        <v>0</v>
      </c>
      <c r="G22" s="80">
        <f>G6*G47</f>
        <v>0</v>
      </c>
      <c r="H22" s="80">
        <f>+SUM(C22:G22)</f>
        <v>0</v>
      </c>
      <c r="S22" s="78" t="s">
        <v>53</v>
      </c>
      <c r="AI22" s="78" t="s">
        <v>54</v>
      </c>
      <c r="AJ22" s="78" t="s">
        <v>53</v>
      </c>
    </row>
    <row r="23" spans="1:37">
      <c r="A23" s="75">
        <v>17</v>
      </c>
      <c r="B23" s="81" t="s">
        <v>55</v>
      </c>
      <c r="C23" s="85" t="e">
        <f ca="1">+C22+C21+C20+C19+C17</f>
        <v>#DIV/0!</v>
      </c>
      <c r="D23" s="85" t="e">
        <f ca="1">+D22+D21+D20+D19+D17</f>
        <v>#DIV/0!</v>
      </c>
      <c r="E23" s="85" t="e">
        <f ca="1">+E22+E21+E20+E19+E17</f>
        <v>#DIV/0!</v>
      </c>
      <c r="F23" s="85" t="e">
        <f ca="1">+F22+F21+F20+F19+F17</f>
        <v>#DIV/0!</v>
      </c>
      <c r="G23" s="85" t="e">
        <f ca="1">+G22+G21+G20+G19+G17</f>
        <v>#DIV/0!</v>
      </c>
      <c r="H23" s="85" t="e">
        <f t="shared" ref="H23" ca="1" si="6">+H22+H21+H20+H19+H17</f>
        <v>#DIV/0!</v>
      </c>
      <c r="S23" s="81" t="s">
        <v>55</v>
      </c>
      <c r="AI23" s="78" t="s">
        <v>56</v>
      </c>
      <c r="AJ23" s="81" t="s">
        <v>55</v>
      </c>
    </row>
    <row r="24" spans="1:37">
      <c r="A24" s="75">
        <v>18</v>
      </c>
      <c r="B24" s="86" t="s">
        <v>57</v>
      </c>
      <c r="C24" s="85" t="e">
        <f ca="1">+C15-C23</f>
        <v>#DIV/0!</v>
      </c>
      <c r="D24" s="85" t="e">
        <f ca="1">+D15-D23</f>
        <v>#DIV/0!</v>
      </c>
      <c r="E24" s="85" t="e">
        <f ca="1">+E15-E23</f>
        <v>#DIV/0!</v>
      </c>
      <c r="F24" s="85" t="e">
        <f ca="1">+F15-F23</f>
        <v>#DIV/0!</v>
      </c>
      <c r="G24" s="85" t="e">
        <f ca="1">+G15-G23</f>
        <v>#DIV/0!</v>
      </c>
      <c r="H24" s="85" t="e">
        <f t="shared" ref="H24" ca="1" si="7">+H15-H23</f>
        <v>#DIV/0!</v>
      </c>
      <c r="J24" s="95"/>
      <c r="S24" s="78" t="s">
        <v>57</v>
      </c>
      <c r="AI24" s="78" t="s">
        <v>58</v>
      </c>
      <c r="AJ24" s="78" t="s">
        <v>57</v>
      </c>
    </row>
    <row r="25" spans="1:37">
      <c r="A25" s="75">
        <v>19</v>
      </c>
      <c r="B25" s="78" t="s">
        <v>167</v>
      </c>
      <c r="C25" s="85" t="e">
        <f ca="1">IF(C24&lt;0,0,C24*0.25)</f>
        <v>#DIV/0!</v>
      </c>
      <c r="D25" s="85" t="e">
        <f ca="1">IF(D24&lt;0,0,D24*0.25)</f>
        <v>#DIV/0!</v>
      </c>
      <c r="E25" s="85" t="e">
        <f ca="1">IF(E24&lt;0,0,E24*0.25)</f>
        <v>#DIV/0!</v>
      </c>
      <c r="F25" s="85" t="e">
        <f ca="1">IF(F24&lt;0,0,F24*0.25)</f>
        <v>#DIV/0!</v>
      </c>
      <c r="G25" s="85" t="e">
        <f ca="1">IF(G24&lt;0,0,G24*0.25)</f>
        <v>#DIV/0!</v>
      </c>
      <c r="H25" s="85" t="e">
        <f t="shared" ref="H25" ca="1" si="8">IF(H24&lt;0,0,H24*0.25)</f>
        <v>#DIV/0!</v>
      </c>
      <c r="I25" s="2"/>
      <c r="J25" s="2"/>
      <c r="K25" s="2"/>
      <c r="S25" s="78" t="s">
        <v>59</v>
      </c>
      <c r="AI25" s="78" t="s">
        <v>60</v>
      </c>
      <c r="AJ25" s="78" t="s">
        <v>59</v>
      </c>
    </row>
    <row r="26" spans="1:37">
      <c r="A26" s="75">
        <v>20</v>
      </c>
      <c r="B26" s="78" t="s">
        <v>61</v>
      </c>
      <c r="C26" s="85" t="e">
        <f t="shared" ref="C26:G26" ca="1" si="9">C24-C25</f>
        <v>#DIV/0!</v>
      </c>
      <c r="D26" s="85" t="e">
        <f t="shared" ca="1" si="9"/>
        <v>#DIV/0!</v>
      </c>
      <c r="E26" s="85" t="e">
        <f t="shared" ca="1" si="9"/>
        <v>#DIV/0!</v>
      </c>
      <c r="F26" s="85" t="e">
        <f t="shared" ca="1" si="9"/>
        <v>#DIV/0!</v>
      </c>
      <c r="G26" s="85" t="e">
        <f t="shared" ca="1" si="9"/>
        <v>#DIV/0!</v>
      </c>
      <c r="H26" s="80" t="e">
        <f ca="1">+SUM(C26:G26)</f>
        <v>#DIV/0!</v>
      </c>
      <c r="I26" s="2"/>
      <c r="J26" s="2"/>
      <c r="K26" s="2"/>
      <c r="S26" s="78" t="s">
        <v>61</v>
      </c>
      <c r="AI26" s="78" t="s">
        <v>62</v>
      </c>
      <c r="AJ26" s="78" t="s">
        <v>61</v>
      </c>
    </row>
    <row r="27" spans="1:37">
      <c r="A27" s="75">
        <v>21</v>
      </c>
      <c r="B27" s="78" t="s">
        <v>65</v>
      </c>
      <c r="C27" s="87" t="e">
        <f t="shared" ref="C27:G27" ca="1" si="10">C26/C7</f>
        <v>#DIV/0!</v>
      </c>
      <c r="D27" s="87" t="e">
        <f t="shared" ca="1" si="10"/>
        <v>#DIV/0!</v>
      </c>
      <c r="E27" s="87" t="e">
        <f t="shared" ca="1" si="10"/>
        <v>#DIV/0!</v>
      </c>
      <c r="F27" s="87" t="e">
        <f t="shared" ca="1" si="10"/>
        <v>#DIV/0!</v>
      </c>
      <c r="G27" s="87" t="e">
        <f t="shared" ca="1" si="10"/>
        <v>#DIV/0!</v>
      </c>
      <c r="H27" s="87">
        <f ca="1">H26/H7</f>
        <v>0</v>
      </c>
      <c r="I27" s="2"/>
      <c r="J27" s="2"/>
      <c r="K27" s="2"/>
      <c r="S27" s="78" t="s">
        <v>65</v>
      </c>
      <c r="AI27" s="78" t="s">
        <v>64</v>
      </c>
      <c r="AJ27" s="78" t="s">
        <v>65</v>
      </c>
    </row>
    <row r="28" spans="1:37">
      <c r="I28" s="2"/>
      <c r="J28" s="2"/>
      <c r="K28" s="2"/>
      <c r="S28" s="78"/>
    </row>
    <row r="29" spans="1:37">
      <c r="A29" s="73" t="s">
        <v>66</v>
      </c>
      <c r="H29" s="74" t="s">
        <v>168</v>
      </c>
      <c r="I29" s="2"/>
      <c r="J29" s="2"/>
      <c r="K29" s="2"/>
      <c r="S29" s="78"/>
      <c r="AI29" s="73" t="s">
        <v>66</v>
      </c>
    </row>
    <row r="30" spans="1:37">
      <c r="A30" s="78" t="s">
        <v>72</v>
      </c>
      <c r="B30" s="81" t="s">
        <v>73</v>
      </c>
      <c r="C30" s="85"/>
      <c r="D30" s="85"/>
      <c r="E30" s="85"/>
      <c r="F30" s="85"/>
      <c r="G30" s="85"/>
      <c r="H30" s="85"/>
      <c r="I30" s="2"/>
      <c r="J30" s="2"/>
      <c r="K30" s="2"/>
      <c r="M30" s="2"/>
      <c r="S30" s="81" t="s">
        <v>73</v>
      </c>
      <c r="AI30" s="78" t="s">
        <v>74</v>
      </c>
      <c r="AJ30" s="81" t="s">
        <v>73</v>
      </c>
    </row>
    <row r="31" spans="1:37">
      <c r="A31" s="75">
        <v>1</v>
      </c>
      <c r="B31" s="83" t="s">
        <v>75</v>
      </c>
      <c r="C31" s="88">
        <f>销量!C8</f>
        <v>1176</v>
      </c>
      <c r="D31" s="88">
        <f>销量!D8</f>
        <v>0</v>
      </c>
      <c r="E31" s="88">
        <f>销量!E8</f>
        <v>0</v>
      </c>
      <c r="F31" s="88">
        <f>销量!F8</f>
        <v>0</v>
      </c>
      <c r="G31" s="88">
        <f>销量!G8</f>
        <v>0</v>
      </c>
      <c r="H31" s="85"/>
      <c r="I31" s="2"/>
      <c r="J31" s="2"/>
      <c r="K31" s="2"/>
      <c r="M31" s="2"/>
      <c r="S31" s="78" t="s">
        <v>75</v>
      </c>
      <c r="AI31" s="78" t="s">
        <v>24</v>
      </c>
      <c r="AJ31" s="78" t="s">
        <v>75</v>
      </c>
    </row>
    <row r="32" spans="1:37">
      <c r="A32" s="75">
        <v>2</v>
      </c>
      <c r="B32" s="78" t="s">
        <v>169</v>
      </c>
      <c r="C32" s="80" t="e">
        <f>C9/C6</f>
        <v>#DIV/0!</v>
      </c>
      <c r="D32" s="80" t="e">
        <f>D9/D6</f>
        <v>#DIV/0!</v>
      </c>
      <c r="E32" s="80">
        <f t="shared" ref="E32:G32" si="11">E31*1</f>
        <v>0</v>
      </c>
      <c r="F32" s="80">
        <f t="shared" si="11"/>
        <v>0</v>
      </c>
      <c r="G32" s="80">
        <f t="shared" si="11"/>
        <v>0</v>
      </c>
      <c r="H32" s="85"/>
      <c r="I32" s="2"/>
      <c r="J32" s="2"/>
      <c r="K32" s="2"/>
      <c r="L32" s="2"/>
      <c r="M32" s="2"/>
      <c r="N32" s="2"/>
      <c r="O32" s="2"/>
      <c r="AI32" s="78"/>
      <c r="AJ32" s="78"/>
    </row>
    <row r="33" spans="1:36">
      <c r="A33" s="75">
        <v>3</v>
      </c>
      <c r="B33" s="83" t="s">
        <v>76</v>
      </c>
      <c r="C33" s="80">
        <f>材料成本!D24</f>
        <v>629.1020000000002</v>
      </c>
      <c r="D33" s="80">
        <f>材料成本!E24</f>
        <v>0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5"/>
      <c r="J33" s="2"/>
      <c r="K33" s="2"/>
      <c r="L33" s="2"/>
      <c r="M33" s="2"/>
      <c r="N33" s="2"/>
      <c r="O33" s="2"/>
      <c r="S33" s="78" t="s">
        <v>76</v>
      </c>
      <c r="AI33" s="78" t="s">
        <v>26</v>
      </c>
      <c r="AJ33" s="78" t="s">
        <v>76</v>
      </c>
    </row>
    <row r="34" spans="1:36" ht="17.25" customHeight="1">
      <c r="A34" s="75">
        <v>4</v>
      </c>
      <c r="B34" s="78" t="s">
        <v>78</v>
      </c>
      <c r="C34" s="89" t="e">
        <f>C32-C33</f>
        <v>#DIV/0!</v>
      </c>
      <c r="D34" s="89" t="e">
        <f t="shared" ref="D34:G34" si="12">D32-D33</f>
        <v>#DIV/0!</v>
      </c>
      <c r="E34" s="89">
        <f t="shared" si="12"/>
        <v>0</v>
      </c>
      <c r="F34" s="89">
        <f t="shared" si="12"/>
        <v>0</v>
      </c>
      <c r="G34" s="89">
        <f t="shared" si="12"/>
        <v>0</v>
      </c>
      <c r="H34" s="85"/>
      <c r="J34" s="2"/>
      <c r="K34" s="2"/>
      <c r="L34" s="2"/>
      <c r="M34" s="2"/>
      <c r="N34" s="2"/>
      <c r="O34" s="2"/>
      <c r="S34" s="78" t="s">
        <v>78</v>
      </c>
      <c r="AI34" s="78" t="s">
        <v>77</v>
      </c>
      <c r="AJ34" s="78" t="s">
        <v>78</v>
      </c>
    </row>
    <row r="35" spans="1:36">
      <c r="A35" s="78" t="s">
        <v>74</v>
      </c>
      <c r="B35" s="81" t="s">
        <v>8</v>
      </c>
      <c r="C35" s="85"/>
      <c r="D35" s="85"/>
      <c r="E35" s="85"/>
      <c r="F35" s="85"/>
      <c r="G35" s="85"/>
      <c r="H35" s="85"/>
      <c r="I35" s="2"/>
      <c r="J35" s="2"/>
      <c r="K35" s="2"/>
      <c r="L35" s="2"/>
      <c r="M35" s="2"/>
      <c r="N35" s="2"/>
      <c r="O35" s="2"/>
      <c r="P35" s="2"/>
      <c r="Q35" s="2"/>
      <c r="R35" s="2"/>
      <c r="S35" s="81" t="s">
        <v>8</v>
      </c>
      <c r="AI35" s="78" t="s">
        <v>80</v>
      </c>
      <c r="AJ35" s="81" t="s">
        <v>8</v>
      </c>
    </row>
    <row r="36" spans="1:36">
      <c r="A36" s="75">
        <v>1</v>
      </c>
      <c r="B36" s="78" t="s">
        <v>81</v>
      </c>
      <c r="C36" s="84">
        <f>标准成本!D4</f>
        <v>58.926320000000004</v>
      </c>
      <c r="D36" s="84">
        <f t="shared" ref="D36:G38" si="13">C36</f>
        <v>58.926320000000004</v>
      </c>
      <c r="E36" s="84">
        <f t="shared" si="13"/>
        <v>58.926320000000004</v>
      </c>
      <c r="F36" s="84">
        <f t="shared" si="13"/>
        <v>58.926320000000004</v>
      </c>
      <c r="G36" s="84">
        <f t="shared" si="13"/>
        <v>58.926320000000004</v>
      </c>
      <c r="H36" s="88"/>
      <c r="I36" s="2"/>
      <c r="J36" s="2"/>
      <c r="K36" s="2"/>
      <c r="L36" s="2"/>
      <c r="M36" s="2"/>
      <c r="N36" s="2"/>
      <c r="O36" s="2"/>
      <c r="P36" s="2"/>
      <c r="Q36" s="2"/>
      <c r="R36" s="2"/>
      <c r="S36" s="78" t="s">
        <v>81</v>
      </c>
      <c r="AI36" s="78" t="s">
        <v>77</v>
      </c>
      <c r="AJ36" s="78" t="s">
        <v>81</v>
      </c>
    </row>
    <row r="37" spans="1:36">
      <c r="A37" s="75">
        <v>2</v>
      </c>
      <c r="B37" s="78" t="s">
        <v>82</v>
      </c>
      <c r="C37" s="84">
        <f>标准成本!D6</f>
        <v>29.668240000000001</v>
      </c>
      <c r="D37" s="84">
        <f t="shared" si="13"/>
        <v>29.668240000000001</v>
      </c>
      <c r="E37" s="84">
        <f t="shared" si="13"/>
        <v>29.668240000000001</v>
      </c>
      <c r="F37" s="84">
        <f t="shared" si="13"/>
        <v>29.668240000000001</v>
      </c>
      <c r="G37" s="84">
        <f t="shared" si="13"/>
        <v>29.668240000000001</v>
      </c>
      <c r="H37" s="88"/>
      <c r="I37" s="2"/>
      <c r="J37" s="2"/>
      <c r="K37" s="2"/>
      <c r="L37" s="2"/>
      <c r="M37" s="2"/>
      <c r="N37" s="2"/>
      <c r="O37" s="2"/>
      <c r="P37" s="2"/>
      <c r="Q37" s="2"/>
      <c r="R37" s="2"/>
      <c r="S37" s="78" t="s">
        <v>82</v>
      </c>
      <c r="AI37" s="78" t="s">
        <v>29</v>
      </c>
      <c r="AJ37" s="78" t="s">
        <v>82</v>
      </c>
    </row>
    <row r="38" spans="1:36">
      <c r="A38" s="75">
        <v>3</v>
      </c>
      <c r="B38" s="78" t="s">
        <v>83</v>
      </c>
      <c r="C38" s="84">
        <f>标准成本!D10</f>
        <v>60.156799999999997</v>
      </c>
      <c r="D38" s="84">
        <f t="shared" si="13"/>
        <v>60.156799999999997</v>
      </c>
      <c r="E38" s="84">
        <f t="shared" si="13"/>
        <v>60.156799999999997</v>
      </c>
      <c r="F38" s="84">
        <f t="shared" si="13"/>
        <v>60.156799999999997</v>
      </c>
      <c r="G38" s="84">
        <f t="shared" si="13"/>
        <v>60.156799999999997</v>
      </c>
      <c r="H38" s="88"/>
      <c r="I38" s="2"/>
      <c r="J38" s="2"/>
      <c r="K38" s="2"/>
      <c r="L38" s="2"/>
      <c r="M38" s="2"/>
      <c r="N38" s="2"/>
      <c r="O38" s="2"/>
      <c r="P38" s="2"/>
      <c r="Q38" s="2"/>
      <c r="R38" s="2"/>
      <c r="S38" s="78" t="s">
        <v>83</v>
      </c>
      <c r="AI38" s="78" t="s">
        <v>35</v>
      </c>
      <c r="AJ38" s="78" t="s">
        <v>83</v>
      </c>
    </row>
    <row r="39" spans="1:36">
      <c r="A39" s="78" t="s">
        <v>80</v>
      </c>
      <c r="B39" s="81" t="s">
        <v>85</v>
      </c>
      <c r="C39" s="85"/>
      <c r="D39" s="85"/>
      <c r="E39" s="85"/>
      <c r="F39" s="85"/>
      <c r="G39" s="85"/>
      <c r="H39" s="85"/>
      <c r="S39" s="81" t="s">
        <v>85</v>
      </c>
      <c r="AI39" s="78" t="s">
        <v>84</v>
      </c>
      <c r="AJ39" s="81" t="s">
        <v>85</v>
      </c>
    </row>
    <row r="40" spans="1:36">
      <c r="A40" s="75">
        <v>1</v>
      </c>
      <c r="B40" s="78" t="s">
        <v>86</v>
      </c>
      <c r="C40" s="85" t="e">
        <f>C34-C36-C37-C38</f>
        <v>#DIV/0!</v>
      </c>
      <c r="D40" s="85" t="e">
        <f t="shared" ref="D40:G40" si="14">D34-D36-D37-D38</f>
        <v>#DIV/0!</v>
      </c>
      <c r="E40" s="85">
        <f t="shared" si="14"/>
        <v>-148.75136000000001</v>
      </c>
      <c r="F40" s="85">
        <f t="shared" si="14"/>
        <v>-148.75136000000001</v>
      </c>
      <c r="G40" s="85">
        <f t="shared" si="14"/>
        <v>-148.75136000000001</v>
      </c>
      <c r="H40" s="85"/>
      <c r="S40" s="78" t="s">
        <v>86</v>
      </c>
      <c r="AI40" s="78" t="s">
        <v>24</v>
      </c>
      <c r="AJ40" s="78" t="s">
        <v>86</v>
      </c>
    </row>
    <row r="41" spans="1:36">
      <c r="A41" s="75">
        <v>2</v>
      </c>
      <c r="B41" s="78" t="s">
        <v>87</v>
      </c>
      <c r="C41" s="85"/>
      <c r="D41" s="85"/>
      <c r="E41" s="85"/>
      <c r="F41" s="85"/>
      <c r="G41" s="85"/>
      <c r="H41" s="85"/>
      <c r="S41" s="78" t="s">
        <v>87</v>
      </c>
      <c r="AI41" s="78" t="s">
        <v>26</v>
      </c>
      <c r="AJ41" s="78" t="s">
        <v>87</v>
      </c>
    </row>
    <row r="42" spans="1:36">
      <c r="A42" s="78" t="s">
        <v>84</v>
      </c>
      <c r="B42" s="81" t="s">
        <v>89</v>
      </c>
      <c r="C42" s="85"/>
      <c r="D42" s="85"/>
      <c r="E42" s="85"/>
      <c r="F42" s="85"/>
      <c r="G42" s="85"/>
      <c r="H42" s="85"/>
      <c r="S42" s="81" t="s">
        <v>89</v>
      </c>
      <c r="AI42" s="78" t="s">
        <v>88</v>
      </c>
      <c r="AJ42" s="81" t="s">
        <v>89</v>
      </c>
    </row>
    <row r="43" spans="1:36">
      <c r="A43" s="75">
        <v>1</v>
      </c>
      <c r="B43" s="86" t="s">
        <v>90</v>
      </c>
      <c r="C43" s="84">
        <f>标准成本!D5</f>
        <v>56.055200000000006</v>
      </c>
      <c r="D43" s="84">
        <f t="shared" ref="D43:G45" si="15">C43</f>
        <v>56.055200000000006</v>
      </c>
      <c r="E43" s="84">
        <f t="shared" si="15"/>
        <v>56.055200000000006</v>
      </c>
      <c r="F43" s="84">
        <f t="shared" si="15"/>
        <v>56.055200000000006</v>
      </c>
      <c r="G43" s="84">
        <f t="shared" si="15"/>
        <v>56.055200000000006</v>
      </c>
      <c r="H43" s="85"/>
      <c r="S43" s="78" t="s">
        <v>90</v>
      </c>
      <c r="AI43" s="78" t="s">
        <v>24</v>
      </c>
      <c r="AJ43" s="78" t="s">
        <v>90</v>
      </c>
    </row>
    <row r="44" spans="1:36">
      <c r="A44" s="75">
        <v>2</v>
      </c>
      <c r="B44" s="86" t="s">
        <v>91</v>
      </c>
      <c r="C44" s="84">
        <f>标准成本!D9</f>
        <v>9.5704000000000011</v>
      </c>
      <c r="D44" s="84">
        <f t="shared" si="15"/>
        <v>9.5704000000000011</v>
      </c>
      <c r="E44" s="84">
        <f t="shared" si="15"/>
        <v>9.5704000000000011</v>
      </c>
      <c r="F44" s="84">
        <f t="shared" si="15"/>
        <v>9.5704000000000011</v>
      </c>
      <c r="G44" s="84">
        <f t="shared" si="15"/>
        <v>9.5704000000000011</v>
      </c>
      <c r="H44" s="85"/>
      <c r="S44" s="78" t="s">
        <v>91</v>
      </c>
      <c r="AI44" s="78" t="s">
        <v>26</v>
      </c>
      <c r="AJ44" s="78" t="s">
        <v>91</v>
      </c>
    </row>
    <row r="45" spans="1:36">
      <c r="A45" s="75">
        <v>3</v>
      </c>
      <c r="B45" s="86" t="s">
        <v>92</v>
      </c>
      <c r="C45" s="84">
        <v>30</v>
      </c>
      <c r="D45" s="84">
        <f t="shared" si="15"/>
        <v>30</v>
      </c>
      <c r="E45" s="84">
        <f t="shared" si="15"/>
        <v>30</v>
      </c>
      <c r="F45" s="84">
        <f t="shared" si="15"/>
        <v>30</v>
      </c>
      <c r="G45" s="84">
        <f t="shared" si="15"/>
        <v>30</v>
      </c>
      <c r="H45" s="85"/>
      <c r="S45" s="78" t="s">
        <v>92</v>
      </c>
      <c r="AI45" s="78" t="s">
        <v>77</v>
      </c>
      <c r="AJ45" s="78" t="s">
        <v>92</v>
      </c>
    </row>
    <row r="46" spans="1:36" s="72" customFormat="1">
      <c r="A46" s="75">
        <v>4</v>
      </c>
      <c r="B46" s="86" t="s">
        <v>93</v>
      </c>
      <c r="C46" s="90" t="e">
        <f ca="1">C21/C6</f>
        <v>#DIV/0!</v>
      </c>
      <c r="D46" s="90" t="e">
        <f ca="1">D21/D6</f>
        <v>#DIV/0!</v>
      </c>
      <c r="E46" s="90" t="e">
        <f ca="1">E21/E6</f>
        <v>#DIV/0!</v>
      </c>
      <c r="F46" s="90" t="e">
        <f ca="1">F21/F6</f>
        <v>#DIV/0!</v>
      </c>
      <c r="G46" s="90" t="e">
        <f ca="1">G21/G6</f>
        <v>#DIV/0!</v>
      </c>
      <c r="H46" s="90"/>
      <c r="S46" s="86" t="s">
        <v>95</v>
      </c>
      <c r="AI46" s="86" t="s">
        <v>32</v>
      </c>
      <c r="AJ46" s="86" t="s">
        <v>95</v>
      </c>
    </row>
    <row r="47" spans="1:36" s="72" customFormat="1">
      <c r="A47" s="75">
        <v>5</v>
      </c>
      <c r="B47" s="86" t="s">
        <v>95</v>
      </c>
      <c r="C47" s="90">
        <f>标准成本!D11</f>
        <v>29.121359999999999</v>
      </c>
      <c r="D47" s="90">
        <f>C47</f>
        <v>29.121359999999999</v>
      </c>
      <c r="E47" s="90">
        <f>D47</f>
        <v>29.121359999999999</v>
      </c>
      <c r="F47" s="90">
        <f>E47</f>
        <v>29.121359999999999</v>
      </c>
      <c r="G47" s="90">
        <f>F47</f>
        <v>29.121359999999999</v>
      </c>
      <c r="H47" s="90"/>
      <c r="S47" s="86" t="s">
        <v>95</v>
      </c>
      <c r="AI47" s="86" t="s">
        <v>32</v>
      </c>
      <c r="AJ47" s="86" t="s">
        <v>95</v>
      </c>
    </row>
    <row r="48" spans="1:36">
      <c r="A48" s="78" t="s">
        <v>88</v>
      </c>
      <c r="B48" s="81" t="s">
        <v>106</v>
      </c>
      <c r="C48" s="85" t="e">
        <f ca="1">C40-C43-C44-C45-C47-C46</f>
        <v>#DIV/0!</v>
      </c>
      <c r="D48" s="85" t="e">
        <f ca="1">D40-D43-D44-D45-D47-D46</f>
        <v>#DIV/0!</v>
      </c>
      <c r="E48" s="85" t="e">
        <f ca="1">E40-E43-E44-E45-E47-E46</f>
        <v>#DIV/0!</v>
      </c>
      <c r="F48" s="85" t="e">
        <f ca="1">F40-F43-F44-F45-F47-F46</f>
        <v>#DIV/0!</v>
      </c>
      <c r="G48" s="85" t="e">
        <f ca="1">G40-G43-G44-G45-G47-G46</f>
        <v>#DIV/0!</v>
      </c>
      <c r="H48" s="85"/>
      <c r="S48" s="81" t="s">
        <v>106</v>
      </c>
      <c r="AI48" s="78" t="s">
        <v>105</v>
      </c>
      <c r="AJ48" s="81" t="s">
        <v>106</v>
      </c>
    </row>
    <row r="51" spans="2:13">
      <c r="C51" s="91"/>
      <c r="D51" s="91"/>
      <c r="E51" s="91"/>
      <c r="F51" s="91"/>
      <c r="G51" s="91"/>
    </row>
    <row r="54" spans="2:13">
      <c r="B54" s="2"/>
      <c r="C54" s="92"/>
      <c r="D54" s="92"/>
      <c r="E54" s="92"/>
      <c r="F54" s="92"/>
      <c r="G54" s="92"/>
      <c r="H54" s="92"/>
      <c r="I54" s="2"/>
      <c r="J54" s="2"/>
      <c r="K54" s="2"/>
      <c r="L54" s="2"/>
      <c r="M54" s="2"/>
    </row>
    <row r="55" spans="2:13">
      <c r="B55" s="2"/>
      <c r="C55" s="92"/>
      <c r="D55" s="92"/>
      <c r="E55" s="92"/>
      <c r="F55" s="92"/>
      <c r="G55" s="92"/>
      <c r="H55" s="92"/>
      <c r="I55" s="2"/>
      <c r="J55" s="2"/>
      <c r="K55" s="2"/>
      <c r="L55" s="2"/>
      <c r="M55" s="2"/>
    </row>
    <row r="56" spans="2:13">
      <c r="B56" s="2"/>
      <c r="C56" s="92"/>
      <c r="D56" s="92"/>
      <c r="E56" s="92"/>
      <c r="F56" s="92"/>
      <c r="G56" s="92"/>
      <c r="H56" s="92"/>
      <c r="I56" s="2"/>
      <c r="J56" s="2"/>
      <c r="K56" s="2"/>
      <c r="L56" s="2"/>
      <c r="M56" s="2"/>
    </row>
    <row r="57" spans="2:13">
      <c r="B57" s="2"/>
      <c r="C57" s="92"/>
      <c r="D57" s="92"/>
      <c r="E57" s="92"/>
      <c r="F57" s="92"/>
      <c r="G57" s="92"/>
      <c r="H57" s="92"/>
      <c r="I57" s="2"/>
      <c r="J57" s="2"/>
      <c r="K57" s="2"/>
      <c r="L57" s="2"/>
      <c r="M57" s="2"/>
    </row>
    <row r="58" spans="2:13">
      <c r="B58" s="2"/>
      <c r="C58" s="92"/>
      <c r="D58" s="92"/>
      <c r="E58" s="92"/>
      <c r="F58" s="92"/>
      <c r="G58" s="92"/>
      <c r="H58" s="92"/>
      <c r="I58" s="2"/>
      <c r="J58" s="2"/>
      <c r="K58" s="2"/>
      <c r="L58" s="2"/>
      <c r="M58" s="2"/>
    </row>
    <row r="59" spans="2:13">
      <c r="B59" s="2"/>
      <c r="C59" s="92"/>
      <c r="D59" s="92"/>
      <c r="E59" s="92"/>
      <c r="F59" s="92"/>
      <c r="G59" s="92"/>
      <c r="H59" s="92"/>
      <c r="I59" s="2"/>
      <c r="J59" s="2"/>
      <c r="K59" s="2"/>
      <c r="L59" s="2"/>
      <c r="M59" s="2"/>
    </row>
    <row r="60" spans="2:13">
      <c r="B60" s="2"/>
      <c r="C60" s="92"/>
      <c r="D60" s="92"/>
      <c r="E60" s="92"/>
      <c r="F60" s="92"/>
      <c r="G60" s="92"/>
      <c r="H60" s="92"/>
      <c r="I60" s="2"/>
      <c r="J60" s="2"/>
      <c r="K60" s="2"/>
      <c r="L60" s="2"/>
      <c r="M60" s="2"/>
    </row>
    <row r="61" spans="2:13">
      <c r="B61" s="2"/>
      <c r="C61" s="92"/>
      <c r="D61" s="92"/>
      <c r="E61" s="92"/>
      <c r="F61" s="92"/>
      <c r="G61" s="92"/>
      <c r="H61" s="92"/>
      <c r="I61" s="2"/>
      <c r="J61" s="2"/>
      <c r="K61" s="2"/>
      <c r="L61" s="2"/>
      <c r="M61" s="2"/>
    </row>
    <row r="62" spans="2:13">
      <c r="B62" s="2"/>
      <c r="C62" s="92"/>
      <c r="D62" s="92"/>
      <c r="E62" s="92"/>
      <c r="F62" s="92"/>
      <c r="G62" s="92"/>
      <c r="H62" s="92"/>
      <c r="I62" s="2"/>
      <c r="J62" s="2"/>
      <c r="K62" s="2"/>
      <c r="L62" s="2"/>
      <c r="M62" s="2"/>
    </row>
    <row r="63" spans="2:13">
      <c r="B63" s="2"/>
      <c r="C63" s="92"/>
      <c r="D63" s="92"/>
      <c r="E63" s="92"/>
      <c r="F63" s="92"/>
      <c r="G63" s="92"/>
      <c r="H63" s="92"/>
      <c r="I63" s="2"/>
      <c r="J63" s="2"/>
      <c r="K63" s="2"/>
      <c r="L63" s="2"/>
      <c r="M63" s="2"/>
    </row>
    <row r="64" spans="2:13">
      <c r="B64" s="2"/>
      <c r="C64" s="92"/>
      <c r="D64" s="92"/>
      <c r="E64" s="92"/>
      <c r="F64" s="92"/>
      <c r="G64" s="92"/>
      <c r="H64" s="92"/>
      <c r="I64" s="2"/>
      <c r="J64" s="2"/>
      <c r="K64" s="2"/>
      <c r="L64" s="2"/>
      <c r="M64" s="2"/>
    </row>
    <row r="65" spans="2:13">
      <c r="B65" s="2"/>
      <c r="C65" s="92"/>
      <c r="D65" s="92"/>
      <c r="E65" s="92"/>
      <c r="F65" s="92"/>
      <c r="G65" s="92"/>
      <c r="H65" s="92"/>
      <c r="I65" s="2"/>
      <c r="J65" s="2"/>
      <c r="K65" s="2"/>
      <c r="L65" s="2"/>
      <c r="M65" s="2"/>
    </row>
    <row r="66" spans="2:13">
      <c r="B66" s="2"/>
      <c r="C66" s="92"/>
      <c r="D66" s="92"/>
      <c r="E66" s="92"/>
      <c r="F66" s="92"/>
      <c r="G66" s="92"/>
      <c r="H66" s="92"/>
      <c r="I66" s="2"/>
      <c r="J66" s="2"/>
      <c r="K66" s="2"/>
      <c r="L66" s="2"/>
      <c r="M66" s="2"/>
    </row>
    <row r="67" spans="2:13">
      <c r="B67" s="2"/>
      <c r="C67" s="92"/>
      <c r="D67" s="92"/>
      <c r="E67" s="92"/>
      <c r="F67" s="92"/>
      <c r="G67" s="92"/>
      <c r="H67" s="92"/>
      <c r="I67" s="2"/>
    </row>
    <row r="68" spans="2:13">
      <c r="B68" s="2"/>
      <c r="C68" s="92"/>
      <c r="D68" s="92"/>
      <c r="E68" s="92"/>
      <c r="F68" s="92"/>
      <c r="G68" s="92"/>
      <c r="H68" s="92"/>
      <c r="I68" s="2"/>
    </row>
    <row r="69" spans="2:13">
      <c r="B69" s="2"/>
      <c r="C69" s="92"/>
      <c r="D69" s="92"/>
      <c r="E69" s="92"/>
      <c r="F69" s="92"/>
      <c r="G69" s="92"/>
      <c r="H69" s="92"/>
      <c r="I69" s="2"/>
    </row>
    <row r="70" spans="2:13">
      <c r="B70" s="2"/>
      <c r="C70" s="92"/>
      <c r="D70" s="92"/>
      <c r="E70" s="92"/>
      <c r="F70" s="92"/>
      <c r="G70" s="92"/>
      <c r="H70" s="92"/>
      <c r="I70" s="2"/>
    </row>
    <row r="71" spans="2:13">
      <c r="B71" s="2"/>
      <c r="C71" s="92"/>
      <c r="D71" s="92"/>
      <c r="E71" s="92"/>
      <c r="F71" s="92"/>
      <c r="G71" s="92"/>
      <c r="H71" s="92"/>
      <c r="I71" s="2"/>
    </row>
    <row r="72" spans="2:13">
      <c r="B72" s="2"/>
      <c r="C72" s="92"/>
      <c r="D72" s="92"/>
      <c r="E72" s="92"/>
      <c r="F72" s="92"/>
      <c r="G72" s="92"/>
      <c r="H72" s="92"/>
      <c r="I72" s="2"/>
    </row>
    <row r="73" spans="2:13">
      <c r="B73" s="2"/>
      <c r="C73" s="92"/>
      <c r="D73" s="92"/>
      <c r="E73" s="92"/>
      <c r="F73" s="92"/>
      <c r="G73" s="92"/>
      <c r="H73" s="92"/>
      <c r="I73" s="2"/>
    </row>
    <row r="74" spans="2:13">
      <c r="B74" s="2"/>
      <c r="C74" s="92"/>
      <c r="D74" s="92"/>
      <c r="E74" s="92"/>
      <c r="F74" s="92"/>
      <c r="G74" s="92"/>
      <c r="H74" s="92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8" activePane="bottomRight" state="frozen"/>
      <selection pane="topRight"/>
      <selection pane="bottomLeft"/>
      <selection pane="bottomRight" activeCell="C31" sqref="C31"/>
    </sheetView>
  </sheetViews>
  <sheetFormatPr defaultColWidth="9" defaultRowHeight="16.5"/>
  <cols>
    <col min="1" max="1" width="5.125" style="73" customWidth="1"/>
    <col min="2" max="2" width="17.5" style="73" customWidth="1"/>
    <col min="3" max="3" width="13.25" style="74" customWidth="1"/>
    <col min="4" max="7" width="15.5" style="74" customWidth="1"/>
    <col min="8" max="8" width="18.75" style="74" customWidth="1"/>
    <col min="9" max="9" width="12.375" style="73" customWidth="1"/>
    <col min="10" max="10" width="10.125" style="73" customWidth="1"/>
    <col min="11" max="17" width="9" style="73" customWidth="1"/>
    <col min="18" max="34" width="9" style="73"/>
    <col min="35" max="35" width="4.375" style="73" customWidth="1"/>
    <col min="36" max="36" width="13.875" style="73" customWidth="1"/>
    <col min="37" max="16384" width="9" style="73"/>
  </cols>
  <sheetData>
    <row r="1" spans="1:37">
      <c r="A1" s="181" t="s">
        <v>154</v>
      </c>
      <c r="B1" s="181"/>
      <c r="C1" s="182" t="s">
        <v>173</v>
      </c>
      <c r="D1" s="183"/>
      <c r="E1" s="183"/>
      <c r="F1" s="183"/>
      <c r="G1" s="183"/>
      <c r="H1" s="184"/>
    </row>
    <row r="2" spans="1:37">
      <c r="A2" s="181" t="s">
        <v>156</v>
      </c>
      <c r="B2" s="181"/>
      <c r="C2" s="185"/>
      <c r="D2" s="185"/>
      <c r="E2" s="185"/>
      <c r="F2" s="185"/>
      <c r="G2" s="185"/>
      <c r="H2" s="185"/>
    </row>
    <row r="3" spans="1:37">
      <c r="A3" s="181" t="s">
        <v>158</v>
      </c>
      <c r="B3" s="181"/>
      <c r="C3" s="24"/>
      <c r="D3" s="24"/>
      <c r="E3" s="76"/>
      <c r="F3" s="76"/>
      <c r="G3" s="76"/>
      <c r="H3" s="186" t="s">
        <v>20</v>
      </c>
    </row>
    <row r="4" spans="1:37">
      <c r="A4" s="181" t="s">
        <v>160</v>
      </c>
      <c r="B4" s="181"/>
      <c r="C4" s="27"/>
      <c r="D4" s="27"/>
      <c r="E4" s="76"/>
      <c r="F4" s="76"/>
      <c r="G4" s="76"/>
      <c r="H4" s="187"/>
    </row>
    <row r="5" spans="1:37">
      <c r="A5" s="181" t="s">
        <v>162</v>
      </c>
      <c r="B5" s="181"/>
      <c r="C5" s="77"/>
      <c r="D5" s="77"/>
      <c r="E5" s="77"/>
      <c r="F5" s="77"/>
      <c r="G5" s="77"/>
      <c r="H5" s="188"/>
      <c r="AK5" s="73" t="s">
        <v>21</v>
      </c>
    </row>
    <row r="6" spans="1:37" ht="17.25">
      <c r="A6" s="78" t="s">
        <v>14</v>
      </c>
      <c r="B6" s="79" t="s">
        <v>164</v>
      </c>
      <c r="C6" s="43">
        <f>销量!C13</f>
        <v>0</v>
      </c>
      <c r="D6" s="43">
        <f>销量!D13</f>
        <v>0</v>
      </c>
      <c r="E6" s="43">
        <f>销量!E9</f>
        <v>0</v>
      </c>
      <c r="F6" s="43">
        <f>销量!F9</f>
        <v>0</v>
      </c>
      <c r="G6" s="43">
        <f>销量!G9</f>
        <v>0</v>
      </c>
      <c r="H6" s="80">
        <f t="shared" ref="H6:H15" si="0">+SUM(C6:G6)</f>
        <v>0</v>
      </c>
      <c r="S6" s="79" t="s">
        <v>3</v>
      </c>
      <c r="AI6" s="78" t="s">
        <v>14</v>
      </c>
      <c r="AJ6" s="79" t="s">
        <v>3</v>
      </c>
      <c r="AK6" s="73" t="s">
        <v>22</v>
      </c>
    </row>
    <row r="7" spans="1:37">
      <c r="A7" s="75">
        <v>1</v>
      </c>
      <c r="B7" s="79" t="s">
        <v>23</v>
      </c>
      <c r="C7" s="80">
        <f>C6*销量!C8</f>
        <v>0</v>
      </c>
      <c r="D7" s="80">
        <f>D6*销量!D8</f>
        <v>0</v>
      </c>
      <c r="E7" s="80">
        <f>E6*销量!E8</f>
        <v>0</v>
      </c>
      <c r="F7" s="80">
        <f>F6*销量!F8</f>
        <v>0</v>
      </c>
      <c r="G7" s="80">
        <f>G6*销量!G8</f>
        <v>0</v>
      </c>
      <c r="H7" s="80">
        <f t="shared" si="0"/>
        <v>0</v>
      </c>
      <c r="I7" s="74"/>
      <c r="S7" s="79" t="s">
        <v>23</v>
      </c>
      <c r="AI7" s="78" t="s">
        <v>24</v>
      </c>
      <c r="AJ7" s="79" t="s">
        <v>23</v>
      </c>
      <c r="AK7" s="73" t="s">
        <v>22</v>
      </c>
    </row>
    <row r="8" spans="1:37">
      <c r="A8" s="75">
        <v>2</v>
      </c>
      <c r="B8" s="75" t="s">
        <v>25</v>
      </c>
      <c r="C8" s="80">
        <f>C7*(1-销量!$L$10)</f>
        <v>0</v>
      </c>
      <c r="D8" s="80">
        <f>D7*(1-销量!$L$10)</f>
        <v>0</v>
      </c>
      <c r="E8" s="80"/>
      <c r="F8" s="80"/>
      <c r="G8" s="80"/>
      <c r="H8" s="80">
        <f t="shared" si="0"/>
        <v>0</v>
      </c>
      <c r="I8" s="93"/>
      <c r="S8" s="75" t="s">
        <v>27</v>
      </c>
      <c r="AI8" s="78" t="s">
        <v>26</v>
      </c>
      <c r="AJ8" s="75" t="s">
        <v>27</v>
      </c>
      <c r="AK8" s="73" t="s">
        <v>22</v>
      </c>
    </row>
    <row r="9" spans="1:37">
      <c r="A9" s="75">
        <v>3</v>
      </c>
      <c r="B9" s="79" t="s">
        <v>28</v>
      </c>
      <c r="C9" s="80">
        <f>+C7-C8</f>
        <v>0</v>
      </c>
      <c r="D9" s="80">
        <f t="shared" ref="D9:G9" si="1">+D7-D8</f>
        <v>0</v>
      </c>
      <c r="E9" s="80">
        <f t="shared" si="1"/>
        <v>0</v>
      </c>
      <c r="F9" s="80">
        <f t="shared" si="1"/>
        <v>0</v>
      </c>
      <c r="G9" s="80">
        <f t="shared" si="1"/>
        <v>0</v>
      </c>
      <c r="H9" s="80">
        <f t="shared" si="0"/>
        <v>0</v>
      </c>
      <c r="S9" s="79" t="s">
        <v>28</v>
      </c>
      <c r="AI9" s="78" t="s">
        <v>29</v>
      </c>
      <c r="AJ9" s="79" t="s">
        <v>28</v>
      </c>
      <c r="AK9" s="73" t="s">
        <v>30</v>
      </c>
    </row>
    <row r="10" spans="1:37">
      <c r="A10" s="75">
        <v>4</v>
      </c>
      <c r="B10" s="78" t="s">
        <v>31</v>
      </c>
      <c r="C10" s="80">
        <f>C6*材料成本!D24</f>
        <v>0</v>
      </c>
      <c r="D10" s="80">
        <f>D6*材料成本!E24</f>
        <v>0</v>
      </c>
      <c r="E10" s="80">
        <f>E6*材料成本!F24</f>
        <v>0</v>
      </c>
      <c r="F10" s="80">
        <f>F6*材料成本!G24</f>
        <v>0</v>
      </c>
      <c r="G10" s="80">
        <f>G6*材料成本!H24</f>
        <v>0</v>
      </c>
      <c r="H10" s="80">
        <f t="shared" si="0"/>
        <v>0</v>
      </c>
      <c r="S10" s="78" t="s">
        <v>31</v>
      </c>
      <c r="AI10" s="78" t="s">
        <v>32</v>
      </c>
      <c r="AJ10" s="78" t="s">
        <v>31</v>
      </c>
      <c r="AK10" s="73" t="s">
        <v>33</v>
      </c>
    </row>
    <row r="11" spans="1:37">
      <c r="A11" s="75">
        <v>5</v>
      </c>
      <c r="B11" s="78" t="s">
        <v>34</v>
      </c>
      <c r="C11" s="80">
        <f>+C6*C36</f>
        <v>0</v>
      </c>
      <c r="D11" s="80">
        <f>+D6*D36</f>
        <v>0</v>
      </c>
      <c r="E11" s="80">
        <f>+E6*E36</f>
        <v>0</v>
      </c>
      <c r="F11" s="80">
        <f>+F6*F36</f>
        <v>0</v>
      </c>
      <c r="G11" s="80">
        <f>+G6*G36</f>
        <v>0</v>
      </c>
      <c r="H11" s="80">
        <f t="shared" si="0"/>
        <v>0</v>
      </c>
      <c r="S11" s="78" t="s">
        <v>34</v>
      </c>
      <c r="AI11" s="78" t="s">
        <v>35</v>
      </c>
      <c r="AJ11" s="78" t="s">
        <v>34</v>
      </c>
    </row>
    <row r="12" spans="1:37">
      <c r="A12" s="75">
        <v>6</v>
      </c>
      <c r="B12" s="78" t="s">
        <v>36</v>
      </c>
      <c r="C12" s="80">
        <f>+C6*C37</f>
        <v>0</v>
      </c>
      <c r="D12" s="80">
        <f>+D6*D37</f>
        <v>0</v>
      </c>
      <c r="E12" s="80">
        <f>+E6*E37</f>
        <v>0</v>
      </c>
      <c r="F12" s="80">
        <f>+F6*F37</f>
        <v>0</v>
      </c>
      <c r="G12" s="80">
        <f>+G6*G37</f>
        <v>0</v>
      </c>
      <c r="H12" s="80">
        <f t="shared" si="0"/>
        <v>0</v>
      </c>
      <c r="S12" s="78" t="s">
        <v>36</v>
      </c>
      <c r="AI12" s="78" t="s">
        <v>37</v>
      </c>
      <c r="AJ12" s="78" t="s">
        <v>36</v>
      </c>
    </row>
    <row r="13" spans="1:37">
      <c r="A13" s="75">
        <v>7</v>
      </c>
      <c r="B13" s="78" t="s">
        <v>38</v>
      </c>
      <c r="C13" s="80">
        <f>+C6*C38</f>
        <v>0</v>
      </c>
      <c r="D13" s="80">
        <f t="shared" ref="D13:G13" si="2">+D6*D38</f>
        <v>0</v>
      </c>
      <c r="E13" s="80">
        <f t="shared" si="2"/>
        <v>0</v>
      </c>
      <c r="F13" s="80">
        <f t="shared" si="2"/>
        <v>0</v>
      </c>
      <c r="G13" s="80">
        <f t="shared" si="2"/>
        <v>0</v>
      </c>
      <c r="H13" s="80">
        <f t="shared" si="0"/>
        <v>0</v>
      </c>
      <c r="S13" s="78" t="s">
        <v>38</v>
      </c>
      <c r="AI13" s="78" t="s">
        <v>39</v>
      </c>
      <c r="AJ13" s="78" t="s">
        <v>38</v>
      </c>
      <c r="AK13" s="73" t="s">
        <v>22</v>
      </c>
    </row>
    <row r="14" spans="1:37">
      <c r="A14" s="75">
        <v>8</v>
      </c>
      <c r="B14" s="81" t="s">
        <v>40</v>
      </c>
      <c r="C14" s="80">
        <f>SUM(C11:C13)</f>
        <v>0</v>
      </c>
      <c r="D14" s="80">
        <f t="shared" ref="D14:G14" si="3">SUM(D11:D13)</f>
        <v>0</v>
      </c>
      <c r="E14" s="80">
        <f t="shared" si="3"/>
        <v>0</v>
      </c>
      <c r="F14" s="80">
        <f t="shared" si="3"/>
        <v>0</v>
      </c>
      <c r="G14" s="80">
        <f t="shared" si="3"/>
        <v>0</v>
      </c>
      <c r="H14" s="80">
        <f t="shared" si="0"/>
        <v>0</v>
      </c>
      <c r="S14" s="81" t="s">
        <v>40</v>
      </c>
      <c r="AI14" s="78" t="s">
        <v>41</v>
      </c>
      <c r="AJ14" s="81" t="s">
        <v>40</v>
      </c>
    </row>
    <row r="15" spans="1:37">
      <c r="A15" s="75">
        <v>9</v>
      </c>
      <c r="B15" s="81" t="s">
        <v>42</v>
      </c>
      <c r="C15" s="80">
        <f>+C9-C10-C14</f>
        <v>0</v>
      </c>
      <c r="D15" s="80">
        <f t="shared" ref="D15:G15" si="4">+D9-D10-D14</f>
        <v>0</v>
      </c>
      <c r="E15" s="80">
        <f t="shared" si="4"/>
        <v>0</v>
      </c>
      <c r="F15" s="80">
        <f t="shared" si="4"/>
        <v>0</v>
      </c>
      <c r="G15" s="80">
        <f t="shared" si="4"/>
        <v>0</v>
      </c>
      <c r="H15" s="80">
        <f t="shared" si="0"/>
        <v>0</v>
      </c>
      <c r="S15" s="81" t="s">
        <v>42</v>
      </c>
      <c r="AI15" s="78" t="s">
        <v>43</v>
      </c>
      <c r="AJ15" s="81" t="s">
        <v>42</v>
      </c>
    </row>
    <row r="16" spans="1:37">
      <c r="A16" s="75">
        <v>10</v>
      </c>
      <c r="B16" s="78" t="s">
        <v>44</v>
      </c>
      <c r="C16" s="82" t="e">
        <f>+C15/C9</f>
        <v>#DIV/0!</v>
      </c>
      <c r="D16" s="82" t="e">
        <f t="shared" ref="D16:H16" si="5">+D15/D9</f>
        <v>#DIV/0!</v>
      </c>
      <c r="E16" s="82" t="e">
        <f t="shared" si="5"/>
        <v>#DIV/0!</v>
      </c>
      <c r="F16" s="82" t="e">
        <f t="shared" si="5"/>
        <v>#DIV/0!</v>
      </c>
      <c r="G16" s="82" t="e">
        <f t="shared" si="5"/>
        <v>#DIV/0!</v>
      </c>
      <c r="H16" s="82" t="e">
        <f t="shared" si="5"/>
        <v>#DIV/0!</v>
      </c>
      <c r="S16" s="78" t="s">
        <v>44</v>
      </c>
      <c r="AI16" s="78" t="s">
        <v>45</v>
      </c>
      <c r="AJ16" s="78" t="s">
        <v>44</v>
      </c>
    </row>
    <row r="17" spans="1:37">
      <c r="A17" s="75">
        <v>11</v>
      </c>
      <c r="B17" s="78" t="s">
        <v>46</v>
      </c>
      <c r="C17" s="80" t="e">
        <f ca="1">C6*C43+C18</f>
        <v>#DIV/0!</v>
      </c>
      <c r="D17" s="80" t="e">
        <f ca="1">D6*D43+D18</f>
        <v>#DIV/0!</v>
      </c>
      <c r="E17" s="80" t="e">
        <f ca="1">E6*E43+E18</f>
        <v>#DIV/0!</v>
      </c>
      <c r="F17" s="80" t="e">
        <f ca="1">F6*F43+F18</f>
        <v>#DIV/0!</v>
      </c>
      <c r="G17" s="80" t="e">
        <f ca="1">G6*G43+G18</f>
        <v>#DIV/0!</v>
      </c>
      <c r="H17" s="80" t="e">
        <f ca="1">SUM(C17:G17)</f>
        <v>#DIV/0!</v>
      </c>
      <c r="I17" s="93"/>
      <c r="S17" s="78" t="s">
        <v>46</v>
      </c>
      <c r="AI17" s="78" t="s">
        <v>47</v>
      </c>
      <c r="AJ17" s="78" t="s">
        <v>46</v>
      </c>
    </row>
    <row r="18" spans="1:37" s="71" customFormat="1">
      <c r="A18" s="75">
        <v>12</v>
      </c>
      <c r="B18" s="83" t="s">
        <v>165</v>
      </c>
      <c r="C18" s="84" t="e">
        <f ca="1">$H$18/$H$6*C6</f>
        <v>#DIV/0!</v>
      </c>
      <c r="D18" s="84" t="e">
        <f ca="1">$H$18/$H$6*D6</f>
        <v>#DIV/0!</v>
      </c>
      <c r="E18" s="84" t="e">
        <f ca="1">$H$18/$H$6*E6</f>
        <v>#DIV/0!</v>
      </c>
      <c r="F18" s="84" t="e">
        <f ca="1">$H$18/$H$6*F6</f>
        <v>#DIV/0!</v>
      </c>
      <c r="G18" s="84" t="e">
        <f ca="1">$H$18/$H$6*G6</f>
        <v>#DIV/0!</v>
      </c>
      <c r="H18" s="80">
        <f ca="1">SUM(C18:G18)</f>
        <v>0</v>
      </c>
      <c r="I18" s="94" t="s">
        <v>166</v>
      </c>
      <c r="J18" s="94"/>
      <c r="K18" s="94"/>
    </row>
    <row r="19" spans="1:37">
      <c r="A19" s="75">
        <v>13</v>
      </c>
      <c r="B19" s="78" t="s">
        <v>48</v>
      </c>
      <c r="C19" s="80">
        <f>C6*C44</f>
        <v>0</v>
      </c>
      <c r="D19" s="80">
        <f>D6*D44</f>
        <v>0</v>
      </c>
      <c r="E19" s="80">
        <f>E6*E44</f>
        <v>0</v>
      </c>
      <c r="F19" s="80">
        <f>F6*F44</f>
        <v>0</v>
      </c>
      <c r="G19" s="80">
        <f>G6*G44</f>
        <v>0</v>
      </c>
      <c r="H19" s="80">
        <f>SUM(C19:G19)</f>
        <v>0</v>
      </c>
      <c r="I19" s="71"/>
      <c r="S19" s="78" t="s">
        <v>48</v>
      </c>
      <c r="AI19" s="78" t="s">
        <v>49</v>
      </c>
      <c r="AJ19" s="78" t="s">
        <v>48</v>
      </c>
      <c r="AK19" s="73" t="s">
        <v>22</v>
      </c>
    </row>
    <row r="20" spans="1:37">
      <c r="A20" s="75">
        <v>14</v>
      </c>
      <c r="B20" s="78" t="s">
        <v>50</v>
      </c>
      <c r="C20" s="80">
        <f>C6*C45</f>
        <v>0</v>
      </c>
      <c r="D20" s="80">
        <f>D6*D45</f>
        <v>0</v>
      </c>
      <c r="E20" s="80">
        <f>E6*E45</f>
        <v>0</v>
      </c>
      <c r="F20" s="80">
        <f>F6*F45</f>
        <v>0</v>
      </c>
      <c r="G20" s="80">
        <f>G6*G45</f>
        <v>0</v>
      </c>
      <c r="H20" s="80">
        <f>SUM(C20:G20)</f>
        <v>0</v>
      </c>
      <c r="S20" s="78" t="s">
        <v>50</v>
      </c>
      <c r="AI20" s="78" t="s">
        <v>51</v>
      </c>
      <c r="AJ20" s="78" t="s">
        <v>50</v>
      </c>
    </row>
    <row r="21" spans="1:37">
      <c r="A21" s="75">
        <v>15</v>
      </c>
      <c r="B21" s="78" t="s">
        <v>52</v>
      </c>
      <c r="C21" s="85" t="e">
        <f ca="1">$H$21/$H$6*C6</f>
        <v>#DIV/0!</v>
      </c>
      <c r="D21" s="85" t="e">
        <f ca="1">$H$21/$H$6*D6</f>
        <v>#DIV/0!</v>
      </c>
      <c r="E21" s="85" t="e">
        <f ca="1">$H$21/$H$6*E6</f>
        <v>#DIV/0!</v>
      </c>
      <c r="F21" s="85" t="e">
        <f ca="1">$H$21/$H$6*F6</f>
        <v>#DIV/0!</v>
      </c>
      <c r="G21" s="85" t="e">
        <f ca="1">$H$21/$H$6*G6</f>
        <v>#DIV/0!</v>
      </c>
      <c r="H21" s="80">
        <f ca="1">SUM(C21:G21)</f>
        <v>0</v>
      </c>
      <c r="S21" s="78" t="s">
        <v>52</v>
      </c>
      <c r="AI21" s="78"/>
      <c r="AJ21" s="78"/>
    </row>
    <row r="22" spans="1:37">
      <c r="A22" s="75">
        <v>16</v>
      </c>
      <c r="B22" s="78" t="s">
        <v>53</v>
      </c>
      <c r="C22" s="80">
        <f>C6*C47</f>
        <v>0</v>
      </c>
      <c r="D22" s="80">
        <f>D6*D47</f>
        <v>0</v>
      </c>
      <c r="E22" s="80">
        <f>E6*E47</f>
        <v>0</v>
      </c>
      <c r="F22" s="80">
        <f>F6*F47</f>
        <v>0</v>
      </c>
      <c r="G22" s="80">
        <f>G6*G47</f>
        <v>0</v>
      </c>
      <c r="H22" s="80">
        <f>+SUM(C22:G22)</f>
        <v>0</v>
      </c>
      <c r="S22" s="78" t="s">
        <v>53</v>
      </c>
      <c r="AI22" s="78" t="s">
        <v>54</v>
      </c>
      <c r="AJ22" s="78" t="s">
        <v>53</v>
      </c>
    </row>
    <row r="23" spans="1:37">
      <c r="A23" s="75">
        <v>17</v>
      </c>
      <c r="B23" s="81" t="s">
        <v>55</v>
      </c>
      <c r="C23" s="85" t="e">
        <f ca="1">+C22+C21+C20+C19+C17</f>
        <v>#DIV/0!</v>
      </c>
      <c r="D23" s="85" t="e">
        <f ca="1">+D22+D21+D20+D19+D17</f>
        <v>#DIV/0!</v>
      </c>
      <c r="E23" s="85" t="e">
        <f ca="1">+E22+E21+E20+E19+E17</f>
        <v>#DIV/0!</v>
      </c>
      <c r="F23" s="85" t="e">
        <f ca="1">+F22+F21+F20+F19+F17</f>
        <v>#DIV/0!</v>
      </c>
      <c r="G23" s="85" t="e">
        <f ca="1">+G22+G21+G20+G19+G17</f>
        <v>#DIV/0!</v>
      </c>
      <c r="H23" s="85" t="e">
        <f t="shared" ref="H23" ca="1" si="6">+H22+H21+H20+H19+H17</f>
        <v>#DIV/0!</v>
      </c>
      <c r="S23" s="81" t="s">
        <v>55</v>
      </c>
      <c r="AI23" s="78" t="s">
        <v>56</v>
      </c>
      <c r="AJ23" s="81" t="s">
        <v>55</v>
      </c>
    </row>
    <row r="24" spans="1:37">
      <c r="A24" s="75">
        <v>18</v>
      </c>
      <c r="B24" s="86" t="s">
        <v>57</v>
      </c>
      <c r="C24" s="85" t="e">
        <f ca="1">+C15-C23</f>
        <v>#DIV/0!</v>
      </c>
      <c r="D24" s="85" t="e">
        <f ca="1">+D15-D23</f>
        <v>#DIV/0!</v>
      </c>
      <c r="E24" s="85" t="e">
        <f ca="1">+E15-E23</f>
        <v>#DIV/0!</v>
      </c>
      <c r="F24" s="85" t="e">
        <f ca="1">+F15-F23</f>
        <v>#DIV/0!</v>
      </c>
      <c r="G24" s="85" t="e">
        <f ca="1">+G15-G23</f>
        <v>#DIV/0!</v>
      </c>
      <c r="H24" s="85" t="e">
        <f t="shared" ref="H24" ca="1" si="7">+H15-H23</f>
        <v>#DIV/0!</v>
      </c>
      <c r="J24" s="95"/>
      <c r="S24" s="78" t="s">
        <v>57</v>
      </c>
      <c r="AI24" s="78" t="s">
        <v>58</v>
      </c>
      <c r="AJ24" s="78" t="s">
        <v>57</v>
      </c>
    </row>
    <row r="25" spans="1:37">
      <c r="A25" s="75">
        <v>19</v>
      </c>
      <c r="B25" s="78" t="s">
        <v>167</v>
      </c>
      <c r="C25" s="85" t="e">
        <f ca="1">IF(C24&lt;0,0,C24*0.25)</f>
        <v>#DIV/0!</v>
      </c>
      <c r="D25" s="85" t="e">
        <f ca="1">IF(D24&lt;0,0,D24*0.25)</f>
        <v>#DIV/0!</v>
      </c>
      <c r="E25" s="85" t="e">
        <f ca="1">IF(E24&lt;0,0,E24*0.25)</f>
        <v>#DIV/0!</v>
      </c>
      <c r="F25" s="85" t="e">
        <f ca="1">IF(F24&lt;0,0,F24*0.25)</f>
        <v>#DIV/0!</v>
      </c>
      <c r="G25" s="85" t="e">
        <f ca="1">IF(G24&lt;0,0,G24*0.25)</f>
        <v>#DIV/0!</v>
      </c>
      <c r="H25" s="85" t="e">
        <f t="shared" ref="H25" ca="1" si="8">IF(H24&lt;0,0,H24*0.25)</f>
        <v>#DIV/0!</v>
      </c>
      <c r="I25" s="2"/>
      <c r="J25" s="2"/>
      <c r="K25" s="2"/>
      <c r="S25" s="78" t="s">
        <v>59</v>
      </c>
      <c r="AI25" s="78" t="s">
        <v>60</v>
      </c>
      <c r="AJ25" s="78" t="s">
        <v>59</v>
      </c>
    </row>
    <row r="26" spans="1:37">
      <c r="A26" s="75">
        <v>20</v>
      </c>
      <c r="B26" s="78" t="s">
        <v>61</v>
      </c>
      <c r="C26" s="85" t="e">
        <f t="shared" ref="C26:G26" ca="1" si="9">C24-C25</f>
        <v>#DIV/0!</v>
      </c>
      <c r="D26" s="85" t="e">
        <f t="shared" ca="1" si="9"/>
        <v>#DIV/0!</v>
      </c>
      <c r="E26" s="85" t="e">
        <f t="shared" ca="1" si="9"/>
        <v>#DIV/0!</v>
      </c>
      <c r="F26" s="85" t="e">
        <f t="shared" ca="1" si="9"/>
        <v>#DIV/0!</v>
      </c>
      <c r="G26" s="85" t="e">
        <f t="shared" ca="1" si="9"/>
        <v>#DIV/0!</v>
      </c>
      <c r="H26" s="80" t="e">
        <f ca="1">+SUM(C26:G26)</f>
        <v>#DIV/0!</v>
      </c>
      <c r="I26" s="2"/>
      <c r="J26" s="2"/>
      <c r="K26" s="2"/>
      <c r="S26" s="78" t="s">
        <v>61</v>
      </c>
      <c r="AI26" s="78" t="s">
        <v>62</v>
      </c>
      <c r="AJ26" s="78" t="s">
        <v>61</v>
      </c>
    </row>
    <row r="27" spans="1:37">
      <c r="A27" s="75">
        <v>21</v>
      </c>
      <c r="B27" s="78" t="s">
        <v>65</v>
      </c>
      <c r="C27" s="87" t="e">
        <f t="shared" ref="C27:H27" ca="1" si="10">C26/C7</f>
        <v>#DIV/0!</v>
      </c>
      <c r="D27" s="87" t="e">
        <f t="shared" ca="1" si="10"/>
        <v>#DIV/0!</v>
      </c>
      <c r="E27" s="87" t="e">
        <f t="shared" ca="1" si="10"/>
        <v>#DIV/0!</v>
      </c>
      <c r="F27" s="87" t="e">
        <f t="shared" ca="1" si="10"/>
        <v>#DIV/0!</v>
      </c>
      <c r="G27" s="87" t="e">
        <f t="shared" ca="1" si="10"/>
        <v>#DIV/0!</v>
      </c>
      <c r="H27" s="87" t="e">
        <f t="shared" ca="1" si="10"/>
        <v>#DIV/0!</v>
      </c>
      <c r="I27" s="2"/>
      <c r="J27" s="2"/>
      <c r="K27" s="2"/>
      <c r="S27" s="78" t="s">
        <v>65</v>
      </c>
      <c r="AI27" s="78" t="s">
        <v>64</v>
      </c>
      <c r="AJ27" s="78" t="s">
        <v>65</v>
      </c>
    </row>
    <row r="28" spans="1:37">
      <c r="I28" s="2"/>
      <c r="J28" s="2"/>
      <c r="K28" s="2"/>
      <c r="S28" s="78"/>
    </row>
    <row r="29" spans="1:37">
      <c r="A29" s="73" t="s">
        <v>66</v>
      </c>
      <c r="H29" s="74" t="s">
        <v>168</v>
      </c>
      <c r="I29" s="2"/>
      <c r="J29" s="2"/>
      <c r="K29" s="2"/>
      <c r="S29" s="78"/>
      <c r="AI29" s="73" t="s">
        <v>66</v>
      </c>
    </row>
    <row r="30" spans="1:37">
      <c r="A30" s="78" t="s">
        <v>72</v>
      </c>
      <c r="B30" s="81" t="s">
        <v>73</v>
      </c>
      <c r="C30" s="85"/>
      <c r="D30" s="85"/>
      <c r="E30" s="85"/>
      <c r="F30" s="85"/>
      <c r="G30" s="85"/>
      <c r="H30" s="85"/>
      <c r="I30" s="2"/>
      <c r="J30" s="2"/>
      <c r="K30" s="2"/>
      <c r="M30" s="2"/>
      <c r="S30" s="81" t="s">
        <v>73</v>
      </c>
      <c r="AI30" s="78" t="s">
        <v>74</v>
      </c>
      <c r="AJ30" s="81" t="s">
        <v>73</v>
      </c>
    </row>
    <row r="31" spans="1:37">
      <c r="A31" s="75">
        <v>1</v>
      </c>
      <c r="B31" s="83" t="s">
        <v>75</v>
      </c>
      <c r="C31" s="88">
        <f>销量!C8</f>
        <v>1176</v>
      </c>
      <c r="D31" s="88">
        <f>销量!D8</f>
        <v>0</v>
      </c>
      <c r="E31" s="88">
        <f>销量!E8</f>
        <v>0</v>
      </c>
      <c r="F31" s="88">
        <f>销量!F8</f>
        <v>0</v>
      </c>
      <c r="G31" s="88">
        <f>销量!G8</f>
        <v>0</v>
      </c>
      <c r="H31" s="85"/>
      <c r="I31" s="2"/>
      <c r="J31" s="2"/>
      <c r="K31" s="2"/>
      <c r="M31" s="2"/>
      <c r="S31" s="78" t="s">
        <v>75</v>
      </c>
      <c r="AI31" s="78" t="s">
        <v>24</v>
      </c>
      <c r="AJ31" s="78" t="s">
        <v>75</v>
      </c>
    </row>
    <row r="32" spans="1:37">
      <c r="A32" s="75">
        <v>2</v>
      </c>
      <c r="B32" s="78" t="s">
        <v>169</v>
      </c>
      <c r="C32" s="80" t="e">
        <f>C9/C6</f>
        <v>#DIV/0!</v>
      </c>
      <c r="D32" s="80" t="e">
        <f>D9/D6</f>
        <v>#DIV/0!</v>
      </c>
      <c r="E32" s="80">
        <f t="shared" ref="E32:G32" si="11">E31*1</f>
        <v>0</v>
      </c>
      <c r="F32" s="80">
        <f t="shared" si="11"/>
        <v>0</v>
      </c>
      <c r="G32" s="80">
        <f t="shared" si="11"/>
        <v>0</v>
      </c>
      <c r="H32" s="85"/>
      <c r="I32" s="2"/>
      <c r="J32" s="2"/>
      <c r="K32" s="2"/>
      <c r="L32" s="2"/>
      <c r="M32" s="2"/>
      <c r="N32" s="2"/>
      <c r="O32" s="2"/>
      <c r="AI32" s="78"/>
      <c r="AJ32" s="78"/>
    </row>
    <row r="33" spans="1:36">
      <c r="A33" s="75">
        <v>3</v>
      </c>
      <c r="B33" s="83" t="s">
        <v>76</v>
      </c>
      <c r="C33" s="80">
        <f>材料成本!D24</f>
        <v>629.1020000000002</v>
      </c>
      <c r="D33" s="80">
        <f>材料成本!E24</f>
        <v>0</v>
      </c>
      <c r="E33" s="80">
        <f>材料成本!F24</f>
        <v>0</v>
      </c>
      <c r="F33" s="80">
        <f>材料成本!G24</f>
        <v>0</v>
      </c>
      <c r="G33" s="80">
        <f>材料成本!H24</f>
        <v>0</v>
      </c>
      <c r="H33" s="85"/>
      <c r="J33" s="2"/>
      <c r="K33" s="2"/>
      <c r="L33" s="2"/>
      <c r="M33" s="2"/>
      <c r="N33" s="2"/>
      <c r="O33" s="2"/>
      <c r="S33" s="78" t="s">
        <v>76</v>
      </c>
      <c r="AI33" s="78" t="s">
        <v>26</v>
      </c>
      <c r="AJ33" s="78" t="s">
        <v>76</v>
      </c>
    </row>
    <row r="34" spans="1:36" ht="17.25" customHeight="1">
      <c r="A34" s="75">
        <v>4</v>
      </c>
      <c r="B34" s="78" t="s">
        <v>78</v>
      </c>
      <c r="C34" s="89" t="e">
        <f>C32-C33</f>
        <v>#DIV/0!</v>
      </c>
      <c r="D34" s="89" t="e">
        <f t="shared" ref="D34:G34" si="12">D32-D33</f>
        <v>#DIV/0!</v>
      </c>
      <c r="E34" s="89">
        <f t="shared" si="12"/>
        <v>0</v>
      </c>
      <c r="F34" s="89">
        <f t="shared" si="12"/>
        <v>0</v>
      </c>
      <c r="G34" s="89">
        <f t="shared" si="12"/>
        <v>0</v>
      </c>
      <c r="H34" s="85"/>
      <c r="J34" s="2"/>
      <c r="K34" s="2"/>
      <c r="L34" s="2"/>
      <c r="M34" s="2"/>
      <c r="N34" s="2"/>
      <c r="O34" s="2"/>
      <c r="S34" s="78" t="s">
        <v>78</v>
      </c>
      <c r="AI34" s="78" t="s">
        <v>77</v>
      </c>
      <c r="AJ34" s="78" t="s">
        <v>78</v>
      </c>
    </row>
    <row r="35" spans="1:36">
      <c r="A35" s="78" t="s">
        <v>74</v>
      </c>
      <c r="B35" s="81" t="s">
        <v>8</v>
      </c>
      <c r="C35" s="85"/>
      <c r="D35" s="85"/>
      <c r="E35" s="85"/>
      <c r="F35" s="85"/>
      <c r="G35" s="85"/>
      <c r="H35" s="85"/>
      <c r="I35" s="2"/>
      <c r="J35" s="2"/>
      <c r="K35" s="2"/>
      <c r="L35" s="2"/>
      <c r="M35" s="2"/>
      <c r="N35" s="2"/>
      <c r="O35" s="2"/>
      <c r="P35" s="2"/>
      <c r="Q35" s="2"/>
      <c r="R35" s="2"/>
      <c r="S35" s="81" t="s">
        <v>8</v>
      </c>
      <c r="AI35" s="78" t="s">
        <v>80</v>
      </c>
      <c r="AJ35" s="81" t="s">
        <v>8</v>
      </c>
    </row>
    <row r="36" spans="1:36">
      <c r="A36" s="75">
        <v>1</v>
      </c>
      <c r="B36" s="78" t="s">
        <v>81</v>
      </c>
      <c r="C36" s="84">
        <f>标准成本!D4</f>
        <v>58.926320000000004</v>
      </c>
      <c r="D36" s="84">
        <f t="shared" ref="D36:G38" si="13">C36</f>
        <v>58.926320000000004</v>
      </c>
      <c r="E36" s="84">
        <f t="shared" si="13"/>
        <v>58.926320000000004</v>
      </c>
      <c r="F36" s="84">
        <f t="shared" si="13"/>
        <v>58.926320000000004</v>
      </c>
      <c r="G36" s="84">
        <f t="shared" si="13"/>
        <v>58.926320000000004</v>
      </c>
      <c r="H36" s="88"/>
      <c r="I36" s="2"/>
      <c r="J36" s="2"/>
      <c r="K36" s="2"/>
      <c r="L36" s="2"/>
      <c r="M36" s="2"/>
      <c r="N36" s="2"/>
      <c r="O36" s="2"/>
      <c r="P36" s="2"/>
      <c r="Q36" s="2"/>
      <c r="R36" s="2"/>
      <c r="S36" s="78" t="s">
        <v>81</v>
      </c>
      <c r="AI36" s="78" t="s">
        <v>77</v>
      </c>
      <c r="AJ36" s="78" t="s">
        <v>81</v>
      </c>
    </row>
    <row r="37" spans="1:36">
      <c r="A37" s="75">
        <v>2</v>
      </c>
      <c r="B37" s="78" t="s">
        <v>82</v>
      </c>
      <c r="C37" s="84">
        <f>标准成本!D6</f>
        <v>29.668240000000001</v>
      </c>
      <c r="D37" s="84">
        <f t="shared" si="13"/>
        <v>29.668240000000001</v>
      </c>
      <c r="E37" s="84">
        <f t="shared" si="13"/>
        <v>29.668240000000001</v>
      </c>
      <c r="F37" s="84">
        <f t="shared" si="13"/>
        <v>29.668240000000001</v>
      </c>
      <c r="G37" s="84">
        <f t="shared" si="13"/>
        <v>29.668240000000001</v>
      </c>
      <c r="H37" s="88"/>
      <c r="I37" s="2"/>
      <c r="J37" s="2"/>
      <c r="K37" s="2"/>
      <c r="L37" s="2"/>
      <c r="M37" s="2"/>
      <c r="N37" s="2"/>
      <c r="O37" s="2"/>
      <c r="P37" s="2"/>
      <c r="Q37" s="2"/>
      <c r="R37" s="2"/>
      <c r="S37" s="78" t="s">
        <v>82</v>
      </c>
      <c r="AI37" s="78" t="s">
        <v>29</v>
      </c>
      <c r="AJ37" s="78" t="s">
        <v>82</v>
      </c>
    </row>
    <row r="38" spans="1:36">
      <c r="A38" s="75">
        <v>3</v>
      </c>
      <c r="B38" s="78" t="s">
        <v>83</v>
      </c>
      <c r="C38" s="84">
        <f>标准成本!D10</f>
        <v>60.156799999999997</v>
      </c>
      <c r="D38" s="84">
        <f t="shared" si="13"/>
        <v>60.156799999999997</v>
      </c>
      <c r="E38" s="84">
        <f t="shared" si="13"/>
        <v>60.156799999999997</v>
      </c>
      <c r="F38" s="84">
        <f t="shared" si="13"/>
        <v>60.156799999999997</v>
      </c>
      <c r="G38" s="84">
        <f t="shared" si="13"/>
        <v>60.156799999999997</v>
      </c>
      <c r="H38" s="88"/>
      <c r="I38" s="2"/>
      <c r="J38" s="2"/>
      <c r="K38" s="2"/>
      <c r="L38" s="2"/>
      <c r="M38" s="2"/>
      <c r="N38" s="2"/>
      <c r="O38" s="2"/>
      <c r="P38" s="2"/>
      <c r="Q38" s="2"/>
      <c r="R38" s="2"/>
      <c r="S38" s="78" t="s">
        <v>83</v>
      </c>
      <c r="AI38" s="78" t="s">
        <v>35</v>
      </c>
      <c r="AJ38" s="78" t="s">
        <v>83</v>
      </c>
    </row>
    <row r="39" spans="1:36">
      <c r="A39" s="78" t="s">
        <v>80</v>
      </c>
      <c r="B39" s="81" t="s">
        <v>85</v>
      </c>
      <c r="C39" s="85"/>
      <c r="D39" s="85"/>
      <c r="E39" s="85"/>
      <c r="F39" s="85"/>
      <c r="G39" s="85"/>
      <c r="H39" s="85"/>
      <c r="S39" s="81" t="s">
        <v>85</v>
      </c>
      <c r="AI39" s="78" t="s">
        <v>84</v>
      </c>
      <c r="AJ39" s="81" t="s">
        <v>85</v>
      </c>
    </row>
    <row r="40" spans="1:36">
      <c r="A40" s="75">
        <v>1</v>
      </c>
      <c r="B40" s="78" t="s">
        <v>86</v>
      </c>
      <c r="C40" s="85" t="e">
        <f>C34-C36-C37-C38</f>
        <v>#DIV/0!</v>
      </c>
      <c r="D40" s="85" t="e">
        <f t="shared" ref="D40:G40" si="14">D34-D36-D37-D38</f>
        <v>#DIV/0!</v>
      </c>
      <c r="E40" s="85">
        <f t="shared" si="14"/>
        <v>-148.75136000000001</v>
      </c>
      <c r="F40" s="85">
        <f t="shared" si="14"/>
        <v>-148.75136000000001</v>
      </c>
      <c r="G40" s="85">
        <f t="shared" si="14"/>
        <v>-148.75136000000001</v>
      </c>
      <c r="H40" s="85"/>
      <c r="S40" s="78" t="s">
        <v>86</v>
      </c>
      <c r="AI40" s="78" t="s">
        <v>24</v>
      </c>
      <c r="AJ40" s="78" t="s">
        <v>86</v>
      </c>
    </row>
    <row r="41" spans="1:36">
      <c r="A41" s="75">
        <v>2</v>
      </c>
      <c r="B41" s="78" t="s">
        <v>87</v>
      </c>
      <c r="C41" s="85"/>
      <c r="D41" s="85"/>
      <c r="E41" s="85"/>
      <c r="F41" s="85"/>
      <c r="G41" s="85"/>
      <c r="H41" s="85"/>
      <c r="S41" s="78" t="s">
        <v>87</v>
      </c>
      <c r="AI41" s="78" t="s">
        <v>26</v>
      </c>
      <c r="AJ41" s="78" t="s">
        <v>87</v>
      </c>
    </row>
    <row r="42" spans="1:36">
      <c r="A42" s="78" t="s">
        <v>84</v>
      </c>
      <c r="B42" s="81" t="s">
        <v>89</v>
      </c>
      <c r="C42" s="85"/>
      <c r="D42" s="85"/>
      <c r="E42" s="85"/>
      <c r="F42" s="85"/>
      <c r="G42" s="85"/>
      <c r="H42" s="85"/>
      <c r="S42" s="81" t="s">
        <v>89</v>
      </c>
      <c r="AI42" s="78" t="s">
        <v>88</v>
      </c>
      <c r="AJ42" s="81" t="s">
        <v>89</v>
      </c>
    </row>
    <row r="43" spans="1:36">
      <c r="A43" s="75">
        <v>1</v>
      </c>
      <c r="B43" s="86" t="s">
        <v>90</v>
      </c>
      <c r="C43" s="84">
        <f>标准成本!D5</f>
        <v>56.055200000000006</v>
      </c>
      <c r="D43" s="84">
        <f t="shared" ref="D43:G45" si="15">C43</f>
        <v>56.055200000000006</v>
      </c>
      <c r="E43" s="84">
        <f t="shared" si="15"/>
        <v>56.055200000000006</v>
      </c>
      <c r="F43" s="84">
        <f t="shared" si="15"/>
        <v>56.055200000000006</v>
      </c>
      <c r="G43" s="84">
        <f t="shared" si="15"/>
        <v>56.055200000000006</v>
      </c>
      <c r="H43" s="85"/>
      <c r="S43" s="78" t="s">
        <v>90</v>
      </c>
      <c r="AI43" s="78" t="s">
        <v>24</v>
      </c>
      <c r="AJ43" s="78" t="s">
        <v>90</v>
      </c>
    </row>
    <row r="44" spans="1:36">
      <c r="A44" s="75">
        <v>2</v>
      </c>
      <c r="B44" s="86" t="s">
        <v>91</v>
      </c>
      <c r="C44" s="84">
        <f>标准成本!D9</f>
        <v>9.5704000000000011</v>
      </c>
      <c r="D44" s="84">
        <f t="shared" si="15"/>
        <v>9.5704000000000011</v>
      </c>
      <c r="E44" s="84">
        <f t="shared" si="15"/>
        <v>9.5704000000000011</v>
      </c>
      <c r="F44" s="84">
        <f t="shared" si="15"/>
        <v>9.5704000000000011</v>
      </c>
      <c r="G44" s="84">
        <f t="shared" si="15"/>
        <v>9.5704000000000011</v>
      </c>
      <c r="H44" s="85"/>
      <c r="S44" s="78" t="s">
        <v>91</v>
      </c>
      <c r="AI44" s="78" t="s">
        <v>26</v>
      </c>
      <c r="AJ44" s="78" t="s">
        <v>91</v>
      </c>
    </row>
    <row r="45" spans="1:36">
      <c r="A45" s="75">
        <v>3</v>
      </c>
      <c r="B45" s="86" t="s">
        <v>92</v>
      </c>
      <c r="C45" s="84">
        <v>30</v>
      </c>
      <c r="D45" s="84">
        <f t="shared" si="15"/>
        <v>30</v>
      </c>
      <c r="E45" s="84">
        <f t="shared" si="15"/>
        <v>30</v>
      </c>
      <c r="F45" s="84">
        <f t="shared" si="15"/>
        <v>30</v>
      </c>
      <c r="G45" s="84">
        <f t="shared" si="15"/>
        <v>30</v>
      </c>
      <c r="H45" s="85"/>
      <c r="S45" s="78" t="s">
        <v>92</v>
      </c>
      <c r="AI45" s="78" t="s">
        <v>77</v>
      </c>
      <c r="AJ45" s="78" t="s">
        <v>92</v>
      </c>
    </row>
    <row r="46" spans="1:36" s="72" customFormat="1">
      <c r="A46" s="75">
        <v>4</v>
      </c>
      <c r="B46" s="86" t="s">
        <v>93</v>
      </c>
      <c r="C46" s="90" t="e">
        <f ca="1">C21/C6</f>
        <v>#DIV/0!</v>
      </c>
      <c r="D46" s="90" t="e">
        <f ca="1">D21/D6</f>
        <v>#DIV/0!</v>
      </c>
      <c r="E46" s="90" t="e">
        <f ca="1">E21/E6</f>
        <v>#DIV/0!</v>
      </c>
      <c r="F46" s="90" t="e">
        <f ca="1">F21/F6</f>
        <v>#DIV/0!</v>
      </c>
      <c r="G46" s="90" t="e">
        <f ca="1">G21/G6</f>
        <v>#DIV/0!</v>
      </c>
      <c r="H46" s="90"/>
      <c r="S46" s="86" t="s">
        <v>95</v>
      </c>
      <c r="AI46" s="86" t="s">
        <v>32</v>
      </c>
      <c r="AJ46" s="86" t="s">
        <v>95</v>
      </c>
    </row>
    <row r="47" spans="1:36" s="72" customFormat="1">
      <c r="A47" s="75">
        <v>5</v>
      </c>
      <c r="B47" s="86" t="s">
        <v>95</v>
      </c>
      <c r="C47" s="90">
        <f>标准成本!D11</f>
        <v>29.121359999999999</v>
      </c>
      <c r="D47" s="90">
        <f>C47</f>
        <v>29.121359999999999</v>
      </c>
      <c r="E47" s="90">
        <f>D47</f>
        <v>29.121359999999999</v>
      </c>
      <c r="F47" s="90">
        <f>E47</f>
        <v>29.121359999999999</v>
      </c>
      <c r="G47" s="90">
        <f>F47</f>
        <v>29.121359999999999</v>
      </c>
      <c r="H47" s="90"/>
      <c r="S47" s="86" t="s">
        <v>95</v>
      </c>
      <c r="AI47" s="86" t="s">
        <v>32</v>
      </c>
      <c r="AJ47" s="86" t="s">
        <v>95</v>
      </c>
    </row>
    <row r="48" spans="1:36">
      <c r="A48" s="78" t="s">
        <v>88</v>
      </c>
      <c r="B48" s="81" t="s">
        <v>106</v>
      </c>
      <c r="C48" s="85" t="e">
        <f ca="1">C40-C43-C44-C45-C47-C46</f>
        <v>#DIV/0!</v>
      </c>
      <c r="D48" s="85" t="e">
        <f ca="1">D40-D43-D44-D45-D47-D46</f>
        <v>#DIV/0!</v>
      </c>
      <c r="E48" s="85" t="e">
        <f ca="1">E40-E43-E44-E45-E47-E46</f>
        <v>#DIV/0!</v>
      </c>
      <c r="F48" s="85" t="e">
        <f ca="1">F40-F43-F44-F45-F47-F46</f>
        <v>#DIV/0!</v>
      </c>
      <c r="G48" s="85" t="e">
        <f ca="1">G40-G43-G44-G45-G47-G46</f>
        <v>#DIV/0!</v>
      </c>
      <c r="H48" s="85"/>
      <c r="S48" s="81" t="s">
        <v>106</v>
      </c>
      <c r="AI48" s="78" t="s">
        <v>105</v>
      </c>
      <c r="AJ48" s="81" t="s">
        <v>106</v>
      </c>
    </row>
    <row r="51" spans="2:13">
      <c r="C51" s="91"/>
      <c r="D51" s="91"/>
      <c r="E51" s="91"/>
      <c r="F51" s="91"/>
      <c r="G51" s="91"/>
    </row>
    <row r="54" spans="2:13">
      <c r="B54" s="2"/>
      <c r="C54" s="92"/>
      <c r="D54" s="92"/>
      <c r="E54" s="92"/>
      <c r="F54" s="92"/>
      <c r="G54" s="92"/>
      <c r="H54" s="92"/>
      <c r="I54" s="2"/>
      <c r="J54" s="2"/>
      <c r="K54" s="2"/>
      <c r="L54" s="2"/>
      <c r="M54" s="2"/>
    </row>
    <row r="55" spans="2:13">
      <c r="B55" s="2"/>
      <c r="C55" s="92"/>
      <c r="D55" s="92"/>
      <c r="E55" s="92"/>
      <c r="F55" s="92"/>
      <c r="G55" s="92"/>
      <c r="H55" s="92"/>
      <c r="I55" s="2"/>
      <c r="J55" s="2"/>
      <c r="K55" s="2"/>
      <c r="L55" s="2"/>
      <c r="M55" s="2"/>
    </row>
    <row r="56" spans="2:13">
      <c r="B56" s="2"/>
      <c r="C56" s="92"/>
      <c r="D56" s="92"/>
      <c r="E56" s="92"/>
      <c r="F56" s="92"/>
      <c r="G56" s="92"/>
      <c r="H56" s="92"/>
      <c r="I56" s="2"/>
      <c r="J56" s="2"/>
      <c r="K56" s="2"/>
      <c r="L56" s="2"/>
      <c r="M56" s="2"/>
    </row>
    <row r="57" spans="2:13">
      <c r="B57" s="2"/>
      <c r="C57" s="92"/>
      <c r="D57" s="92"/>
      <c r="E57" s="92"/>
      <c r="F57" s="92"/>
      <c r="G57" s="92"/>
      <c r="H57" s="92"/>
      <c r="I57" s="2"/>
      <c r="J57" s="2"/>
      <c r="K57" s="2"/>
      <c r="L57" s="2"/>
      <c r="M57" s="2"/>
    </row>
    <row r="58" spans="2:13">
      <c r="B58" s="2"/>
      <c r="C58" s="92"/>
      <c r="D58" s="92"/>
      <c r="E58" s="92"/>
      <c r="F58" s="92"/>
      <c r="G58" s="92"/>
      <c r="H58" s="92"/>
      <c r="I58" s="2"/>
      <c r="J58" s="2"/>
      <c r="K58" s="2"/>
      <c r="L58" s="2"/>
      <c r="M58" s="2"/>
    </row>
    <row r="59" spans="2:13">
      <c r="B59" s="2"/>
      <c r="C59" s="92"/>
      <c r="D59" s="92"/>
      <c r="E59" s="92"/>
      <c r="F59" s="92"/>
      <c r="G59" s="92"/>
      <c r="H59" s="92"/>
      <c r="I59" s="2"/>
      <c r="J59" s="2"/>
      <c r="K59" s="2"/>
      <c r="L59" s="2"/>
      <c r="M59" s="2"/>
    </row>
    <row r="60" spans="2:13">
      <c r="B60" s="2"/>
      <c r="C60" s="92"/>
      <c r="D60" s="92"/>
      <c r="E60" s="92"/>
      <c r="F60" s="92"/>
      <c r="G60" s="92"/>
      <c r="H60" s="92"/>
      <c r="I60" s="2"/>
      <c r="J60" s="2"/>
      <c r="K60" s="2"/>
      <c r="L60" s="2"/>
      <c r="M60" s="2"/>
    </row>
    <row r="61" spans="2:13">
      <c r="B61" s="2"/>
      <c r="C61" s="92"/>
      <c r="D61" s="92"/>
      <c r="E61" s="92"/>
      <c r="F61" s="92"/>
      <c r="G61" s="92"/>
      <c r="H61" s="92"/>
      <c r="I61" s="2"/>
      <c r="J61" s="2"/>
      <c r="K61" s="2"/>
      <c r="L61" s="2"/>
      <c r="M61" s="2"/>
    </row>
    <row r="62" spans="2:13">
      <c r="B62" s="2"/>
      <c r="C62" s="92"/>
      <c r="D62" s="92"/>
      <c r="E62" s="92"/>
      <c r="F62" s="92"/>
      <c r="G62" s="92"/>
      <c r="H62" s="92"/>
      <c r="I62" s="2"/>
      <c r="J62" s="2"/>
      <c r="K62" s="2"/>
      <c r="L62" s="2"/>
      <c r="M62" s="2"/>
    </row>
    <row r="63" spans="2:13">
      <c r="B63" s="2"/>
      <c r="C63" s="92"/>
      <c r="D63" s="92"/>
      <c r="E63" s="92"/>
      <c r="F63" s="92"/>
      <c r="G63" s="92"/>
      <c r="H63" s="92"/>
      <c r="I63" s="2"/>
      <c r="J63" s="2"/>
      <c r="K63" s="2"/>
      <c r="L63" s="2"/>
      <c r="M63" s="2"/>
    </row>
    <row r="64" spans="2:13">
      <c r="B64" s="2"/>
      <c r="C64" s="92"/>
      <c r="D64" s="92"/>
      <c r="E64" s="92"/>
      <c r="F64" s="92"/>
      <c r="G64" s="92"/>
      <c r="H64" s="92"/>
      <c r="I64" s="2"/>
      <c r="J64" s="2"/>
      <c r="K64" s="2"/>
      <c r="L64" s="2"/>
      <c r="M64" s="2"/>
    </row>
    <row r="65" spans="2:13">
      <c r="B65" s="2"/>
      <c r="C65" s="92"/>
      <c r="D65" s="92"/>
      <c r="E65" s="92"/>
      <c r="F65" s="92"/>
      <c r="G65" s="92"/>
      <c r="H65" s="92"/>
      <c r="I65" s="2"/>
      <c r="J65" s="2"/>
      <c r="K65" s="2"/>
      <c r="L65" s="2"/>
      <c r="M65" s="2"/>
    </row>
    <row r="66" spans="2:13">
      <c r="B66" s="2"/>
      <c r="C66" s="92"/>
      <c r="D66" s="92"/>
      <c r="E66" s="92"/>
      <c r="F66" s="92"/>
      <c r="G66" s="92"/>
      <c r="H66" s="92"/>
      <c r="I66" s="2"/>
      <c r="J66" s="2"/>
      <c r="K66" s="2"/>
      <c r="L66" s="2"/>
      <c r="M66" s="2"/>
    </row>
    <row r="67" spans="2:13">
      <c r="B67" s="2"/>
      <c r="C67" s="92"/>
      <c r="D67" s="92"/>
      <c r="E67" s="92"/>
      <c r="F67" s="92"/>
      <c r="G67" s="92"/>
      <c r="H67" s="92"/>
      <c r="I67" s="2"/>
    </row>
    <row r="68" spans="2:13">
      <c r="B68" s="2"/>
      <c r="C68" s="92"/>
      <c r="D68" s="92"/>
      <c r="E68" s="92"/>
      <c r="F68" s="92"/>
      <c r="G68" s="92"/>
      <c r="H68" s="92"/>
      <c r="I68" s="2"/>
    </row>
    <row r="69" spans="2:13">
      <c r="B69" s="2"/>
      <c r="C69" s="92"/>
      <c r="D69" s="92"/>
      <c r="E69" s="92"/>
      <c r="F69" s="92"/>
      <c r="G69" s="92"/>
      <c r="H69" s="92"/>
      <c r="I69" s="2"/>
    </row>
    <row r="70" spans="2:13">
      <c r="B70" s="2"/>
      <c r="C70" s="92"/>
      <c r="D70" s="92"/>
      <c r="E70" s="92"/>
      <c r="F70" s="92"/>
      <c r="G70" s="92"/>
      <c r="H70" s="92"/>
      <c r="I70" s="2"/>
    </row>
    <row r="71" spans="2:13">
      <c r="B71" s="2"/>
      <c r="C71" s="92"/>
      <c r="D71" s="92"/>
      <c r="E71" s="92"/>
      <c r="F71" s="92"/>
      <c r="G71" s="92"/>
      <c r="H71" s="92"/>
      <c r="I71" s="2"/>
    </row>
    <row r="72" spans="2:13">
      <c r="B72" s="2"/>
      <c r="C72" s="92"/>
      <c r="D72" s="92"/>
      <c r="E72" s="92"/>
      <c r="F72" s="92"/>
      <c r="G72" s="92"/>
      <c r="H72" s="92"/>
      <c r="I72" s="2"/>
    </row>
    <row r="73" spans="2:13">
      <c r="B73" s="2"/>
      <c r="C73" s="92"/>
      <c r="D73" s="92"/>
      <c r="E73" s="92"/>
      <c r="F73" s="92"/>
      <c r="G73" s="92"/>
      <c r="H73" s="92"/>
      <c r="I73" s="2"/>
    </row>
    <row r="74" spans="2:13">
      <c r="B74" s="2"/>
      <c r="C74" s="92"/>
      <c r="D74" s="92"/>
      <c r="E74" s="92"/>
      <c r="F74" s="92"/>
      <c r="G74" s="92"/>
      <c r="H74" s="92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H30" sqref="H30"/>
    </sheetView>
  </sheetViews>
  <sheetFormatPr defaultColWidth="9" defaultRowHeight="13.5"/>
  <cols>
    <col min="1" max="1" width="20.625" customWidth="1"/>
    <col min="2" max="2" width="14.25" style="48" customWidth="1"/>
    <col min="3" max="3" width="13.125" customWidth="1"/>
    <col min="4" max="8" width="14.5" customWidth="1"/>
    <col min="9" max="9" width="15" customWidth="1"/>
    <col min="10" max="10" width="14.125" customWidth="1"/>
  </cols>
  <sheetData>
    <row r="1" spans="1:8" ht="20.25">
      <c r="A1" s="189" t="s">
        <v>174</v>
      </c>
      <c r="B1" s="189"/>
      <c r="C1" s="189"/>
      <c r="E1" s="190" t="s">
        <v>175</v>
      </c>
      <c r="F1" s="191"/>
      <c r="G1" s="191"/>
      <c r="H1" s="192"/>
    </row>
    <row r="2" spans="1:8" ht="23.45" customHeight="1">
      <c r="A2" s="49" t="s">
        <v>1</v>
      </c>
      <c r="B2" s="50" t="s">
        <v>176</v>
      </c>
      <c r="C2" s="51" t="s">
        <v>177</v>
      </c>
      <c r="E2" s="15" t="s">
        <v>178</v>
      </c>
      <c r="F2" s="15" t="s">
        <v>1</v>
      </c>
      <c r="G2" s="52" t="s">
        <v>179</v>
      </c>
      <c r="H2" s="15" t="s">
        <v>177</v>
      </c>
    </row>
    <row r="3" spans="1:8" ht="15.75" customHeight="1">
      <c r="A3" s="53" t="s">
        <v>180</v>
      </c>
      <c r="B3" s="54"/>
      <c r="C3" s="55"/>
      <c r="E3" s="197" t="s">
        <v>181</v>
      </c>
      <c r="F3" s="56" t="s">
        <v>182</v>
      </c>
      <c r="G3" s="57"/>
      <c r="H3" s="56"/>
    </row>
    <row r="4" spans="1:8" ht="15.75" customHeight="1">
      <c r="A4" s="53" t="s">
        <v>183</v>
      </c>
      <c r="B4" s="54"/>
      <c r="C4" s="58"/>
      <c r="E4" s="198"/>
      <c r="F4" s="56" t="s">
        <v>184</v>
      </c>
      <c r="G4" s="57"/>
      <c r="H4" s="56"/>
    </row>
    <row r="5" spans="1:8" ht="15.75" customHeight="1">
      <c r="A5" s="53" t="s">
        <v>185</v>
      </c>
      <c r="B5" s="59">
        <f>SUM(G3:G4)</f>
        <v>0</v>
      </c>
      <c r="C5" s="55"/>
      <c r="E5" s="199" t="s">
        <v>186</v>
      </c>
      <c r="F5" s="60" t="s">
        <v>187</v>
      </c>
      <c r="G5" s="57"/>
      <c r="H5" s="60"/>
    </row>
    <row r="6" spans="1:8" ht="15.75" customHeight="1">
      <c r="A6" s="53" t="s">
        <v>188</v>
      </c>
      <c r="B6" s="54"/>
      <c r="C6" s="55"/>
      <c r="E6" s="200"/>
      <c r="F6" s="60" t="s">
        <v>189</v>
      </c>
      <c r="G6" s="57">
        <v>1.2</v>
      </c>
      <c r="H6" s="56"/>
    </row>
    <row r="7" spans="1:8" ht="15.75" customHeight="1">
      <c r="A7" s="61" t="s">
        <v>190</v>
      </c>
      <c r="B7" s="59">
        <f>SUM(B3:B6)</f>
        <v>0</v>
      </c>
      <c r="C7" s="55"/>
      <c r="E7" s="200"/>
      <c r="F7" s="60" t="s">
        <v>191</v>
      </c>
      <c r="G7" s="57"/>
      <c r="H7" s="56"/>
    </row>
    <row r="8" spans="1:8" ht="15.75" customHeight="1">
      <c r="A8" s="62" t="s">
        <v>192</v>
      </c>
      <c r="B8" s="59">
        <f>SUM(G5:G12)</f>
        <v>1.2</v>
      </c>
      <c r="C8" s="63"/>
      <c r="E8" s="200"/>
      <c r="F8" s="60" t="s">
        <v>193</v>
      </c>
      <c r="G8" s="57"/>
      <c r="H8" s="56"/>
    </row>
    <row r="9" spans="1:8" ht="15.75" customHeight="1">
      <c r="A9" s="53" t="s">
        <v>194</v>
      </c>
      <c r="B9" s="59">
        <f>SUM(G13:G21)</f>
        <v>1.7</v>
      </c>
      <c r="C9" s="55"/>
      <c r="E9" s="200"/>
      <c r="F9" s="56" t="s">
        <v>195</v>
      </c>
      <c r="G9" s="57"/>
      <c r="H9" s="64"/>
    </row>
    <row r="10" spans="1:8" ht="15.75" customHeight="1">
      <c r="A10" s="58" t="s">
        <v>20</v>
      </c>
      <c r="B10" s="59">
        <f>B7+B8+B9</f>
        <v>2.9</v>
      </c>
      <c r="C10" s="55"/>
      <c r="E10" s="200"/>
      <c r="F10" s="56" t="s">
        <v>196</v>
      </c>
      <c r="G10" s="57"/>
      <c r="H10" s="56"/>
    </row>
    <row r="11" spans="1:8" ht="15.75" customHeight="1">
      <c r="E11" s="200"/>
      <c r="F11" s="56" t="s">
        <v>197</v>
      </c>
      <c r="G11" s="57"/>
      <c r="H11" s="56"/>
    </row>
    <row r="12" spans="1:8" ht="15.75" customHeight="1">
      <c r="E12" s="201"/>
      <c r="F12" s="56" t="s">
        <v>198</v>
      </c>
      <c r="G12" s="57"/>
      <c r="H12" s="64"/>
    </row>
    <row r="13" spans="1:8" ht="15.75" customHeight="1">
      <c r="E13" s="197" t="s">
        <v>52</v>
      </c>
      <c r="F13" s="56" t="s">
        <v>199</v>
      </c>
      <c r="G13" s="57">
        <v>0.6</v>
      </c>
      <c r="H13" s="65"/>
    </row>
    <row r="14" spans="1:8" ht="15.75" customHeight="1">
      <c r="E14" s="198"/>
      <c r="F14" s="56" t="s">
        <v>200</v>
      </c>
      <c r="G14" s="57"/>
      <c r="H14" s="56"/>
    </row>
    <row r="15" spans="1:8" ht="15.75" customHeight="1">
      <c r="E15" s="198"/>
      <c r="F15" s="56" t="s">
        <v>201</v>
      </c>
      <c r="G15" s="57"/>
      <c r="H15" s="56"/>
    </row>
    <row r="16" spans="1:8" ht="15.75" customHeight="1">
      <c r="E16" s="198"/>
      <c r="F16" s="56" t="s">
        <v>202</v>
      </c>
      <c r="G16" s="57">
        <v>0.1</v>
      </c>
      <c r="H16" s="56"/>
    </row>
    <row r="17" spans="1:10" ht="15.75" customHeight="1">
      <c r="E17" s="198"/>
      <c r="F17" s="56" t="s">
        <v>203</v>
      </c>
      <c r="G17" s="57">
        <v>1</v>
      </c>
      <c r="H17" s="56"/>
    </row>
    <row r="18" spans="1:10" ht="15.75" customHeight="1">
      <c r="E18" s="198"/>
      <c r="F18" s="56" t="s">
        <v>204</v>
      </c>
      <c r="G18" s="57"/>
      <c r="H18" s="56"/>
    </row>
    <row r="19" spans="1:10" ht="15.75" customHeight="1">
      <c r="E19" s="198"/>
      <c r="F19" s="56" t="s">
        <v>205</v>
      </c>
      <c r="G19" s="57"/>
      <c r="H19" s="56"/>
    </row>
    <row r="20" spans="1:10" ht="15.75" customHeight="1">
      <c r="E20" s="198"/>
      <c r="F20" s="56" t="s">
        <v>206</v>
      </c>
      <c r="G20" s="57"/>
      <c r="H20" s="56"/>
    </row>
    <row r="21" spans="1:10" ht="15.75" customHeight="1">
      <c r="E21" s="202"/>
      <c r="F21" s="56" t="s">
        <v>142</v>
      </c>
      <c r="G21" s="57"/>
      <c r="H21" s="56"/>
    </row>
    <row r="22" spans="1:10" ht="15.75" customHeight="1">
      <c r="E22" s="15" t="s">
        <v>20</v>
      </c>
      <c r="F22" s="56"/>
      <c r="G22" s="52">
        <f>SUM(G3:G21)</f>
        <v>2.9</v>
      </c>
      <c r="H22" s="56"/>
    </row>
    <row r="23" spans="1:10" ht="30.75" customHeight="1">
      <c r="E23" s="193" t="s">
        <v>207</v>
      </c>
      <c r="F23" s="193"/>
      <c r="G23" s="193"/>
      <c r="H23" s="193"/>
    </row>
    <row r="25" spans="1:10" ht="17.25">
      <c r="A25" s="38" t="s">
        <v>1</v>
      </c>
      <c r="B25" s="38" t="s">
        <v>176</v>
      </c>
      <c r="C25" s="38" t="s">
        <v>208</v>
      </c>
      <c r="D25" s="42" t="s">
        <v>68</v>
      </c>
      <c r="E25" s="42" t="s">
        <v>209</v>
      </c>
      <c r="F25" s="42" t="s">
        <v>210</v>
      </c>
      <c r="G25" s="42" t="s">
        <v>211</v>
      </c>
      <c r="H25" s="42" t="s">
        <v>212</v>
      </c>
      <c r="I25" s="42" t="s">
        <v>20</v>
      </c>
      <c r="J25" s="69" t="s">
        <v>213</v>
      </c>
    </row>
    <row r="26" spans="1:10" ht="16.5">
      <c r="A26" s="66" t="s">
        <v>165</v>
      </c>
      <c r="B26" s="67">
        <f>(B5+B8)*10000</f>
        <v>12000</v>
      </c>
      <c r="C26" s="68">
        <v>0.05</v>
      </c>
      <c r="D26" s="30">
        <f>B26*(1-C26)/5</f>
        <v>2280</v>
      </c>
      <c r="E26" s="30">
        <f t="shared" ref="E26:H27" si="0">D26</f>
        <v>2280</v>
      </c>
      <c r="F26" s="30">
        <f t="shared" si="0"/>
        <v>2280</v>
      </c>
      <c r="G26" s="30">
        <f t="shared" si="0"/>
        <v>2280</v>
      </c>
      <c r="H26" s="30">
        <f t="shared" si="0"/>
        <v>2280</v>
      </c>
      <c r="I26" s="30">
        <f>SUM(D26:H26)</f>
        <v>11400</v>
      </c>
      <c r="J26" s="30">
        <f>B26*0.05</f>
        <v>600</v>
      </c>
    </row>
    <row r="27" spans="1:10" ht="16.5">
      <c r="A27" s="66" t="s">
        <v>214</v>
      </c>
      <c r="B27" s="67">
        <f>B9*10000</f>
        <v>17000</v>
      </c>
      <c r="C27" s="30"/>
      <c r="D27" s="30">
        <f>B27/5</f>
        <v>3400</v>
      </c>
      <c r="E27" s="30">
        <f t="shared" si="0"/>
        <v>3400</v>
      </c>
      <c r="F27" s="30">
        <f t="shared" si="0"/>
        <v>3400</v>
      </c>
      <c r="G27" s="30">
        <f t="shared" si="0"/>
        <v>3400</v>
      </c>
      <c r="H27" s="30">
        <f t="shared" si="0"/>
        <v>3400</v>
      </c>
      <c r="I27" s="30">
        <f>SUM(D27:H27)</f>
        <v>17000</v>
      </c>
      <c r="J27" s="30">
        <f>B27*0.05</f>
        <v>850</v>
      </c>
    </row>
    <row r="28" spans="1:10" ht="16.5">
      <c r="A28" s="194" t="s">
        <v>114</v>
      </c>
      <c r="B28" s="195"/>
      <c r="C28" s="196"/>
      <c r="D28" s="30">
        <f>SUM(D26:D27)</f>
        <v>5680</v>
      </c>
      <c r="E28" s="30">
        <f t="shared" ref="E28:H28" si="1">SUM(E26:E27)</f>
        <v>5680</v>
      </c>
      <c r="F28" s="30">
        <f t="shared" si="1"/>
        <v>5680</v>
      </c>
      <c r="G28" s="30">
        <f t="shared" si="1"/>
        <v>5680</v>
      </c>
      <c r="H28" s="30">
        <f t="shared" si="1"/>
        <v>5680</v>
      </c>
      <c r="I28" s="70"/>
      <c r="J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2022-11-21T08:06:00Z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31B1F920D1EA4CCC86D6BF64F702948D</vt:lpwstr>
  </property>
</Properties>
</file>