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轩德6经济版\"/>
    </mc:Choice>
  </mc:AlternateContent>
  <bookViews>
    <workbookView xWindow="0" yWindow="480" windowWidth="18525" windowHeight="6210" tabRatio="810" activeTab="1"/>
  </bookViews>
  <sheets>
    <sheet name="假设条件" sheetId="34" r:id="rId1"/>
    <sheet name="损益表" sheetId="2" r:id="rId2"/>
    <sheet name="现金" sheetId="36" state="hidden" r:id="rId3"/>
    <sheet name="2023年" sheetId="43" r:id="rId4"/>
    <sheet name="2024年" sheetId="56" r:id="rId5"/>
    <sheet name="2025年" sheetId="57" r:id="rId6"/>
    <sheet name="2026年" sheetId="58" r:id="rId7"/>
    <sheet name="2027年" sheetId="59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  <sheet name="附加值" sheetId="61" r:id="rId14"/>
  </sheets>
  <externalReferences>
    <externalReference r:id="rId15"/>
  </externalReferences>
  <definedNames>
    <definedName name="_xlnm.Print_Area" localSheetId="3">'2023年'!$A$1:$E$48</definedName>
    <definedName name="_xlnm.Print_Area" localSheetId="4">'2024年'!$A$1:$E$48</definedName>
    <definedName name="_xlnm.Print_Area" localSheetId="5">'2025年'!$A$1:$E$48</definedName>
    <definedName name="_xlnm.Print_Area" localSheetId="6">'2026年'!$A$1:$E$48</definedName>
    <definedName name="_xlnm.Print_Area" localSheetId="7">'2027年'!$A$1:$E$48</definedName>
    <definedName name="_xlnm.Print_Area" localSheetId="1">损益表!$A$1:$H$61</definedName>
    <definedName name="_xlnm.Print_Area" localSheetId="8">项目投资!$A$1:$C$35</definedName>
  </definedNames>
  <calcPr calcId="162913"/>
</workbook>
</file>

<file path=xl/calcChain.xml><?xml version="1.0" encoding="utf-8"?>
<calcChain xmlns="http://schemas.openxmlformats.org/spreadsheetml/2006/main">
  <c r="D72" i="50" l="1"/>
  <c r="D73" i="50"/>
  <c r="D74" i="50"/>
  <c r="D75" i="50"/>
  <c r="D76" i="50"/>
  <c r="D77" i="50"/>
  <c r="D78" i="50"/>
  <c r="D71" i="50"/>
  <c r="D59" i="50"/>
  <c r="D60" i="50"/>
  <c r="D61" i="50"/>
  <c r="D62" i="50"/>
  <c r="D63" i="50"/>
  <c r="D64" i="50"/>
  <c r="D65" i="50"/>
  <c r="D58" i="50"/>
  <c r="D46" i="50"/>
  <c r="D47" i="50"/>
  <c r="D48" i="50"/>
  <c r="D49" i="50"/>
  <c r="D50" i="50"/>
  <c r="D51" i="50"/>
  <c r="D52" i="50"/>
  <c r="D45" i="50"/>
  <c r="D33" i="50"/>
  <c r="D34" i="50"/>
  <c r="D35" i="50"/>
  <c r="D36" i="50"/>
  <c r="D37" i="50"/>
  <c r="D38" i="50"/>
  <c r="D39" i="50"/>
  <c r="D32" i="50"/>
  <c r="D19" i="50"/>
  <c r="D20" i="50"/>
  <c r="D21" i="50"/>
  <c r="D22" i="50"/>
  <c r="D23" i="50"/>
  <c r="D24" i="50"/>
  <c r="D25" i="50"/>
  <c r="D18" i="50"/>
  <c r="E77" i="50"/>
  <c r="E74" i="50"/>
  <c r="E64" i="50"/>
  <c r="E61" i="50"/>
  <c r="E51" i="50"/>
  <c r="E48" i="50"/>
  <c r="E38" i="50"/>
  <c r="E35" i="50"/>
  <c r="E24" i="50"/>
  <c r="E21" i="50"/>
  <c r="D5" i="50" l="1"/>
  <c r="D6" i="50"/>
  <c r="D7" i="50"/>
  <c r="D8" i="50"/>
  <c r="D9" i="50"/>
  <c r="D10" i="50"/>
  <c r="D11" i="50"/>
  <c r="D20" i="53" l="1"/>
  <c r="D19" i="53"/>
  <c r="F4" i="53"/>
  <c r="G4" i="53"/>
  <c r="H4" i="53"/>
  <c r="F5" i="53"/>
  <c r="G5" i="53"/>
  <c r="H5" i="53"/>
  <c r="D4" i="53"/>
  <c r="E4" i="53"/>
  <c r="D5" i="53"/>
  <c r="E5" i="53"/>
  <c r="D3" i="53"/>
  <c r="E5" i="61" l="1"/>
  <c r="C5" i="61"/>
  <c r="B5" i="61"/>
  <c r="E4" i="61" l="1"/>
  <c r="E6" i="61" s="1"/>
  <c r="C4" i="61"/>
  <c r="B4" i="61"/>
  <c r="E10" i="50" l="1"/>
  <c r="E7" i="50"/>
  <c r="D11" i="53" l="1"/>
  <c r="F11" i="53"/>
  <c r="G11" i="53"/>
  <c r="H11" i="53"/>
  <c r="I11" i="53"/>
  <c r="D4" i="61" l="1"/>
  <c r="F4" i="61" s="1"/>
  <c r="G4" i="61" s="1"/>
  <c r="C17" i="55"/>
  <c r="C18" i="55" s="1"/>
  <c r="C19" i="55" s="1"/>
  <c r="D6" i="59"/>
  <c r="D7" i="59" s="1"/>
  <c r="C6" i="59"/>
  <c r="E8" i="43"/>
  <c r="H70" i="50"/>
  <c r="G75" i="50"/>
  <c r="G74" i="50"/>
  <c r="H57" i="50"/>
  <c r="G62" i="50"/>
  <c r="G61" i="50"/>
  <c r="H44" i="50"/>
  <c r="G49" i="50"/>
  <c r="G48" i="50"/>
  <c r="H31" i="50"/>
  <c r="G36" i="50"/>
  <c r="G35" i="50"/>
  <c r="H17" i="50"/>
  <c r="G22" i="50"/>
  <c r="G21" i="50"/>
  <c r="H3" i="50"/>
  <c r="D3" i="59"/>
  <c r="D4" i="59"/>
  <c r="D31" i="59"/>
  <c r="D3" i="58"/>
  <c r="D4" i="58"/>
  <c r="D6" i="58"/>
  <c r="D31" i="58"/>
  <c r="D3" i="57"/>
  <c r="D4" i="57"/>
  <c r="D6" i="57"/>
  <c r="D7" i="57" s="1"/>
  <c r="D31" i="57"/>
  <c r="D31" i="56"/>
  <c r="D3" i="56"/>
  <c r="D4" i="56"/>
  <c r="D6" i="56"/>
  <c r="E24" i="53"/>
  <c r="F24" i="53" s="1"/>
  <c r="G24" i="53" s="1"/>
  <c r="H24" i="53" s="1"/>
  <c r="I24" i="53" s="1"/>
  <c r="D38" i="43" l="1"/>
  <c r="C43" i="43"/>
  <c r="D4" i="50"/>
  <c r="C36" i="43" s="1"/>
  <c r="C44" i="43"/>
  <c r="C45" i="43"/>
  <c r="D45" i="43"/>
  <c r="D43" i="43"/>
  <c r="D44" i="43"/>
  <c r="D47" i="43"/>
  <c r="D36" i="43"/>
  <c r="E6" i="59"/>
  <c r="D37" i="43"/>
  <c r="D7" i="56"/>
  <c r="D7" i="58"/>
  <c r="D44" i="58" l="1"/>
  <c r="D19" i="58" s="1"/>
  <c r="D44" i="59"/>
  <c r="D19" i="59" s="1"/>
  <c r="D44" i="56"/>
  <c r="D19" i="56" s="1"/>
  <c r="D44" i="57"/>
  <c r="D19" i="57" s="1"/>
  <c r="D36" i="57"/>
  <c r="D11" i="57" s="1"/>
  <c r="D36" i="56"/>
  <c r="D11" i="56" s="1"/>
  <c r="D36" i="59"/>
  <c r="D11" i="59" s="1"/>
  <c r="D36" i="58"/>
  <c r="D11" i="58" s="1"/>
  <c r="D38" i="59"/>
  <c r="D13" i="59" s="1"/>
  <c r="D38" i="58"/>
  <c r="D13" i="58" s="1"/>
  <c r="D38" i="56"/>
  <c r="D13" i="56" s="1"/>
  <c r="D38" i="57"/>
  <c r="D13" i="57" s="1"/>
  <c r="D43" i="57"/>
  <c r="D43" i="58"/>
  <c r="D43" i="59"/>
  <c r="D43" i="56"/>
  <c r="D37" i="58"/>
  <c r="D12" i="58" s="1"/>
  <c r="D37" i="59"/>
  <c r="D12" i="59" s="1"/>
  <c r="D37" i="57"/>
  <c r="D12" i="57" s="1"/>
  <c r="D37" i="56"/>
  <c r="D12" i="56" s="1"/>
  <c r="D47" i="59"/>
  <c r="D22" i="59" s="1"/>
  <c r="D47" i="56"/>
  <c r="D22" i="56" s="1"/>
  <c r="D47" i="57"/>
  <c r="D22" i="57" s="1"/>
  <c r="D47" i="58"/>
  <c r="D22" i="58" s="1"/>
  <c r="D45" i="59"/>
  <c r="D45" i="56"/>
  <c r="D45" i="58"/>
  <c r="D45" i="57"/>
  <c r="C36" i="56"/>
  <c r="C36" i="57"/>
  <c r="C36" i="58"/>
  <c r="C36" i="59"/>
  <c r="C44" i="56"/>
  <c r="C44" i="57"/>
  <c r="C44" i="58"/>
  <c r="C44" i="59"/>
  <c r="C45" i="56"/>
  <c r="C45" i="57"/>
  <c r="C45" i="58"/>
  <c r="C45" i="59"/>
  <c r="C43" i="56"/>
  <c r="C43" i="59"/>
  <c r="C43" i="57"/>
  <c r="C43" i="58"/>
  <c r="D14" i="56" l="1"/>
  <c r="D14" i="59"/>
  <c r="D14" i="58"/>
  <c r="D14" i="57"/>
  <c r="D31" i="43"/>
  <c r="D32" i="43" s="1"/>
  <c r="D6" i="43"/>
  <c r="D4" i="43"/>
  <c r="D3" i="43"/>
  <c r="K7" i="55"/>
  <c r="K8" i="55" s="1"/>
  <c r="I10" i="55"/>
  <c r="I11" i="55"/>
  <c r="I12" i="55"/>
  <c r="I13" i="55"/>
  <c r="I14" i="55"/>
  <c r="C15" i="55"/>
  <c r="D15" i="55"/>
  <c r="E15" i="55"/>
  <c r="F15" i="55"/>
  <c r="G15" i="55"/>
  <c r="H15" i="55"/>
  <c r="D22" i="43" l="1"/>
  <c r="D13" i="43"/>
  <c r="D19" i="43"/>
  <c r="D12" i="43"/>
  <c r="D11" i="43"/>
  <c r="D20" i="43"/>
  <c r="D7" i="43"/>
  <c r="D9" i="43" s="1"/>
  <c r="D14" i="43" l="1"/>
  <c r="C2" i="59"/>
  <c r="C2" i="58"/>
  <c r="C2" i="57"/>
  <c r="C2" i="56"/>
  <c r="G7" i="50" l="1"/>
  <c r="C4" i="59" l="1"/>
  <c r="C3" i="59"/>
  <c r="C4" i="58"/>
  <c r="C3" i="58"/>
  <c r="C4" i="57"/>
  <c r="C3" i="57"/>
  <c r="C3" i="56"/>
  <c r="C4" i="56"/>
  <c r="C3" i="43"/>
  <c r="C4" i="43"/>
  <c r="B9" i="51"/>
  <c r="L8" i="55" l="1"/>
  <c r="K9" i="55"/>
  <c r="L7" i="55"/>
  <c r="C31" i="59"/>
  <c r="C6" i="58"/>
  <c r="C31" i="58"/>
  <c r="C6" i="57"/>
  <c r="C31" i="57"/>
  <c r="C6" i="56"/>
  <c r="E6" i="56" s="1"/>
  <c r="C31" i="56"/>
  <c r="D8" i="56" l="1"/>
  <c r="D9" i="56" s="1"/>
  <c r="D8" i="57"/>
  <c r="D9" i="57" s="1"/>
  <c r="E6" i="57"/>
  <c r="E3" i="2" s="1"/>
  <c r="E6" i="58"/>
  <c r="D3" i="2"/>
  <c r="C7" i="56"/>
  <c r="C7" i="57"/>
  <c r="E7" i="57" s="1"/>
  <c r="C7" i="58"/>
  <c r="E7" i="58" s="1"/>
  <c r="C38" i="43"/>
  <c r="C19" i="59"/>
  <c r="E19" i="59" s="1"/>
  <c r="C37" i="43"/>
  <c r="L9" i="55"/>
  <c r="K10" i="55"/>
  <c r="L10" i="55" s="1"/>
  <c r="C7" i="59"/>
  <c r="E7" i="59" s="1"/>
  <c r="G3" i="2"/>
  <c r="C11" i="58"/>
  <c r="E11" i="58" s="1"/>
  <c r="C11" i="56"/>
  <c r="E11" i="56" s="1"/>
  <c r="C38" i="56" l="1"/>
  <c r="C13" i="56" s="1"/>
  <c r="E13" i="56" s="1"/>
  <c r="C38" i="57"/>
  <c r="C13" i="57" s="1"/>
  <c r="E13" i="57" s="1"/>
  <c r="E10" i="2" s="1"/>
  <c r="E36" i="2" s="1"/>
  <c r="C38" i="58"/>
  <c r="C13" i="58" s="1"/>
  <c r="E13" i="58" s="1"/>
  <c r="C38" i="59"/>
  <c r="C13" i="59" s="1"/>
  <c r="E13" i="59" s="1"/>
  <c r="G10" i="2" s="1"/>
  <c r="G36" i="2" s="1"/>
  <c r="C37" i="56"/>
  <c r="C12" i="56" s="1"/>
  <c r="C37" i="58"/>
  <c r="C12" i="58" s="1"/>
  <c r="E12" i="58" s="1"/>
  <c r="C37" i="59"/>
  <c r="C12" i="59" s="1"/>
  <c r="E12" i="59" s="1"/>
  <c r="G9" i="2" s="1"/>
  <c r="G35" i="2" s="1"/>
  <c r="C37" i="57"/>
  <c r="C12" i="57" s="1"/>
  <c r="E12" i="57" s="1"/>
  <c r="D8" i="59"/>
  <c r="D9" i="59" s="1"/>
  <c r="D8" i="58"/>
  <c r="D9" i="58" s="1"/>
  <c r="D32" i="56"/>
  <c r="D32" i="57"/>
  <c r="C8" i="56"/>
  <c r="C9" i="56" s="1"/>
  <c r="E7" i="56"/>
  <c r="D4" i="2" s="1"/>
  <c r="E4" i="2"/>
  <c r="C8" i="57"/>
  <c r="C8" i="58"/>
  <c r="C11" i="57"/>
  <c r="D8" i="2"/>
  <c r="D34" i="2" s="1"/>
  <c r="C19" i="58"/>
  <c r="E19" i="58" s="1"/>
  <c r="C19" i="57"/>
  <c r="E19" i="57" s="1"/>
  <c r="C11" i="59"/>
  <c r="C19" i="56"/>
  <c r="E19" i="56" s="1"/>
  <c r="C8" i="59"/>
  <c r="F3" i="2"/>
  <c r="G16" i="2"/>
  <c r="G4" i="2"/>
  <c r="F4" i="2"/>
  <c r="G42" i="2" l="1"/>
  <c r="E8" i="59"/>
  <c r="G5" i="2" s="1"/>
  <c r="E8" i="58"/>
  <c r="F5" i="2" s="1"/>
  <c r="D20" i="56"/>
  <c r="D32" i="58"/>
  <c r="D32" i="59"/>
  <c r="D20" i="57"/>
  <c r="C14" i="59"/>
  <c r="E14" i="59" s="1"/>
  <c r="G11" i="2" s="1"/>
  <c r="E11" i="59"/>
  <c r="G8" i="2" s="1"/>
  <c r="G34" i="2" s="1"/>
  <c r="C32" i="56"/>
  <c r="C20" i="56" s="1"/>
  <c r="E9" i="56"/>
  <c r="D6" i="2" s="1"/>
  <c r="D29" i="2" s="1"/>
  <c r="C9" i="57"/>
  <c r="E8" i="57"/>
  <c r="E5" i="2" s="1"/>
  <c r="E11" i="57"/>
  <c r="E8" i="2" s="1"/>
  <c r="E34" i="2" s="1"/>
  <c r="E8" i="56"/>
  <c r="D5" i="2" s="1"/>
  <c r="C14" i="56"/>
  <c r="E14" i="56" s="1"/>
  <c r="E12" i="56"/>
  <c r="C9" i="58"/>
  <c r="E9" i="58" s="1"/>
  <c r="C14" i="57"/>
  <c r="E14" i="57" s="1"/>
  <c r="C14" i="58"/>
  <c r="E14" i="58" s="1"/>
  <c r="E16" i="2"/>
  <c r="F10" i="2"/>
  <c r="F36" i="2" s="1"/>
  <c r="D10" i="2"/>
  <c r="D36" i="2" s="1"/>
  <c r="D16" i="2"/>
  <c r="C9" i="59"/>
  <c r="E9" i="59" s="1"/>
  <c r="F8" i="2"/>
  <c r="F34" i="2" s="1"/>
  <c r="E42" i="2" l="1"/>
  <c r="D47" i="2"/>
  <c r="D42" i="2"/>
  <c r="D20" i="59"/>
  <c r="E20" i="56"/>
  <c r="D20" i="58"/>
  <c r="C32" i="57"/>
  <c r="C20" i="57" s="1"/>
  <c r="E9" i="57"/>
  <c r="E6" i="2" s="1"/>
  <c r="E29" i="2" s="1"/>
  <c r="C32" i="58"/>
  <c r="C20" i="58" s="1"/>
  <c r="F6" i="2"/>
  <c r="F29" i="2" s="1"/>
  <c r="C32" i="59"/>
  <c r="G6" i="2"/>
  <c r="G29" i="2" l="1"/>
  <c r="G47" i="2"/>
  <c r="E47" i="2"/>
  <c r="E20" i="58"/>
  <c r="F17" i="2" s="1"/>
  <c r="E20" i="57"/>
  <c r="E17" i="2" s="1"/>
  <c r="F9" i="2"/>
  <c r="F35" i="2" s="1"/>
  <c r="C20" i="59"/>
  <c r="E20" i="59" s="1"/>
  <c r="F11" i="2"/>
  <c r="D11" i="2"/>
  <c r="D9" i="2"/>
  <c r="D35" i="2" s="1"/>
  <c r="F49" i="2" l="1"/>
  <c r="F43" i="2"/>
  <c r="E49" i="2"/>
  <c r="E43" i="2"/>
  <c r="E11" i="2"/>
  <c r="E9" i="2"/>
  <c r="E35" i="2" s="1"/>
  <c r="F16" i="2"/>
  <c r="F42" i="2" l="1"/>
  <c r="F47" i="2"/>
  <c r="D17" i="2"/>
  <c r="D49" i="2" l="1"/>
  <c r="D43" i="2"/>
  <c r="G17" i="2"/>
  <c r="B5" i="51"/>
  <c r="G49" i="2" l="1"/>
  <c r="G43" i="2"/>
  <c r="G8" i="50"/>
  <c r="E23" i="53" l="1"/>
  <c r="F23" i="53" s="1"/>
  <c r="G23" i="53" s="1"/>
  <c r="H23" i="53" s="1"/>
  <c r="I23" i="53" s="1"/>
  <c r="E22" i="53"/>
  <c r="F22" i="53" s="1"/>
  <c r="G22" i="53" s="1"/>
  <c r="H22" i="53" s="1"/>
  <c r="I22" i="53" s="1"/>
  <c r="E21" i="53"/>
  <c r="F21" i="53" s="1"/>
  <c r="G21" i="53" s="1"/>
  <c r="H21" i="53" s="1"/>
  <c r="I21" i="53" s="1"/>
  <c r="E11" i="53"/>
  <c r="D17" i="55" s="1"/>
  <c r="D18" i="55" s="1"/>
  <c r="D19" i="55" s="1"/>
  <c r="E19" i="53"/>
  <c r="F19" i="53" s="1"/>
  <c r="G19" i="53" s="1"/>
  <c r="H19" i="53" s="1"/>
  <c r="I19" i="53" s="1"/>
  <c r="I9" i="55"/>
  <c r="G22" i="51"/>
  <c r="B27" i="51"/>
  <c r="C56" i="2" s="1"/>
  <c r="B8" i="51"/>
  <c r="B7" i="51"/>
  <c r="C47" i="43"/>
  <c r="C31" i="43"/>
  <c r="C32" i="43" s="1"/>
  <c r="C6" i="43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K6" i="36"/>
  <c r="J6" i="36"/>
  <c r="I6" i="36"/>
  <c r="I5" i="36" s="1"/>
  <c r="H6" i="36"/>
  <c r="G6" i="36"/>
  <c r="E6" i="36"/>
  <c r="E5" i="36" s="1"/>
  <c r="K5" i="36"/>
  <c r="J5" i="36"/>
  <c r="D5" i="36"/>
  <c r="C5" i="36"/>
  <c r="D4" i="36"/>
  <c r="E4" i="36" s="1"/>
  <c r="F4" i="36" s="1"/>
  <c r="G4" i="36" s="1"/>
  <c r="H4" i="36" s="1"/>
  <c r="I4" i="36" s="1"/>
  <c r="J4" i="36" s="1"/>
  <c r="K4" i="36" s="1"/>
  <c r="L4" i="36" s="1"/>
  <c r="C5" i="2"/>
  <c r="H5" i="2" s="1"/>
  <c r="E20" i="53" l="1"/>
  <c r="F20" i="53" s="1"/>
  <c r="G20" i="53" s="1"/>
  <c r="H20" i="53" s="1"/>
  <c r="I20" i="53" s="1"/>
  <c r="D5" i="61"/>
  <c r="E10" i="36"/>
  <c r="E17" i="36" s="1"/>
  <c r="E19" i="36" s="1"/>
  <c r="C47" i="56"/>
  <c r="C22" i="56" s="1"/>
  <c r="E22" i="56" s="1"/>
  <c r="D19" i="2" s="1"/>
  <c r="D51" i="2" s="1"/>
  <c r="C47" i="58"/>
  <c r="C22" i="58" s="1"/>
  <c r="E22" i="58" s="1"/>
  <c r="F19" i="2" s="1"/>
  <c r="F51" i="2" s="1"/>
  <c r="C47" i="59"/>
  <c r="C22" i="59" s="1"/>
  <c r="E22" i="59" s="1"/>
  <c r="G19" i="2" s="1"/>
  <c r="G51" i="2" s="1"/>
  <c r="C47" i="57"/>
  <c r="C22" i="57" s="1"/>
  <c r="E22" i="57" s="1"/>
  <c r="E19" i="2" s="1"/>
  <c r="E51" i="2" s="1"/>
  <c r="C33" i="59"/>
  <c r="C10" i="59"/>
  <c r="K10" i="36"/>
  <c r="C22" i="43"/>
  <c r="E22" i="43" s="1"/>
  <c r="E6" i="43"/>
  <c r="C3" i="2" s="1"/>
  <c r="H3" i="2" s="1"/>
  <c r="C19" i="43"/>
  <c r="E19" i="43" s="1"/>
  <c r="C10" i="56"/>
  <c r="C33" i="43"/>
  <c r="C34" i="43" s="1"/>
  <c r="C40" i="43" s="1"/>
  <c r="C7" i="43"/>
  <c r="C10" i="43"/>
  <c r="B26" i="51"/>
  <c r="G5" i="36"/>
  <c r="M6" i="36"/>
  <c r="G10" i="36"/>
  <c r="J10" i="36"/>
  <c r="J17" i="36" s="1"/>
  <c r="J19" i="36" s="1"/>
  <c r="C10" i="36"/>
  <c r="C17" i="36" s="1"/>
  <c r="M15" i="36"/>
  <c r="H5" i="36"/>
  <c r="B10" i="51"/>
  <c r="I15" i="55"/>
  <c r="M7" i="36"/>
  <c r="M12" i="36"/>
  <c r="H10" i="36"/>
  <c r="D10" i="36"/>
  <c r="D17" i="36" s="1"/>
  <c r="M5" i="36"/>
  <c r="M11" i="36"/>
  <c r="F10" i="36"/>
  <c r="I10" i="36"/>
  <c r="I17" i="36" s="1"/>
  <c r="I19" i="36" s="1"/>
  <c r="L10" i="36"/>
  <c r="D27" i="51"/>
  <c r="E21" i="58" s="1"/>
  <c r="M13" i="36"/>
  <c r="K17" i="36"/>
  <c r="K19" i="36" s="1"/>
  <c r="M14" i="36"/>
  <c r="C11" i="43"/>
  <c r="E11" i="43" s="1"/>
  <c r="C12" i="43"/>
  <c r="E12" i="43" s="1"/>
  <c r="C13" i="43"/>
  <c r="E13" i="43" s="1"/>
  <c r="C20" i="43"/>
  <c r="E20" i="43" s="1"/>
  <c r="F5" i="61" l="1"/>
  <c r="G5" i="61" s="1"/>
  <c r="D6" i="61"/>
  <c r="F6" i="61" s="1"/>
  <c r="G6" i="61" s="1"/>
  <c r="D10" i="43"/>
  <c r="E10" i="43" s="1"/>
  <c r="C7" i="2" s="1"/>
  <c r="C30" i="2" s="1"/>
  <c r="D33" i="58"/>
  <c r="D33" i="43"/>
  <c r="D34" i="43" s="1"/>
  <c r="D40" i="43" s="1"/>
  <c r="D26" i="51"/>
  <c r="E18" i="56" s="1"/>
  <c r="D60" i="2" s="1"/>
  <c r="C57" i="2"/>
  <c r="C55" i="2" s="1"/>
  <c r="D10" i="59"/>
  <c r="D33" i="59"/>
  <c r="D34" i="59" s="1"/>
  <c r="D40" i="59" s="1"/>
  <c r="D33" i="56"/>
  <c r="D34" i="56" s="1"/>
  <c r="D40" i="56" s="1"/>
  <c r="D10" i="56"/>
  <c r="D15" i="56" s="1"/>
  <c r="D16" i="56" s="1"/>
  <c r="C9" i="43"/>
  <c r="E9" i="43" s="1"/>
  <c r="E7" i="43"/>
  <c r="C4" i="2" s="1"/>
  <c r="D21" i="58"/>
  <c r="C33" i="56"/>
  <c r="C34" i="56" s="1"/>
  <c r="C40" i="56" s="1"/>
  <c r="C14" i="43"/>
  <c r="E14" i="43" s="1"/>
  <c r="G17" i="36"/>
  <c r="G19" i="36" s="1"/>
  <c r="J26" i="51"/>
  <c r="E23" i="36"/>
  <c r="C18" i="36"/>
  <c r="D18" i="36" s="1"/>
  <c r="E18" i="36" s="1"/>
  <c r="C19" i="36"/>
  <c r="M10" i="36"/>
  <c r="D19" i="36"/>
  <c r="E22" i="36"/>
  <c r="H17" i="36"/>
  <c r="H19" i="36" s="1"/>
  <c r="E21" i="59"/>
  <c r="E21" i="56"/>
  <c r="E21" i="57"/>
  <c r="C17" i="2"/>
  <c r="C43" i="2" s="1"/>
  <c r="C9" i="2"/>
  <c r="C35" i="2" s="1"/>
  <c r="E21" i="43"/>
  <c r="E27" i="51"/>
  <c r="F27" i="51" s="1"/>
  <c r="G27" i="51" s="1"/>
  <c r="H27" i="51" s="1"/>
  <c r="M17" i="36"/>
  <c r="D15" i="43" l="1"/>
  <c r="E18" i="59"/>
  <c r="G60" i="2" s="1"/>
  <c r="E18" i="58"/>
  <c r="F60" i="2" s="1"/>
  <c r="D28" i="51"/>
  <c r="E26" i="51"/>
  <c r="F26" i="51" s="1"/>
  <c r="F28" i="51" s="1"/>
  <c r="E18" i="57"/>
  <c r="E60" i="2" s="1"/>
  <c r="E18" i="43"/>
  <c r="C18" i="43" s="1"/>
  <c r="M19" i="36"/>
  <c r="C33" i="57"/>
  <c r="C34" i="57" s="1"/>
  <c r="C40" i="57" s="1"/>
  <c r="C10" i="57"/>
  <c r="D15" i="59"/>
  <c r="D16" i="59" s="1"/>
  <c r="D10" i="58"/>
  <c r="D15" i="58" s="1"/>
  <c r="D16" i="58" s="1"/>
  <c r="D33" i="57"/>
  <c r="D34" i="57" s="1"/>
  <c r="D40" i="57" s="1"/>
  <c r="D10" i="57"/>
  <c r="D15" i="57" s="1"/>
  <c r="D16" i="57" s="1"/>
  <c r="H9" i="2"/>
  <c r="H35" i="2" s="1"/>
  <c r="I22" i="36"/>
  <c r="E10" i="56"/>
  <c r="D7" i="2" s="1"/>
  <c r="D30" i="2" s="1"/>
  <c r="H17" i="2"/>
  <c r="H43" i="2" s="1"/>
  <c r="F6" i="36"/>
  <c r="F5" i="36" s="1"/>
  <c r="F17" i="36" s="1"/>
  <c r="F19" i="36" s="1"/>
  <c r="H4" i="2"/>
  <c r="L6" i="36" s="1"/>
  <c r="L5" i="36" s="1"/>
  <c r="L17" i="36" s="1"/>
  <c r="L19" i="36" s="1"/>
  <c r="I23" i="36"/>
  <c r="D46" i="58"/>
  <c r="D21" i="56"/>
  <c r="C21" i="43"/>
  <c r="D21" i="43"/>
  <c r="D46" i="43" s="1"/>
  <c r="D48" i="43" s="1"/>
  <c r="D21" i="59"/>
  <c r="C18" i="59"/>
  <c r="C17" i="59" s="1"/>
  <c r="D21" i="57"/>
  <c r="D16" i="43"/>
  <c r="C6" i="2"/>
  <c r="C15" i="56"/>
  <c r="C20" i="36"/>
  <c r="D20" i="36" s="1"/>
  <c r="E20" i="36" s="1"/>
  <c r="C16" i="2"/>
  <c r="H16" i="2" s="1"/>
  <c r="F18" i="2"/>
  <c r="F50" i="2" s="1"/>
  <c r="C21" i="58"/>
  <c r="C46" i="58" s="1"/>
  <c r="D18" i="2"/>
  <c r="D50" i="2" s="1"/>
  <c r="C21" i="56"/>
  <c r="C46" i="56" s="1"/>
  <c r="C48" i="56" s="1"/>
  <c r="E18" i="2"/>
  <c r="E50" i="2" s="1"/>
  <c r="C21" i="57"/>
  <c r="C46" i="57" s="1"/>
  <c r="G18" i="2"/>
  <c r="G50" i="2" s="1"/>
  <c r="C21" i="59"/>
  <c r="C46" i="59" s="1"/>
  <c r="C8" i="2"/>
  <c r="C34" i="2" s="1"/>
  <c r="C10" i="2"/>
  <c r="C36" i="2" s="1"/>
  <c r="C15" i="43"/>
  <c r="I27" i="51"/>
  <c r="C19" i="2"/>
  <c r="H19" i="2" s="1"/>
  <c r="C18" i="2"/>
  <c r="C18" i="58" l="1"/>
  <c r="C17" i="58" s="1"/>
  <c r="C23" i="58" s="1"/>
  <c r="D18" i="59"/>
  <c r="D17" i="59" s="1"/>
  <c r="E17" i="59" s="1"/>
  <c r="E23" i="59" s="1"/>
  <c r="D18" i="58"/>
  <c r="D17" i="58" s="1"/>
  <c r="D23" i="58" s="1"/>
  <c r="D24" i="58" s="1"/>
  <c r="D25" i="58" s="1"/>
  <c r="D26" i="58" s="1"/>
  <c r="D27" i="58" s="1"/>
  <c r="C60" i="2"/>
  <c r="C18" i="57"/>
  <c r="C17" i="57" s="1"/>
  <c r="D18" i="57"/>
  <c r="D17" i="57" s="1"/>
  <c r="D23" i="57" s="1"/>
  <c r="D24" i="57" s="1"/>
  <c r="D31" i="2"/>
  <c r="D32" i="2" s="1"/>
  <c r="G26" i="51"/>
  <c r="H26" i="51" s="1"/>
  <c r="E28" i="51"/>
  <c r="H42" i="2"/>
  <c r="C42" i="2"/>
  <c r="C49" i="2"/>
  <c r="C29" i="2"/>
  <c r="C31" i="2" s="1"/>
  <c r="C32" i="2" s="1"/>
  <c r="C51" i="2"/>
  <c r="C50" i="2"/>
  <c r="C47" i="2"/>
  <c r="F20" i="36"/>
  <c r="G20" i="36" s="1"/>
  <c r="H20" i="36" s="1"/>
  <c r="I24" i="36" s="1"/>
  <c r="H18" i="2"/>
  <c r="F18" i="36"/>
  <c r="G18" i="36" s="1"/>
  <c r="H18" i="36" s="1"/>
  <c r="E24" i="36" s="1"/>
  <c r="H10" i="2"/>
  <c r="E10" i="57"/>
  <c r="E7" i="2" s="1"/>
  <c r="E30" i="2" s="1"/>
  <c r="H8" i="2"/>
  <c r="H34" i="2" s="1"/>
  <c r="C10" i="58"/>
  <c r="H6" i="2"/>
  <c r="C16" i="43"/>
  <c r="D46" i="59"/>
  <c r="D48" i="59" s="1"/>
  <c r="D46" i="57"/>
  <c r="D48" i="57" s="1"/>
  <c r="D46" i="56"/>
  <c r="D48" i="56" s="1"/>
  <c r="C16" i="56"/>
  <c r="E15" i="56"/>
  <c r="E16" i="56" s="1"/>
  <c r="D13" i="2" s="1"/>
  <c r="C48" i="57"/>
  <c r="C15" i="57"/>
  <c r="E15" i="57" s="1"/>
  <c r="C33" i="58"/>
  <c r="C34" i="58" s="1"/>
  <c r="C40" i="58" s="1"/>
  <c r="C48" i="58" s="1"/>
  <c r="C23" i="59"/>
  <c r="C11" i="2"/>
  <c r="H11" i="2" s="1"/>
  <c r="C46" i="43"/>
  <c r="C48" i="43" s="1"/>
  <c r="D23" i="59" l="1"/>
  <c r="D24" i="59" s="1"/>
  <c r="D25" i="59" s="1"/>
  <c r="D26" i="59" s="1"/>
  <c r="D27" i="59" s="1"/>
  <c r="E17" i="58"/>
  <c r="E23" i="58" s="1"/>
  <c r="F20" i="2" s="1"/>
  <c r="G28" i="51"/>
  <c r="E17" i="57"/>
  <c r="E14" i="2" s="1"/>
  <c r="E41" i="2" s="1"/>
  <c r="C23" i="57"/>
  <c r="C24" i="57" s="1"/>
  <c r="E31" i="2"/>
  <c r="E32" i="2" s="1"/>
  <c r="I20" i="36"/>
  <c r="J20" i="36" s="1"/>
  <c r="K20" i="36" s="1"/>
  <c r="L20" i="36" s="1"/>
  <c r="D25" i="57"/>
  <c r="D26" i="57" s="1"/>
  <c r="D27" i="57" s="1"/>
  <c r="I18" i="36"/>
  <c r="J18" i="36" s="1"/>
  <c r="K18" i="36" s="1"/>
  <c r="L18" i="36" s="1"/>
  <c r="E10" i="58"/>
  <c r="F7" i="2" s="1"/>
  <c r="F30" i="2" s="1"/>
  <c r="H47" i="2"/>
  <c r="H36" i="2"/>
  <c r="D34" i="58"/>
  <c r="D40" i="58" s="1"/>
  <c r="D48" i="58" s="1"/>
  <c r="H29" i="2"/>
  <c r="H51" i="2"/>
  <c r="H49" i="2"/>
  <c r="H50" i="2"/>
  <c r="D12" i="2"/>
  <c r="D38" i="2" s="1"/>
  <c r="E15" i="43"/>
  <c r="C16" i="57"/>
  <c r="C15" i="58"/>
  <c r="E15" i="58" s="1"/>
  <c r="C34" i="59"/>
  <c r="C40" i="59" s="1"/>
  <c r="C48" i="59" s="1"/>
  <c r="G14" i="2"/>
  <c r="G20" i="2"/>
  <c r="H28" i="51"/>
  <c r="I26" i="51"/>
  <c r="H60" i="2" s="1"/>
  <c r="E23" i="57" l="1"/>
  <c r="E24" i="57" s="1"/>
  <c r="E25" i="57" s="1"/>
  <c r="E26" i="57" s="1"/>
  <c r="E27" i="57" s="1"/>
  <c r="E24" i="2" s="1"/>
  <c r="F14" i="2"/>
  <c r="F48" i="2" s="1"/>
  <c r="E24" i="58"/>
  <c r="E48" i="2"/>
  <c r="C25" i="57"/>
  <c r="C26" i="57" s="1"/>
  <c r="C27" i="57" s="1"/>
  <c r="F31" i="2"/>
  <c r="F32" i="2" s="1"/>
  <c r="G41" i="2"/>
  <c r="G48" i="2"/>
  <c r="E10" i="59"/>
  <c r="G7" i="2" s="1"/>
  <c r="G30" i="2" s="1"/>
  <c r="E16" i="43"/>
  <c r="C12" i="2"/>
  <c r="C38" i="2" s="1"/>
  <c r="E16" i="58"/>
  <c r="C16" i="58"/>
  <c r="E12" i="2"/>
  <c r="E38" i="2" s="1"/>
  <c r="E16" i="57"/>
  <c r="E13" i="2" s="1"/>
  <c r="C24" i="58"/>
  <c r="E21" i="2" l="1"/>
  <c r="E53" i="2" s="1"/>
  <c r="E25" i="58"/>
  <c r="E26" i="58" s="1"/>
  <c r="F41" i="2"/>
  <c r="E20" i="2"/>
  <c r="E39" i="2" s="1"/>
  <c r="C25" i="58"/>
  <c r="C26" i="58" s="1"/>
  <c r="E22" i="2"/>
  <c r="G31" i="2"/>
  <c r="G32" i="2" s="1"/>
  <c r="C15" i="59"/>
  <c r="E15" i="59" s="1"/>
  <c r="H7" i="2"/>
  <c r="C13" i="2"/>
  <c r="F13" i="2"/>
  <c r="F12" i="2"/>
  <c r="F38" i="2" s="1"/>
  <c r="F39" i="2" s="1"/>
  <c r="E23" i="2"/>
  <c r="E27" i="58" l="1"/>
  <c r="F24" i="2" s="1"/>
  <c r="C27" i="58"/>
  <c r="E52" i="2"/>
  <c r="E59" i="2"/>
  <c r="E58" i="2" s="1"/>
  <c r="C24" i="59"/>
  <c r="C16" i="59"/>
  <c r="H12" i="2"/>
  <c r="H30" i="2"/>
  <c r="H31" i="2" s="1"/>
  <c r="H32" i="2" s="1"/>
  <c r="G12" i="2"/>
  <c r="G38" i="2" s="1"/>
  <c r="G39" i="2" s="1"/>
  <c r="E16" i="59"/>
  <c r="G13" i="2" s="1"/>
  <c r="E24" i="59"/>
  <c r="F21" i="2"/>
  <c r="F53" i="2" s="1"/>
  <c r="F22" i="2"/>
  <c r="E25" i="59" l="1"/>
  <c r="E26" i="59" s="1"/>
  <c r="F23" i="2"/>
  <c r="F52" i="2" s="1"/>
  <c r="C25" i="59"/>
  <c r="C26" i="59" s="1"/>
  <c r="H13" i="2"/>
  <c r="H38" i="2"/>
  <c r="G21" i="2"/>
  <c r="G53" i="2" s="1"/>
  <c r="G22" i="2"/>
  <c r="F59" i="2" l="1"/>
  <c r="F58" i="2" s="1"/>
  <c r="C27" i="59"/>
  <c r="D18" i="43"/>
  <c r="D17" i="43" s="1"/>
  <c r="D23" i="43" s="1"/>
  <c r="D24" i="43" s="1"/>
  <c r="D25" i="43" s="1"/>
  <c r="C17" i="43"/>
  <c r="G23" i="2" l="1"/>
  <c r="E27" i="59"/>
  <c r="G24" i="2" s="1"/>
  <c r="E17" i="43"/>
  <c r="C23" i="43"/>
  <c r="C24" i="43" s="1"/>
  <c r="C25" i="43" s="1"/>
  <c r="D26" i="43"/>
  <c r="D27" i="43" s="1"/>
  <c r="G59" i="2" l="1"/>
  <c r="G58" i="2" s="1"/>
  <c r="G52" i="2"/>
  <c r="E23" i="43"/>
  <c r="E24" i="43" s="1"/>
  <c r="E25" i="43" s="1"/>
  <c r="C14" i="2"/>
  <c r="C26" i="43"/>
  <c r="E26" i="43" l="1"/>
  <c r="E27" i="43" s="1"/>
  <c r="C41" i="2"/>
  <c r="C48" i="2"/>
  <c r="C27" i="43"/>
  <c r="C20" i="2"/>
  <c r="C39" i="2" s="1"/>
  <c r="C21" i="2" l="1"/>
  <c r="C53" i="2" l="1"/>
  <c r="C22" i="2"/>
  <c r="C23" i="2" s="1"/>
  <c r="C59" i="2" l="1"/>
  <c r="C58" i="2" s="1"/>
  <c r="C52" i="2"/>
  <c r="C24" i="2"/>
  <c r="D18" i="56"/>
  <c r="D17" i="56" s="1"/>
  <c r="D23" i="56" s="1"/>
  <c r="D24" i="56" s="1"/>
  <c r="D25" i="56" s="1"/>
  <c r="C18" i="56"/>
  <c r="C17" i="56" s="1"/>
  <c r="C23" i="56" l="1"/>
  <c r="C24" i="56" s="1"/>
  <c r="C25" i="56" s="1"/>
  <c r="E17" i="56"/>
  <c r="D26" i="56"/>
  <c r="D27" i="56" s="1"/>
  <c r="D14" i="2" l="1"/>
  <c r="E23" i="56"/>
  <c r="C26" i="56"/>
  <c r="D48" i="2" l="1"/>
  <c r="D41" i="2"/>
  <c r="C27" i="56"/>
  <c r="E24" i="56"/>
  <c r="D20" i="2"/>
  <c r="H14" i="2"/>
  <c r="E25" i="56" l="1"/>
  <c r="E26" i="56" s="1"/>
  <c r="H20" i="2"/>
  <c r="D39" i="2"/>
  <c r="H41" i="2"/>
  <c r="H48" i="2"/>
  <c r="D21" i="2"/>
  <c r="D53" i="2" s="1"/>
  <c r="D22" i="2" l="1"/>
  <c r="D23" i="2"/>
  <c r="D52" i="2" s="1"/>
  <c r="E27" i="56"/>
  <c r="D24" i="2" s="1"/>
  <c r="H39" i="2"/>
  <c r="H21" i="2"/>
  <c r="H22" i="2" s="1"/>
  <c r="D59" i="2" l="1"/>
  <c r="D58" i="2" s="1"/>
  <c r="H23" i="2"/>
  <c r="H53" i="2"/>
  <c r="H24" i="2" l="1"/>
  <c r="H52" i="2"/>
  <c r="H59" i="2"/>
  <c r="H58" i="2" s="1"/>
</calcChain>
</file>

<file path=xl/comments1.xml><?xml version="1.0" encoding="utf-8"?>
<comments xmlns="http://schemas.openxmlformats.org/spreadsheetml/2006/main">
  <authors>
    <author>作者</author>
  </authors>
  <commentList>
    <comment ref="J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3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2021.11月河北报表数据</t>
        </r>
      </text>
    </comment>
    <comment ref="E17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2021.11月河北报表数据</t>
        </r>
      </text>
    </comment>
    <comment ref="E31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2021.11月河北报表数据</t>
        </r>
      </text>
    </comment>
    <comment ref="E44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2021.11月河北报表数据</t>
        </r>
      </text>
    </comment>
    <comment ref="E57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2021.11月河北报表数据</t>
        </r>
      </text>
    </comment>
    <comment ref="E70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2021.11月河北报表数据</t>
        </r>
      </text>
    </comment>
  </commentList>
</comments>
</file>

<file path=xl/sharedStrings.xml><?xml version="1.0" encoding="utf-8"?>
<sst xmlns="http://schemas.openxmlformats.org/spreadsheetml/2006/main" count="1363" uniqueCount="297">
  <si>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</si>
  <si>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</si>
  <si>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</si>
  <si>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</si>
  <si>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</si>
  <si>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</si>
  <si>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材料成本</t>
  </si>
  <si>
    <t>单台材料成本为未税价格。</t>
  </si>
  <si>
    <t>变动费用</t>
  </si>
  <si>
    <t>固定费用</t>
  </si>
  <si>
    <t>预测工厂产能满足客户订单。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</si>
  <si>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</si>
  <si>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</si>
  <si>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</si>
  <si>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</si>
  <si>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2022年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</si>
  <si>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</si>
  <si>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</si>
  <si>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</si>
  <si>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</si>
  <si>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</si>
  <si>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</si>
  <si>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</si>
  <si>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</si>
  <si>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</si>
  <si>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</si>
  <si>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</si>
  <si>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</si>
  <si>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</si>
  <si>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</si>
  <si>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</si>
  <si>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</si>
  <si>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</si>
  <si>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</si>
  <si>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</si>
  <si>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</si>
  <si>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</si>
  <si>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</si>
  <si>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</si>
  <si>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</si>
  <si>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</si>
  <si>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</si>
  <si>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</si>
  <si>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</si>
  <si>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</si>
  <si>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</si>
  <si>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</si>
  <si>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</si>
  <si>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</si>
  <si>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</si>
  <si>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</si>
  <si>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</si>
  <si>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</si>
  <si>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</si>
  <si>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</si>
  <si>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</si>
  <si>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</si>
  <si>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</si>
  <si>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</si>
  <si>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</si>
  <si>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</si>
  <si>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</si>
  <si>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</si>
  <si>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r>
      <rPr>
        <b/>
        <sz val="10"/>
        <rFont val="CorpoS"/>
        <family val="1"/>
      </rPr>
      <t>2021年</t>
    </r>
  </si>
  <si>
    <r>
      <rPr>
        <b/>
        <sz val="10"/>
        <rFont val="CorpoS"/>
        <family val="1"/>
      </rPr>
      <t>2023年</t>
    </r>
  </si>
  <si>
    <r>
      <rPr>
        <b/>
        <sz val="10"/>
        <rFont val="CorpoS"/>
        <family val="1"/>
      </rPr>
      <t>2024年</t>
    </r>
  </si>
  <si>
    <r>
      <rPr>
        <b/>
        <sz val="10"/>
        <rFont val="CorpoS"/>
        <family val="1"/>
      </rPr>
      <t>2025年</t>
    </r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</si>
  <si>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</si>
  <si>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</si>
  <si>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</si>
  <si>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</si>
  <si>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</si>
  <si>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</si>
  <si>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</si>
  <si>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</si>
  <si>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</si>
  <si>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</si>
  <si>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</si>
  <si>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</si>
  <si>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</si>
  <si>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</si>
  <si>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</si>
  <si>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</si>
  <si>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</si>
  <si>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</si>
  <si>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</si>
  <si>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</si>
  <si>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</si>
  <si>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</si>
  <si>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</si>
  <si>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</si>
  <si>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</si>
  <si>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</si>
  <si>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</si>
  <si>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</si>
  <si>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</si>
  <si>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</si>
  <si>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</si>
  <si>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</si>
  <si>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</si>
  <si>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</si>
  <si>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</si>
  <si>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</si>
  <si>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</si>
  <si>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</si>
  <si>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</si>
  <si>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</si>
  <si>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</si>
  <si>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</si>
  <si>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</si>
  <si>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</si>
  <si>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</si>
  <si>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</si>
  <si>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</si>
  <si>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</si>
  <si>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</si>
  <si>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</si>
  <si>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</si>
  <si>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</si>
  <si>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</si>
  <si>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</si>
  <si>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</si>
  <si>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</si>
  <si>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</si>
  <si>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</si>
  <si>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</si>
  <si>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</si>
  <si>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</si>
  <si>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</si>
  <si>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</si>
  <si>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</si>
  <si>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</si>
  <si>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</si>
  <si>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</si>
  <si>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</si>
  <si>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</si>
  <si>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</si>
  <si>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</si>
  <si>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</si>
  <si>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</si>
  <si>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</si>
  <si>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</si>
  <si>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</si>
  <si>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</si>
  <si>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</si>
  <si>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</si>
  <si>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</si>
  <si>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</si>
  <si>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</si>
  <si>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</si>
  <si>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</si>
  <si>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</si>
  <si>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</si>
  <si>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</si>
  <si>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</si>
  <si>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</si>
  <si>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</si>
  <si>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</si>
  <si>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</si>
  <si>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</si>
  <si>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</si>
  <si>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</si>
  <si>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</si>
  <si>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</si>
  <si>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</si>
  <si>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</si>
  <si>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</si>
  <si>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</si>
  <si>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</si>
  <si>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</si>
  <si>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</si>
  <si>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</si>
  <si>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</si>
  <si>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</si>
  <si>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</si>
  <si>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</si>
  <si>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</si>
  <si>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</si>
  <si>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</si>
  <si>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</si>
  <si>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</si>
  <si>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</si>
  <si>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</si>
  <si>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</si>
  <si>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</si>
  <si>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</si>
  <si>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2024年</t>
  </si>
  <si>
    <t>2025年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</si>
  <si>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</si>
  <si>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</si>
  <si>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</si>
  <si>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</si>
  <si>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</si>
  <si>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</si>
  <si>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</si>
  <si>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</si>
  <si>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</si>
  <si>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</si>
  <si>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</si>
  <si>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</si>
  <si>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</si>
  <si>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</si>
  <si>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</si>
  <si>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</si>
  <si>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</si>
  <si>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</si>
  <si>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</si>
  <si>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</si>
  <si>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</si>
  <si>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</si>
  <si>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</si>
  <si>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</si>
  <si>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</si>
  <si>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</si>
  <si>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</si>
  <si>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</si>
  <si>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</si>
  <si>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</si>
  <si>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</si>
  <si>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</si>
  <si>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</si>
  <si>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</si>
  <si>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</si>
  <si>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</si>
  <si>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8" type="noConversion"/>
  </si>
  <si>
    <t>座椅单件金额</t>
    <phoneticPr fontId="38" type="noConversion"/>
  </si>
  <si>
    <t>后视镜单件金额</t>
    <phoneticPr fontId="38" type="noConversion"/>
  </si>
  <si>
    <t>综合占收入比率</t>
    <phoneticPr fontId="38" type="noConversion"/>
  </si>
  <si>
    <t>后视镜占收入比率</t>
    <phoneticPr fontId="38" type="noConversion"/>
  </si>
  <si>
    <t>座椅占收入比率</t>
    <phoneticPr fontId="38" type="noConversion"/>
  </si>
  <si>
    <t>产品名称</t>
    <phoneticPr fontId="38" type="noConversion"/>
  </si>
  <si>
    <t>材料成本</t>
    <phoneticPr fontId="38" type="noConversion"/>
  </si>
  <si>
    <t>2026年</t>
  </si>
  <si>
    <t xml:space="preserve">2022年  </t>
    <phoneticPr fontId="38" type="noConversion"/>
  </si>
  <si>
    <t xml:space="preserve">2023年  </t>
    <phoneticPr fontId="38" type="noConversion"/>
  </si>
  <si>
    <t xml:space="preserve">2024年  </t>
    <phoneticPr fontId="38" type="noConversion"/>
  </si>
  <si>
    <t xml:space="preserve">2025年  </t>
    <phoneticPr fontId="38" type="noConversion"/>
  </si>
  <si>
    <t xml:space="preserve">2026年  </t>
    <phoneticPr fontId="38" type="noConversion"/>
  </si>
  <si>
    <t>陕汽</t>
    <phoneticPr fontId="38" type="noConversion"/>
  </si>
  <si>
    <t>产品图号</t>
    <phoneticPr fontId="38" type="noConversion"/>
  </si>
  <si>
    <t>名称</t>
    <phoneticPr fontId="38" type="noConversion"/>
  </si>
  <si>
    <t>附加值</t>
    <phoneticPr fontId="38" type="noConversion"/>
  </si>
  <si>
    <t>附加值率</t>
    <phoneticPr fontId="38" type="noConversion"/>
  </si>
  <si>
    <t>备注</t>
    <phoneticPr fontId="38" type="noConversion"/>
  </si>
  <si>
    <t>所得税(税率15%）</t>
    <phoneticPr fontId="38" type="noConversion"/>
  </si>
  <si>
    <r>
      <t>研发费用按照产销量摊销，</t>
    </r>
    <r>
      <rPr>
        <sz val="12"/>
        <color rgb="FFFF0000"/>
        <rFont val="微软雅黑"/>
        <family val="2"/>
        <charset val="134"/>
      </rPr>
      <t>营销部门需承诺未完成摊销部分客户支付</t>
    </r>
    <r>
      <rPr>
        <sz val="12"/>
        <rFont val="微软雅黑"/>
        <family val="2"/>
        <charset val="134"/>
      </rPr>
      <t>。</t>
    </r>
    <phoneticPr fontId="38" type="noConversion"/>
  </si>
  <si>
    <t>财务费用按河北水平，未考虑投资资金时间价值。</t>
    <phoneticPr fontId="38" type="noConversion"/>
  </si>
  <si>
    <t xml:space="preserve">   5 年</t>
    <phoneticPr fontId="38" type="noConversion"/>
  </si>
  <si>
    <t>供应商年降：     5  年  4 %</t>
    <phoneticPr fontId="38" type="noConversion"/>
  </si>
  <si>
    <t>材料成本年降汇总表4%</t>
    <phoneticPr fontId="38" type="noConversion"/>
  </si>
  <si>
    <t>合计</t>
    <phoneticPr fontId="38" type="noConversion"/>
  </si>
  <si>
    <t xml:space="preserve"> </t>
    <phoneticPr fontId="38" type="noConversion"/>
  </si>
  <si>
    <r>
      <t xml:space="preserve">陕汽轩德翼6经济座椅项目投资收益分析            </t>
    </r>
    <r>
      <rPr>
        <sz val="10"/>
        <color theme="1"/>
        <rFont val="微软雅黑"/>
        <family val="2"/>
        <charset val="134"/>
      </rPr>
      <t>单位：元</t>
    </r>
    <phoneticPr fontId="38" type="noConversion"/>
  </si>
  <si>
    <t>正司机座椅总成</t>
    <phoneticPr fontId="35" type="noConversion"/>
  </si>
  <si>
    <t>副司机座椅总成</t>
    <phoneticPr fontId="35" type="noConversion"/>
  </si>
  <si>
    <t>KZ14221510012</t>
    <phoneticPr fontId="35" type="noConversion"/>
  </si>
  <si>
    <t>KZ14221510013</t>
    <phoneticPr fontId="35" type="noConversion"/>
  </si>
  <si>
    <t>气囊减震、靠背调节、单扶手、滑轨</t>
    <phoneticPr fontId="35" type="noConversion"/>
  </si>
  <si>
    <t>2023年</t>
    <phoneticPr fontId="38" type="noConversion"/>
  </si>
  <si>
    <t>2027年</t>
  </si>
  <si>
    <t xml:space="preserve">轩德翼6经济座椅项目研发费用预算表 </t>
    <phoneticPr fontId="38" type="noConversion"/>
  </si>
  <si>
    <t xml:space="preserve"> </t>
    <phoneticPr fontId="35" type="noConversion"/>
  </si>
  <si>
    <r>
      <t>2023</t>
    </r>
    <r>
      <rPr>
        <b/>
        <sz val="10"/>
        <rFont val="宋体"/>
        <family val="3"/>
        <charset val="134"/>
      </rPr>
      <t>年</t>
    </r>
    <phoneticPr fontId="38" type="noConversion"/>
  </si>
  <si>
    <r>
      <t>2024年</t>
    </r>
    <r>
      <rPr>
        <b/>
        <sz val="10"/>
        <rFont val="宋体"/>
        <family val="3"/>
        <charset val="134"/>
      </rPr>
      <t/>
    </r>
  </si>
  <si>
    <r>
      <t>2025年</t>
    </r>
    <r>
      <rPr>
        <b/>
        <sz val="10"/>
        <rFont val="宋体"/>
        <family val="3"/>
        <charset val="134"/>
      </rPr>
      <t/>
    </r>
  </si>
  <si>
    <r>
      <t>2026年</t>
    </r>
    <r>
      <rPr>
        <b/>
        <sz val="10"/>
        <rFont val="宋体"/>
        <family val="3"/>
        <charset val="134"/>
      </rPr>
      <t/>
    </r>
  </si>
  <si>
    <r>
      <t>2027年</t>
    </r>
    <r>
      <rPr>
        <b/>
        <sz val="10"/>
        <rFont val="宋体"/>
        <family val="3"/>
        <charset val="134"/>
      </rPr>
      <t/>
    </r>
  </si>
  <si>
    <t>ZY2256</t>
    <phoneticPr fontId="38" type="noConversion"/>
  </si>
  <si>
    <t>总成</t>
    <phoneticPr fontId="38" type="noConversion"/>
  </si>
  <si>
    <t>2023年</t>
    <phoneticPr fontId="38" type="noConversion"/>
  </si>
  <si>
    <t>成本</t>
    <phoneticPr fontId="38" type="noConversion"/>
  </si>
  <si>
    <t>附加值</t>
    <phoneticPr fontId="38" type="noConversion"/>
  </si>
  <si>
    <t>附加值率</t>
    <phoneticPr fontId="38" type="noConversion"/>
  </si>
  <si>
    <t>无</t>
    <phoneticPr fontId="35" type="noConversion"/>
  </si>
  <si>
    <t>开发费分摊情况</t>
  </si>
  <si>
    <t>产品应用场景</t>
  </si>
  <si>
    <t>三包周期</t>
  </si>
  <si>
    <t>西安工厂</t>
    <phoneticPr fontId="35" type="noConversion"/>
  </si>
  <si>
    <t>西安宝鸡</t>
    <phoneticPr fontId="35" type="noConversion"/>
  </si>
  <si>
    <t>送货地点</t>
    <phoneticPr fontId="35" type="noConversion"/>
  </si>
  <si>
    <t>电子承兑/卡信</t>
    <phoneticPr fontId="35" type="noConversion"/>
  </si>
  <si>
    <t>现汇或承兑的比例</t>
    <phoneticPr fontId="35" type="noConversion"/>
  </si>
  <si>
    <t>纸箱汽运</t>
    <phoneticPr fontId="35" type="noConversion"/>
  </si>
  <si>
    <t>同现供老翼6产品</t>
    <phoneticPr fontId="35" type="noConversion"/>
  </si>
  <si>
    <t>待商定</t>
    <phoneticPr fontId="35" type="noConversion"/>
  </si>
  <si>
    <t>包含所有的主、辅料</t>
    <phoneticPr fontId="35" type="noConversion"/>
  </si>
  <si>
    <t>分摊</t>
    <phoneticPr fontId="35" type="noConversion"/>
  </si>
  <si>
    <t>公路载货车</t>
    <phoneticPr fontId="35" type="noConversion"/>
  </si>
  <si>
    <t>其他</t>
    <phoneticPr fontId="35" type="noConversion"/>
  </si>
  <si>
    <t>涂红色处为必填项</t>
    <phoneticPr fontId="35" type="noConversion"/>
  </si>
  <si>
    <t>附加值汇总表（未税、元）</t>
    <phoneticPr fontId="38" type="noConversion"/>
  </si>
  <si>
    <t>预计销价</t>
    <phoneticPr fontId="38" type="noConversion"/>
  </si>
  <si>
    <t>预计成本</t>
    <phoneticPr fontId="38" type="noConversion"/>
  </si>
  <si>
    <t>变动费用参考西安工厂2021年实际及2022预算暂估。</t>
    <phoneticPr fontId="38" type="noConversion"/>
  </si>
  <si>
    <t>参考西安工厂2021年数据</t>
    <phoneticPr fontId="38" type="noConversion"/>
  </si>
  <si>
    <t>销售价格（未税）：由营销经理提供，包括年降4%。</t>
    <phoneticPr fontId="38" type="noConversion"/>
  </si>
  <si>
    <t>部分成本预估。供应商年降与销价连降幅度持平。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</si>
</sst>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  <numFmt numFmtId="180" formatCode="0.0%"/>
  </numFmts>
  <fonts count="5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color rgb="FFFF0000"/>
      <name val="微软雅黑"/>
      <family val="2"/>
      <charset val="134"/>
    </font>
    <font>
      <sz val="14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1"/>
      <color rgb="FFFF0000"/>
      <name val="微软雅黑"/>
      <family val="2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1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0" fontId="28" fillId="0" borderId="0"/>
    <xf numFmtId="9" fontId="37" fillId="0" borderId="0" applyFont="0" applyFill="0" applyBorder="0" applyAlignment="0" applyProtection="0">
      <alignment vertical="center"/>
    </xf>
    <xf numFmtId="0" fontId="31" fillId="0" borderId="0"/>
    <xf numFmtId="0" fontId="30" fillId="0" borderId="0">
      <alignment vertical="center"/>
    </xf>
    <xf numFmtId="0" fontId="29" fillId="0" borderId="0"/>
    <xf numFmtId="1" fontId="32" fillId="0" borderId="1" applyBorder="0"/>
    <xf numFmtId="43" fontId="33" fillId="0" borderId="0" applyFont="0" applyFill="0" applyBorder="0" applyAlignment="0" applyProtection="0">
      <alignment vertical="center"/>
    </xf>
    <xf numFmtId="0" fontId="29" fillId="0" borderId="0"/>
    <xf numFmtId="0" fontId="40" fillId="0" borderId="1" applyNumberFormat="0" applyFill="0" applyBorder="0" applyAlignment="0" applyProtection="0">
      <alignment vertical="center"/>
    </xf>
  </cellStyleXfs>
  <cellXfs count="28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43" fontId="2" fillId="2" borderId="1" xfId="1" applyFont="1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>
      <alignment vertical="center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178" fontId="2" fillId="0" borderId="0" xfId="1" applyNumberFormat="1" applyFo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178" fontId="5" fillId="3" borderId="1" xfId="0" applyNumberFormat="1" applyFont="1" applyFill="1" applyBorder="1" applyAlignment="1">
      <alignment horizontal="center" wrapText="1" readingOrder="1"/>
    </xf>
    <xf numFmtId="43" fontId="2" fillId="0" borderId="0" xfId="1" applyFont="1">
      <alignment vertical="center"/>
    </xf>
    <xf numFmtId="178" fontId="7" fillId="3" borderId="1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177" fontId="9" fillId="5" borderId="1" xfId="4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center" vertical="center" wrapText="1"/>
    </xf>
    <xf numFmtId="0" fontId="9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10" fillId="0" borderId="1" xfId="4" applyNumberFormat="1" applyFont="1" applyFill="1" applyBorder="1" applyAlignment="1">
      <alignment horizontal="left" vertical="center"/>
    </xf>
    <xf numFmtId="43" fontId="10" fillId="2" borderId="1" xfId="1" applyFont="1" applyFill="1" applyBorder="1" applyAlignment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43" fontId="10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10" fillId="0" borderId="4" xfId="4" applyNumberFormat="1" applyFont="1" applyFill="1" applyBorder="1" applyAlignment="1">
      <alignment horizontal="center" vertical="center"/>
    </xf>
    <xf numFmtId="177" fontId="10" fillId="0" borderId="4" xfId="4" applyNumberFormat="1" applyFont="1" applyFill="1" applyBorder="1" applyAlignment="1">
      <alignment horizontal="left" vertical="center" wrapText="1"/>
    </xf>
    <xf numFmtId="0" fontId="13" fillId="4" borderId="1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43" fontId="16" fillId="0" borderId="0" xfId="1" applyFont="1" applyFill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7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>
      <alignment vertical="center"/>
    </xf>
    <xf numFmtId="0" fontId="18" fillId="0" borderId="1" xfId="0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/>
    </xf>
    <xf numFmtId="0" fontId="18" fillId="0" borderId="1" xfId="0" applyFont="1" applyFill="1" applyBorder="1">
      <alignment vertical="center"/>
    </xf>
    <xf numFmtId="9" fontId="16" fillId="0" borderId="1" xfId="3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16" fillId="0" borderId="1" xfId="1" applyFont="1" applyFill="1" applyBorder="1">
      <alignment vertical="center"/>
    </xf>
    <xf numFmtId="0" fontId="15" fillId="0" borderId="1" xfId="0" applyFont="1" applyFill="1" applyBorder="1">
      <alignment vertical="center"/>
    </xf>
    <xf numFmtId="9" fontId="16" fillId="0" borderId="1" xfId="3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43" fontId="16" fillId="0" borderId="1" xfId="0" applyNumberFormat="1" applyFont="1" applyFill="1" applyBorder="1">
      <alignment vertical="center"/>
    </xf>
    <xf numFmtId="43" fontId="15" fillId="0" borderId="1" xfId="1" applyFont="1" applyFill="1" applyBorder="1">
      <alignment vertical="center"/>
    </xf>
    <xf numFmtId="43" fontId="16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6" fillId="0" borderId="0" xfId="0" applyNumberFormat="1" applyFont="1" applyFill="1">
      <alignment vertical="center"/>
    </xf>
    <xf numFmtId="0" fontId="19" fillId="0" borderId="0" xfId="0" applyFont="1" applyFill="1">
      <alignment vertical="center"/>
    </xf>
    <xf numFmtId="179" fontId="16" fillId="0" borderId="0" xfId="0" applyNumberFormat="1" applyFont="1" applyFill="1">
      <alignment vertical="center"/>
    </xf>
    <xf numFmtId="1" fontId="10" fillId="4" borderId="0" xfId="2" applyNumberFormat="1" applyFont="1" applyFill="1" applyProtection="1"/>
    <xf numFmtId="0" fontId="10" fillId="4" borderId="0" xfId="2" applyFont="1" applyFill="1" applyProtection="1"/>
    <xf numFmtId="0" fontId="20" fillId="4" borderId="0" xfId="2" applyFont="1" applyFill="1" applyAlignment="1" applyProtection="1">
      <alignment horizontal="centerContinuous"/>
    </xf>
    <xf numFmtId="0" fontId="10" fillId="4" borderId="0" xfId="2" applyFont="1" applyFill="1" applyAlignment="1">
      <alignment horizontal="centerContinuous"/>
    </xf>
    <xf numFmtId="0" fontId="10" fillId="4" borderId="0" xfId="2" applyFont="1" applyFill="1" applyAlignment="1" applyProtection="1">
      <alignment horizontal="centerContinuous"/>
    </xf>
    <xf numFmtId="9" fontId="10" fillId="4" borderId="0" xfId="2" applyNumberFormat="1" applyFont="1" applyFill="1" applyProtection="1"/>
    <xf numFmtId="0" fontId="10" fillId="4" borderId="5" xfId="2" applyFont="1" applyFill="1" applyBorder="1" applyAlignment="1" applyProtection="1">
      <alignment horizontal="center"/>
    </xf>
    <xf numFmtId="0" fontId="12" fillId="4" borderId="1" xfId="2" applyFont="1" applyFill="1" applyBorder="1" applyAlignment="1" applyProtection="1">
      <alignment horizontal="center"/>
    </xf>
    <xf numFmtId="0" fontId="12" fillId="4" borderId="2" xfId="2" applyFont="1" applyFill="1" applyBorder="1" applyAlignment="1" applyProtection="1">
      <alignment horizontal="center"/>
    </xf>
    <xf numFmtId="1" fontId="12" fillId="4" borderId="2" xfId="7" applyFont="1" applyFill="1" applyBorder="1"/>
    <xf numFmtId="1" fontId="10" fillId="4" borderId="2" xfId="7" applyFont="1" applyFill="1" applyBorder="1"/>
    <xf numFmtId="0" fontId="10" fillId="4" borderId="6" xfId="2" applyFont="1" applyFill="1" applyBorder="1" applyProtection="1"/>
    <xf numFmtId="0" fontId="10" fillId="4" borderId="1" xfId="2" applyFont="1" applyFill="1" applyBorder="1" applyAlignment="1" applyProtection="1">
      <alignment horizontal="center"/>
    </xf>
    <xf numFmtId="0" fontId="10" fillId="4" borderId="1" xfId="2" applyFont="1" applyFill="1" applyBorder="1" applyAlignment="1" applyProtection="1">
      <alignment horizontal="left"/>
    </xf>
    <xf numFmtId="0" fontId="10" fillId="6" borderId="1" xfId="2" applyFont="1" applyFill="1" applyBorder="1" applyProtection="1"/>
    <xf numFmtId="178" fontId="10" fillId="6" borderId="1" xfId="1" applyNumberFormat="1" applyFont="1" applyFill="1" applyBorder="1" applyAlignment="1" applyProtection="1"/>
    <xf numFmtId="0" fontId="10" fillId="4" borderId="1" xfId="2" applyFont="1" applyFill="1" applyBorder="1" applyProtection="1"/>
    <xf numFmtId="178" fontId="10" fillId="4" borderId="1" xfId="1" applyNumberFormat="1" applyFont="1" applyFill="1" applyBorder="1" applyAlignment="1" applyProtection="1"/>
    <xf numFmtId="0" fontId="10" fillId="4" borderId="1" xfId="2" applyNumberFormat="1" applyFont="1" applyFill="1" applyBorder="1" applyAlignment="1" applyProtection="1">
      <alignment horizontal="left"/>
    </xf>
    <xf numFmtId="1" fontId="10" fillId="4" borderId="1" xfId="2" applyNumberFormat="1" applyFont="1" applyFill="1" applyBorder="1" applyProtection="1"/>
    <xf numFmtId="1" fontId="10" fillId="4" borderId="1" xfId="2" applyNumberFormat="1" applyFont="1" applyFill="1" applyBorder="1" applyAlignment="1" applyProtection="1">
      <alignment horizontal="left"/>
    </xf>
    <xf numFmtId="0" fontId="10" fillId="4" borderId="9" xfId="2" applyFont="1" applyFill="1" applyBorder="1" applyProtection="1"/>
    <xf numFmtId="0" fontId="10" fillId="4" borderId="10" xfId="2" applyFont="1" applyFill="1" applyBorder="1" applyProtection="1"/>
    <xf numFmtId="0" fontId="10" fillId="4" borderId="11" xfId="2" applyFont="1" applyFill="1" applyBorder="1" applyProtection="1"/>
    <xf numFmtId="0" fontId="10" fillId="4" borderId="0" xfId="2" applyFont="1" applyFill="1" applyBorder="1" applyProtection="1"/>
    <xf numFmtId="176" fontId="10" fillId="4" borderId="0" xfId="2" applyNumberFormat="1" applyFont="1" applyFill="1" applyBorder="1" applyProtection="1"/>
    <xf numFmtId="10" fontId="10" fillId="4" borderId="0" xfId="2" applyNumberFormat="1" applyFont="1" applyFill="1" applyBorder="1" applyProtection="1"/>
    <xf numFmtId="1" fontId="10" fillId="4" borderId="0" xfId="2" applyNumberFormat="1" applyFont="1" applyFill="1" applyBorder="1" applyProtection="1"/>
    <xf numFmtId="0" fontId="10" fillId="4" borderId="12" xfId="2" applyFont="1" applyFill="1" applyBorder="1" applyProtection="1"/>
    <xf numFmtId="0" fontId="10" fillId="4" borderId="8" xfId="2" applyFont="1" applyFill="1" applyBorder="1" applyProtection="1"/>
    <xf numFmtId="2" fontId="10" fillId="4" borderId="8" xfId="2" applyNumberFormat="1" applyFont="1" applyFill="1" applyBorder="1" applyProtection="1"/>
    <xf numFmtId="0" fontId="10" fillId="4" borderId="3" xfId="2" applyFont="1" applyFill="1" applyBorder="1"/>
    <xf numFmtId="1" fontId="10" fillId="4" borderId="6" xfId="7" applyFont="1" applyFill="1" applyBorder="1" applyAlignment="1">
      <alignment horizontal="center"/>
    </xf>
    <xf numFmtId="0" fontId="10" fillId="4" borderId="13" xfId="2" applyFont="1" applyFill="1" applyBorder="1" applyProtection="1"/>
    <xf numFmtId="0" fontId="10" fillId="4" borderId="14" xfId="2" applyFont="1" applyFill="1" applyBorder="1" applyProtection="1"/>
    <xf numFmtId="0" fontId="10" fillId="4" borderId="15" xfId="2" applyFont="1" applyFill="1" applyBorder="1" applyProtection="1"/>
    <xf numFmtId="0" fontId="15" fillId="0" borderId="0" xfId="0" applyFont="1">
      <alignment vertical="center"/>
    </xf>
    <xf numFmtId="0" fontId="16" fillId="0" borderId="0" xfId="0" applyFont="1" applyBorder="1">
      <alignment vertical="center"/>
    </xf>
    <xf numFmtId="0" fontId="16" fillId="0" borderId="0" xfId="0" applyFont="1">
      <alignment vertical="center"/>
    </xf>
    <xf numFmtId="43" fontId="16" fillId="0" borderId="0" xfId="1" applyFont="1">
      <alignment vertical="center"/>
    </xf>
    <xf numFmtId="43" fontId="22" fillId="0" borderId="1" xfId="1" applyFont="1" applyFill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/>
    </xf>
    <xf numFmtId="178" fontId="15" fillId="0" borderId="1" xfId="1" applyNumberFormat="1" applyFont="1" applyFill="1" applyBorder="1" applyAlignment="1">
      <alignment horizontal="center" vertical="center"/>
    </xf>
    <xf numFmtId="0" fontId="16" fillId="3" borderId="1" xfId="0" applyFont="1" applyFill="1" applyBorder="1">
      <alignment vertical="center"/>
    </xf>
    <xf numFmtId="0" fontId="18" fillId="6" borderId="1" xfId="0" applyFont="1" applyFill="1" applyBorder="1">
      <alignment vertical="center"/>
    </xf>
    <xf numFmtId="178" fontId="15" fillId="6" borderId="1" xfId="1" applyNumberFormat="1" applyFont="1" applyFill="1" applyBorder="1" applyAlignment="1">
      <alignment horizontal="center" vertical="center"/>
    </xf>
    <xf numFmtId="0" fontId="23" fillId="0" borderId="1" xfId="0" applyFont="1" applyFill="1" applyBorder="1">
      <alignment vertical="center"/>
    </xf>
    <xf numFmtId="0" fontId="16" fillId="0" borderId="1" xfId="0" applyFont="1" applyBorder="1">
      <alignment vertical="center"/>
    </xf>
    <xf numFmtId="10" fontId="15" fillId="0" borderId="1" xfId="3" applyNumberFormat="1" applyFont="1" applyBorder="1" applyAlignment="1">
      <alignment vertical="center"/>
    </xf>
    <xf numFmtId="178" fontId="15" fillId="0" borderId="1" xfId="1" applyNumberFormat="1" applyFont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0" fontId="23" fillId="6" borderId="1" xfId="0" applyFont="1" applyFill="1" applyBorder="1">
      <alignment vertical="center"/>
    </xf>
    <xf numFmtId="178" fontId="16" fillId="0" borderId="1" xfId="1" applyNumberFormat="1" applyFont="1" applyBorder="1" applyAlignment="1">
      <alignment horizontal="center" vertical="center"/>
    </xf>
    <xf numFmtId="10" fontId="16" fillId="0" borderId="1" xfId="3" applyNumberFormat="1" applyFont="1" applyBorder="1">
      <alignment vertical="center"/>
    </xf>
    <xf numFmtId="10" fontId="16" fillId="0" borderId="0" xfId="3" applyNumberFormat="1" applyFont="1" applyBorder="1">
      <alignment vertical="center"/>
    </xf>
    <xf numFmtId="43" fontId="16" fillId="0" borderId="0" xfId="1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10" fontId="16" fillId="0" borderId="1" xfId="3" applyNumberFormat="1" applyFont="1" applyFill="1" applyBorder="1" applyAlignment="1">
      <alignment horizontal="center" vertical="center"/>
    </xf>
    <xf numFmtId="10" fontId="16" fillId="0" borderId="1" xfId="3" applyNumberFormat="1" applyFont="1" applyFill="1" applyBorder="1">
      <alignment vertical="center"/>
    </xf>
    <xf numFmtId="0" fontId="18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43" fontId="16" fillId="0" borderId="1" xfId="1" applyFont="1" applyBorder="1">
      <alignment vertical="center"/>
    </xf>
    <xf numFmtId="178" fontId="16" fillId="0" borderId="1" xfId="1" applyNumberFormat="1" applyFont="1" applyBorder="1">
      <alignment vertical="center"/>
    </xf>
    <xf numFmtId="0" fontId="15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16" fillId="0" borderId="5" xfId="0" applyFont="1" applyBorder="1">
      <alignment vertical="center"/>
    </xf>
    <xf numFmtId="0" fontId="24" fillId="0" borderId="0" xfId="0" applyFont="1">
      <alignment vertical="center"/>
    </xf>
    <xf numFmtId="0" fontId="25" fillId="0" borderId="1" xfId="0" applyFont="1" applyBorder="1" applyAlignment="1">
      <alignment horizontal="center" vertical="center" wrapText="1" readingOrder="1"/>
    </xf>
    <xf numFmtId="0" fontId="24" fillId="0" borderId="0" xfId="0" applyFont="1" applyFill="1">
      <alignment vertical="center"/>
    </xf>
    <xf numFmtId="0" fontId="7" fillId="0" borderId="1" xfId="0" applyFont="1" applyBorder="1" applyAlignment="1">
      <alignment horizontal="center" vertical="center" wrapText="1" readingOrder="1"/>
    </xf>
    <xf numFmtId="0" fontId="26" fillId="0" borderId="1" xfId="0" applyFont="1" applyBorder="1" applyAlignment="1">
      <alignment horizontal="left" vertical="center" wrapText="1" readingOrder="1"/>
    </xf>
    <xf numFmtId="0" fontId="26" fillId="0" borderId="1" xfId="0" applyFont="1" applyFill="1" applyBorder="1" applyAlignment="1">
      <alignment horizontal="left" vertical="center" wrapText="1" readingOrder="1"/>
    </xf>
    <xf numFmtId="0" fontId="26" fillId="0" borderId="1" xfId="0" applyFont="1" applyBorder="1" applyAlignment="1">
      <alignment horizontal="center" vertical="center" wrapText="1" readingOrder="1"/>
    </xf>
    <xf numFmtId="0" fontId="26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7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0" fontId="0" fillId="0" borderId="1" xfId="3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43" fontId="2" fillId="0" borderId="0" xfId="0" applyNumberFormat="1" applyFont="1">
      <alignment vertical="center"/>
    </xf>
    <xf numFmtId="9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7" fillId="0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43" fontId="41" fillId="8" borderId="1" xfId="1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4" fillId="0" borderId="1" xfId="1" applyFont="1" applyFill="1" applyBorder="1">
      <alignment vertical="center"/>
    </xf>
    <xf numFmtId="43" fontId="2" fillId="0" borderId="1" xfId="0" applyNumberFormat="1" applyFont="1" applyBorder="1">
      <alignment vertical="center"/>
    </xf>
    <xf numFmtId="9" fontId="0" fillId="0" borderId="1" xfId="3" applyFont="1" applyFill="1" applyBorder="1" applyAlignment="1">
      <alignment horizontal="center" vertical="center"/>
    </xf>
    <xf numFmtId="180" fontId="0" fillId="0" borderId="1" xfId="3" applyNumberFormat="1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 wrapText="1" readingOrder="1"/>
    </xf>
    <xf numFmtId="0" fontId="7" fillId="9" borderId="1" xfId="0" applyFont="1" applyFill="1" applyBorder="1" applyAlignment="1">
      <alignment horizontal="center" vertical="center" wrapText="1" readingOrder="1"/>
    </xf>
    <xf numFmtId="0" fontId="46" fillId="0" borderId="16" xfId="0" applyFont="1" applyBorder="1" applyAlignment="1">
      <alignment horizontal="center" vertical="center" wrapText="1" readingOrder="1"/>
    </xf>
    <xf numFmtId="0" fontId="27" fillId="0" borderId="1" xfId="0" applyFont="1" applyBorder="1" applyAlignment="1">
      <alignment horizontal="center" vertical="center"/>
    </xf>
    <xf numFmtId="9" fontId="16" fillId="0" borderId="7" xfId="3" applyFont="1" applyFill="1" applyBorder="1">
      <alignment vertical="center"/>
    </xf>
    <xf numFmtId="178" fontId="16" fillId="7" borderId="1" xfId="1" applyNumberFormat="1" applyFont="1" applyFill="1" applyBorder="1" applyAlignment="1">
      <alignment horizontal="center" vertical="center"/>
    </xf>
    <xf numFmtId="43" fontId="16" fillId="0" borderId="7" xfId="1" applyFont="1" applyFill="1" applyBorder="1">
      <alignment vertical="center"/>
    </xf>
    <xf numFmtId="0" fontId="5" fillId="8" borderId="13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41" fillId="0" borderId="1" xfId="0" applyFont="1" applyBorder="1">
      <alignment vertical="center"/>
    </xf>
    <xf numFmtId="0" fontId="27" fillId="0" borderId="1" xfId="0" applyNumberFormat="1" applyFont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 wrapText="1"/>
    </xf>
    <xf numFmtId="43" fontId="0" fillId="0" borderId="1" xfId="1" applyNumberFormat="1" applyFont="1" applyBorder="1" applyAlignment="1">
      <alignment horizontal="center" vertical="center"/>
    </xf>
    <xf numFmtId="0" fontId="27" fillId="0" borderId="1" xfId="1" applyNumberFormat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41" fillId="0" borderId="1" xfId="0" applyFont="1" applyBorder="1" applyAlignment="1">
      <alignment horizontal="center" vertical="center"/>
    </xf>
    <xf numFmtId="0" fontId="41" fillId="8" borderId="1" xfId="0" applyFont="1" applyFill="1" applyBorder="1" applyAlignment="1">
      <alignment horizontal="center" vertical="center"/>
    </xf>
    <xf numFmtId="0" fontId="41" fillId="8" borderId="1" xfId="0" applyFont="1" applyFill="1" applyBorder="1" applyAlignment="1">
      <alignment horizontal="center" vertical="center" wrapText="1"/>
    </xf>
    <xf numFmtId="0" fontId="48" fillId="0" borderId="13" xfId="0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left" vertical="top" wrapText="1"/>
    </xf>
    <xf numFmtId="0" fontId="41" fillId="9" borderId="1" xfId="0" applyFont="1" applyFill="1" applyBorder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43" fontId="0" fillId="0" borderId="1" xfId="0" applyNumberFormat="1" applyBorder="1">
      <alignment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10" fontId="2" fillId="7" borderId="0" xfId="0" applyNumberFormat="1" applyFont="1" applyFill="1">
      <alignment vertical="center"/>
    </xf>
    <xf numFmtId="43" fontId="42" fillId="8" borderId="1" xfId="1" applyFont="1" applyFill="1" applyBorder="1" applyAlignment="1" applyProtection="1">
      <alignment horizontal="center" vertical="center"/>
    </xf>
    <xf numFmtId="43" fontId="41" fillId="2" borderId="1" xfId="1" applyFont="1" applyFill="1" applyBorder="1" applyAlignment="1" applyProtection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" fillId="0" borderId="1" xfId="1" applyFont="1" applyBorder="1">
      <alignment vertical="center"/>
    </xf>
    <xf numFmtId="180" fontId="2" fillId="0" borderId="1" xfId="3" applyNumberFormat="1" applyFont="1" applyBorder="1">
      <alignment vertical="center"/>
    </xf>
    <xf numFmtId="43" fontId="48" fillId="7" borderId="1" xfId="1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41" fillId="10" borderId="1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/>
    </xf>
    <xf numFmtId="0" fontId="5" fillId="10" borderId="0" xfId="0" applyFont="1" applyFill="1">
      <alignment vertical="center"/>
    </xf>
    <xf numFmtId="0" fontId="0" fillId="0" borderId="1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43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43" fontId="0" fillId="0" borderId="1" xfId="1" applyFont="1" applyFill="1" applyBorder="1" applyAlignment="1">
      <alignment vertical="center" wrapText="1"/>
    </xf>
    <xf numFmtId="43" fontId="1" fillId="0" borderId="1" xfId="1" applyFont="1" applyFill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21" fillId="0" borderId="8" xfId="0" applyFont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2" fillId="4" borderId="1" xfId="2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center" vertical="center"/>
    </xf>
    <xf numFmtId="43" fontId="17" fillId="0" borderId="5" xfId="1" applyFont="1" applyFill="1" applyBorder="1" applyAlignment="1">
      <alignment horizontal="center" vertical="center" wrapText="1"/>
    </xf>
    <xf numFmtId="43" fontId="17" fillId="0" borderId="7" xfId="1" applyFont="1" applyFill="1" applyBorder="1" applyAlignment="1">
      <alignment horizontal="center" vertical="center" wrapText="1"/>
    </xf>
    <xf numFmtId="43" fontId="17" fillId="0" borderId="6" xfId="1" applyFont="1" applyFill="1" applyBorder="1" applyAlignment="1">
      <alignment horizontal="center" vertical="center" wrapText="1"/>
    </xf>
    <xf numFmtId="43" fontId="16" fillId="0" borderId="4" xfId="1" applyFont="1" applyFill="1" applyBorder="1" applyAlignment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43" fontId="16" fillId="0" borderId="3" xfId="1" applyFont="1" applyFill="1" applyBorder="1" applyAlignment="1">
      <alignment horizontal="center" vertical="center"/>
    </xf>
    <xf numFmtId="43" fontId="16" fillId="2" borderId="1" xfId="1" applyFont="1" applyFill="1" applyBorder="1" applyAlignment="1">
      <alignment horizontal="center" vertical="center"/>
    </xf>
    <xf numFmtId="43" fontId="16" fillId="2" borderId="4" xfId="1" applyFont="1" applyFill="1" applyBorder="1" applyAlignment="1">
      <alignment horizontal="center" vertical="center"/>
    </xf>
    <xf numFmtId="43" fontId="16" fillId="2" borderId="2" xfId="1" applyFont="1" applyFill="1" applyBorder="1" applyAlignment="1">
      <alignment horizontal="center" vertical="center"/>
    </xf>
    <xf numFmtId="43" fontId="16" fillId="2" borderId="3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8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2" xfId="0" applyNumberFormat="1" applyFont="1" applyBorder="1" applyAlignment="1">
      <alignment horizontal="center" vertical="center"/>
    </xf>
    <xf numFmtId="43" fontId="2" fillId="0" borderId="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</cellXfs>
  <cellStyles count="11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_20061221C2项目损益分析（概念稿）" xfId="4"/>
    <cellStyle name="普通_销售收入.XLS" xfId="7"/>
    <cellStyle name="千位分隔" xfId="1" builtinId="3"/>
    <cellStyle name="千位分隔 2 25" xfId="8"/>
    <cellStyle name="样式 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46</xdr:row>
      <xdr:rowOff>0</xdr:rowOff>
    </xdr:from>
    <xdr:to>
      <xdr:col>7</xdr:col>
      <xdr:colOff>1047058</xdr:colOff>
      <xdr:row>64</xdr:row>
      <xdr:rowOff>190005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0" y="15097125"/>
          <a:ext cx="5542858" cy="3961905"/>
        </a:xfrm>
        <a:prstGeom prst="rect">
          <a:avLst/>
        </a:prstGeom>
      </xdr:spPr>
    </xdr:pic>
    <xdr:clientData/>
  </xdr:twoCellAnchor>
  <xdr:twoCellAnchor editAs="oneCell">
    <xdr:from>
      <xdr:col>8</xdr:col>
      <xdr:colOff>95250</xdr:colOff>
      <xdr:row>48</xdr:row>
      <xdr:rowOff>95250</xdr:rowOff>
    </xdr:from>
    <xdr:to>
      <xdr:col>16</xdr:col>
      <xdr:colOff>227700</xdr:colOff>
      <xdr:row>52</xdr:row>
      <xdr:rowOff>161812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15275" y="15611475"/>
          <a:ext cx="7200000" cy="9047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9" sqref="C9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38" customFormat="1" ht="35.25" customHeight="1">
      <c r="A2" s="139" t="s">
        <v>0</v>
      </c>
      <c r="B2" s="139" t="s">
        <v>1</v>
      </c>
      <c r="C2" s="139" t="s">
        <v>2</v>
      </c>
      <c r="D2" s="140"/>
    </row>
    <row r="3" spans="1:4" s="138" customFormat="1" ht="33.75" customHeight="1">
      <c r="A3" s="141">
        <v>1</v>
      </c>
      <c r="B3" s="141" t="s">
        <v>3</v>
      </c>
      <c r="C3" s="142" t="s">
        <v>4</v>
      </c>
      <c r="D3" s="140"/>
    </row>
    <row r="4" spans="1:4" s="138" customFormat="1" ht="33.75" customHeight="1">
      <c r="A4" s="141">
        <v>2</v>
      </c>
      <c r="B4" s="141" t="s">
        <v>5</v>
      </c>
      <c r="C4" s="142" t="s">
        <v>295</v>
      </c>
    </row>
    <row r="5" spans="1:4" s="138" customFormat="1" ht="33.75" customHeight="1">
      <c r="A5" s="141">
        <v>3</v>
      </c>
      <c r="B5" s="219" t="s">
        <v>6</v>
      </c>
      <c r="C5" s="143" t="s">
        <v>296</v>
      </c>
    </row>
    <row r="6" spans="1:4" s="138" customFormat="1" ht="33.75" customHeight="1">
      <c r="A6" s="141">
        <v>4</v>
      </c>
      <c r="B6" s="220"/>
      <c r="C6" s="142" t="s">
        <v>7</v>
      </c>
    </row>
    <row r="7" spans="1:4" s="138" customFormat="1" ht="33.75" customHeight="1">
      <c r="A7" s="141">
        <v>5</v>
      </c>
      <c r="B7" s="144" t="s">
        <v>8</v>
      </c>
      <c r="C7" s="142" t="s">
        <v>293</v>
      </c>
    </row>
    <row r="8" spans="1:4" s="138" customFormat="1" ht="33.75" customHeight="1">
      <c r="A8" s="141">
        <v>6</v>
      </c>
      <c r="B8" s="219" t="s">
        <v>9</v>
      </c>
      <c r="C8" s="142" t="s">
        <v>10</v>
      </c>
    </row>
    <row r="9" spans="1:4" s="138" customFormat="1" ht="33.75" customHeight="1">
      <c r="A9" s="141">
        <v>7</v>
      </c>
      <c r="B9" s="220"/>
      <c r="C9" s="142" t="s">
        <v>245</v>
      </c>
    </row>
    <row r="10" spans="1:4" s="138" customFormat="1" ht="33.75" customHeight="1">
      <c r="A10" s="141">
        <v>8</v>
      </c>
      <c r="B10" s="220"/>
      <c r="C10" s="143" t="s">
        <v>246</v>
      </c>
    </row>
    <row r="11" spans="1:4" s="138" customFormat="1" ht="33.75" customHeight="1">
      <c r="A11" s="141">
        <v>9</v>
      </c>
      <c r="B11" s="220"/>
      <c r="C11" s="142" t="s">
        <v>11</v>
      </c>
    </row>
    <row r="12" spans="1:4" s="138" customFormat="1" ht="33.75" customHeight="1">
      <c r="A12" s="141">
        <v>10</v>
      </c>
      <c r="B12" s="144" t="s">
        <v>12</v>
      </c>
      <c r="C12" s="142" t="s">
        <v>13</v>
      </c>
    </row>
    <row r="13" spans="1:4" ht="33.75" customHeight="1"/>
    <row r="14" spans="1:4" ht="33.75" customHeight="1"/>
    <row r="15" spans="1:4" ht="33.75" customHeight="1">
      <c r="C15" s="145"/>
    </row>
  </sheetData>
  <mergeCells count="2">
    <mergeCell ref="B5:B6"/>
    <mergeCell ref="B8:B11"/>
  </mergeCells>
  <phoneticPr fontId="38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zoomScale="80" zoomScaleNormal="80" workbookViewId="0">
      <selection activeCell="D21" sqref="D21"/>
    </sheetView>
  </sheetViews>
  <sheetFormatPr defaultColWidth="9" defaultRowHeight="16.5"/>
  <cols>
    <col min="1" max="1" width="14" style="5" customWidth="1"/>
    <col min="2" max="2" width="14.125" style="5" customWidth="1"/>
    <col min="3" max="8" width="18.25" style="5" customWidth="1"/>
    <col min="9" max="9" width="11.625" style="5" customWidth="1"/>
    <col min="10" max="10" width="9.25" style="5" customWidth="1"/>
    <col min="11" max="11" width="9.125" style="5" customWidth="1"/>
    <col min="12" max="16384" width="9" style="5"/>
  </cols>
  <sheetData>
    <row r="1" spans="1:12" ht="29.25" customHeight="1">
      <c r="A1" s="15" t="s">
        <v>190</v>
      </c>
      <c r="E1" s="16"/>
      <c r="F1" s="16"/>
      <c r="G1" s="16"/>
      <c r="H1" s="16"/>
      <c r="I1" s="16"/>
    </row>
    <row r="2" spans="1:12" ht="24" customHeight="1">
      <c r="A2" s="17" t="s">
        <v>191</v>
      </c>
      <c r="E2" s="16"/>
      <c r="F2" s="16"/>
      <c r="G2" s="16"/>
      <c r="H2" s="16"/>
      <c r="I2" s="16"/>
    </row>
    <row r="3" spans="1:12">
      <c r="C3" s="5" t="s">
        <v>192</v>
      </c>
      <c r="D3" s="8" t="s">
        <v>247</v>
      </c>
      <c r="E3" s="201">
        <v>0.04</v>
      </c>
    </row>
    <row r="5" spans="1:12" ht="45" customHeight="1">
      <c r="A5" s="251" t="s">
        <v>193</v>
      </c>
      <c r="B5" s="7" t="s">
        <v>144</v>
      </c>
      <c r="C5" s="193" t="s">
        <v>253</v>
      </c>
      <c r="D5" s="193" t="s">
        <v>254</v>
      </c>
      <c r="E5" s="14"/>
      <c r="F5" s="14"/>
      <c r="G5" s="14"/>
      <c r="H5" s="14"/>
      <c r="I5" s="250" t="s">
        <v>16</v>
      </c>
    </row>
    <row r="6" spans="1:12" ht="31.5" customHeight="1">
      <c r="A6" s="251"/>
      <c r="B6" s="7" t="s">
        <v>145</v>
      </c>
      <c r="C6" s="184" t="s">
        <v>255</v>
      </c>
      <c r="D6" s="184" t="s">
        <v>256</v>
      </c>
      <c r="E6" s="14"/>
      <c r="F6" s="14"/>
      <c r="G6" s="14"/>
      <c r="H6" s="14"/>
      <c r="I6" s="250"/>
      <c r="K6" s="5">
        <v>100</v>
      </c>
    </row>
    <row r="7" spans="1:12" ht="16.5" customHeight="1">
      <c r="A7" s="251"/>
      <c r="B7" s="20" t="s">
        <v>194</v>
      </c>
      <c r="C7" s="194" t="s">
        <v>257</v>
      </c>
      <c r="D7" s="184"/>
      <c r="E7" s="19"/>
      <c r="F7" s="19"/>
      <c r="G7" s="19"/>
      <c r="H7" s="19"/>
      <c r="I7" s="250"/>
      <c r="K7" s="5">
        <f>K6*(1-$E$3)</f>
        <v>96</v>
      </c>
      <c r="L7" s="5">
        <f>K7/$K$6</f>
        <v>0.96</v>
      </c>
    </row>
    <row r="8" spans="1:12" ht="33">
      <c r="A8" s="251"/>
      <c r="B8" s="20" t="s">
        <v>195</v>
      </c>
      <c r="C8" s="207">
        <v>1300</v>
      </c>
      <c r="D8" s="207">
        <v>420</v>
      </c>
      <c r="E8" s="19"/>
      <c r="F8" s="19"/>
      <c r="G8" s="19"/>
      <c r="H8" s="19"/>
      <c r="I8" s="250"/>
      <c r="K8" s="5">
        <f>K7*(1-$E$3)</f>
        <v>92.16</v>
      </c>
      <c r="L8" s="5">
        <f t="shared" ref="L8:L10" si="0">K8/$K$6</f>
        <v>0.92159999999999997</v>
      </c>
    </row>
    <row r="9" spans="1:12" ht="18.75">
      <c r="A9" s="251" t="s">
        <v>196</v>
      </c>
      <c r="B9" s="166" t="s">
        <v>258</v>
      </c>
      <c r="C9" s="173">
        <v>3000</v>
      </c>
      <c r="D9" s="173">
        <v>3000</v>
      </c>
      <c r="E9" s="173"/>
      <c r="F9" s="174"/>
      <c r="G9" s="174"/>
      <c r="H9" s="175"/>
      <c r="I9" s="25">
        <f>SUM(C9:H9)</f>
        <v>6000</v>
      </c>
      <c r="K9" s="5">
        <f t="shared" ref="K9:K10" si="1">K8*(1-$E$3)</f>
        <v>88.47359999999999</v>
      </c>
      <c r="L9" s="5">
        <f t="shared" si="0"/>
        <v>0.88473599999999986</v>
      </c>
    </row>
    <row r="10" spans="1:12" ht="18.75">
      <c r="A10" s="251"/>
      <c r="B10" s="200" t="s">
        <v>186</v>
      </c>
      <c r="C10" s="173">
        <v>6000</v>
      </c>
      <c r="D10" s="173">
        <v>6000</v>
      </c>
      <c r="E10" s="173"/>
      <c r="F10" s="174"/>
      <c r="G10" s="174"/>
      <c r="H10" s="175"/>
      <c r="I10" s="25">
        <f t="shared" ref="I10:I14" si="2">SUM(C10:H10)</f>
        <v>12000</v>
      </c>
      <c r="K10" s="5">
        <f t="shared" si="1"/>
        <v>84.93465599999999</v>
      </c>
      <c r="L10" s="5">
        <f t="shared" si="0"/>
        <v>0.84934655999999986</v>
      </c>
    </row>
    <row r="11" spans="1:12" ht="18.75">
      <c r="A11" s="251"/>
      <c r="B11" s="200" t="s">
        <v>187</v>
      </c>
      <c r="C11" s="173">
        <v>8000</v>
      </c>
      <c r="D11" s="173">
        <v>8000</v>
      </c>
      <c r="E11" s="173"/>
      <c r="F11" s="174"/>
      <c r="G11" s="174"/>
      <c r="H11" s="175"/>
      <c r="I11" s="25">
        <f t="shared" si="2"/>
        <v>16000</v>
      </c>
    </row>
    <row r="12" spans="1:12" ht="18.75">
      <c r="A12" s="251"/>
      <c r="B12" s="200" t="s">
        <v>232</v>
      </c>
      <c r="C12" s="173">
        <v>6000</v>
      </c>
      <c r="D12" s="173">
        <v>6000</v>
      </c>
      <c r="E12" s="173"/>
      <c r="F12" s="174"/>
      <c r="G12" s="174"/>
      <c r="H12" s="175"/>
      <c r="I12" s="25">
        <f t="shared" si="2"/>
        <v>12000</v>
      </c>
    </row>
    <row r="13" spans="1:12" ht="18.75">
      <c r="A13" s="251"/>
      <c r="B13" s="200" t="s">
        <v>259</v>
      </c>
      <c r="C13" s="173">
        <v>4000</v>
      </c>
      <c r="D13" s="173">
        <v>4000</v>
      </c>
      <c r="E13" s="173"/>
      <c r="F13" s="174"/>
      <c r="G13" s="174"/>
      <c r="H13" s="175"/>
      <c r="I13" s="25">
        <f t="shared" si="2"/>
        <v>8000</v>
      </c>
    </row>
    <row r="14" spans="1:12" ht="17.25">
      <c r="A14" s="251"/>
      <c r="B14" s="166"/>
      <c r="C14" s="22"/>
      <c r="D14" s="22"/>
      <c r="E14" s="22"/>
      <c r="F14" s="22"/>
      <c r="G14" s="22"/>
      <c r="H14" s="22"/>
      <c r="I14" s="25">
        <f t="shared" si="2"/>
        <v>0</v>
      </c>
    </row>
    <row r="15" spans="1:12" ht="17.25">
      <c r="A15" s="250" t="s">
        <v>16</v>
      </c>
      <c r="B15" s="250"/>
      <c r="C15" s="23">
        <f t="shared" ref="C15:I15" si="3">SUM(C9:C14)</f>
        <v>27000</v>
      </c>
      <c r="D15" s="23">
        <f t="shared" si="3"/>
        <v>27000</v>
      </c>
      <c r="E15" s="23">
        <f t="shared" si="3"/>
        <v>0</v>
      </c>
      <c r="F15" s="23">
        <f t="shared" si="3"/>
        <v>0</v>
      </c>
      <c r="G15" s="23">
        <f t="shared" si="3"/>
        <v>0</v>
      </c>
      <c r="H15" s="23">
        <f t="shared" si="3"/>
        <v>0</v>
      </c>
      <c r="I15" s="23">
        <f t="shared" si="3"/>
        <v>54000</v>
      </c>
    </row>
    <row r="16" spans="1:12">
      <c r="A16" s="24"/>
      <c r="B16" s="24"/>
      <c r="C16" s="24"/>
    </row>
    <row r="17" spans="2:4">
      <c r="B17" s="14" t="s">
        <v>270</v>
      </c>
      <c r="C17" s="169">
        <f>材料成本!D11</f>
        <v>980.64638741863212</v>
      </c>
      <c r="D17" s="169">
        <f>材料成本!E11</f>
        <v>300.11136596054257</v>
      </c>
    </row>
    <row r="18" spans="2:4">
      <c r="B18" s="14" t="s">
        <v>271</v>
      </c>
      <c r="C18" s="169">
        <f>C8-C17</f>
        <v>319.35361258136788</v>
      </c>
      <c r="D18" s="169">
        <f>D8-D17</f>
        <v>119.88863403945743</v>
      </c>
    </row>
    <row r="19" spans="2:4">
      <c r="B19" s="14" t="s">
        <v>272</v>
      </c>
      <c r="C19" s="206">
        <f>C18/C8</f>
        <v>0.24565662506259067</v>
      </c>
      <c r="D19" s="206">
        <f>D18/D8</f>
        <v>0.28544912866537481</v>
      </c>
    </row>
  </sheetData>
  <mergeCells count="4">
    <mergeCell ref="A15:B15"/>
    <mergeCell ref="A5:A8"/>
    <mergeCell ref="A9:A14"/>
    <mergeCell ref="I5:I8"/>
  </mergeCells>
  <phoneticPr fontId="38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4"/>
  <sheetViews>
    <sheetView workbookViewId="0">
      <pane xSplit="3" ySplit="5" topLeftCell="D6" activePane="bottomRight" state="frozen"/>
      <selection pane="topRight"/>
      <selection pane="bottomLeft"/>
      <selection pane="bottomRight" activeCell="D6" sqref="D6"/>
    </sheetView>
  </sheetViews>
  <sheetFormatPr defaultColWidth="9" defaultRowHeight="16.5"/>
  <cols>
    <col min="1" max="1" width="8.375" style="5" customWidth="1"/>
    <col min="2" max="2" width="8.875" style="5" customWidth="1"/>
    <col min="3" max="3" width="14" style="5" customWidth="1"/>
    <col min="4" max="4" width="17.375" style="5" customWidth="1"/>
    <col min="5" max="5" width="15.125" style="5" customWidth="1"/>
    <col min="6" max="6" width="12.125" style="5" customWidth="1"/>
    <col min="7" max="9" width="14.375" style="5" customWidth="1"/>
    <col min="10" max="10" width="17.375" style="5" customWidth="1"/>
    <col min="11" max="11" width="16" style="5" customWidth="1"/>
    <col min="12" max="16384" width="9" style="5"/>
  </cols>
  <sheetData>
    <row r="1" spans="1:11" s="4" customFormat="1" ht="28.5" customHeight="1">
      <c r="A1" s="266" t="s">
        <v>6</v>
      </c>
      <c r="B1" s="266"/>
      <c r="C1" s="6"/>
      <c r="K1" s="13"/>
    </row>
    <row r="2" spans="1:11">
      <c r="A2" s="267" t="s">
        <v>197</v>
      </c>
      <c r="B2" s="267"/>
      <c r="C2" s="268"/>
      <c r="D2" s="268"/>
      <c r="E2" s="269" t="s">
        <v>248</v>
      </c>
      <c r="F2" s="270"/>
      <c r="G2" s="270"/>
      <c r="H2" s="270"/>
      <c r="I2" s="270"/>
      <c r="J2" s="271"/>
    </row>
    <row r="3" spans="1:11">
      <c r="A3" s="257" t="s">
        <v>14</v>
      </c>
      <c r="B3" s="257" t="s">
        <v>198</v>
      </c>
      <c r="C3" s="7" t="s">
        <v>199</v>
      </c>
      <c r="D3" s="272" t="str">
        <f>项目投资!E1</f>
        <v xml:space="preserve">轩德翼6经济座椅项目研发费用预算表 </v>
      </c>
      <c r="E3" s="272"/>
      <c r="F3" s="7" t="s">
        <v>200</v>
      </c>
      <c r="G3" s="258" t="s">
        <v>267</v>
      </c>
      <c r="H3" s="259"/>
      <c r="I3" s="260"/>
      <c r="J3" s="273" t="s">
        <v>154</v>
      </c>
    </row>
    <row r="4" spans="1:11">
      <c r="A4" s="257"/>
      <c r="B4" s="257"/>
      <c r="C4" s="7" t="s">
        <v>144</v>
      </c>
      <c r="D4" s="180" t="str">
        <f>销量!C5</f>
        <v>正司机座椅总成</v>
      </c>
      <c r="E4" s="156" t="str">
        <f>销量!D5</f>
        <v>副司机座椅总成</v>
      </c>
      <c r="F4" s="156">
        <f>销量!E5</f>
        <v>0</v>
      </c>
      <c r="G4" s="156">
        <f>销量!F5</f>
        <v>0</v>
      </c>
      <c r="H4" s="156">
        <f>销量!G5</f>
        <v>0</v>
      </c>
      <c r="I4" s="156"/>
      <c r="J4" s="274"/>
    </row>
    <row r="5" spans="1:11">
      <c r="A5" s="257"/>
      <c r="B5" s="257"/>
      <c r="C5" s="7" t="s">
        <v>145</v>
      </c>
      <c r="D5" s="181" t="str">
        <f>销量!C6</f>
        <v>KZ14221510012</v>
      </c>
      <c r="E5" s="156" t="str">
        <f>销量!D6</f>
        <v>KZ14221510013</v>
      </c>
      <c r="F5" s="156">
        <f>销量!E6</f>
        <v>0</v>
      </c>
      <c r="G5" s="156">
        <f>销量!F6</f>
        <v>0</v>
      </c>
      <c r="H5" s="156">
        <f>销量!G6</f>
        <v>0</v>
      </c>
      <c r="I5" s="156"/>
      <c r="J5" s="275"/>
    </row>
    <row r="6" spans="1:11" ht="16.5" customHeight="1">
      <c r="A6" s="10">
        <v>1</v>
      </c>
      <c r="B6" s="252" t="s">
        <v>268</v>
      </c>
      <c r="C6" s="253"/>
      <c r="D6" s="11">
        <v>980.64638741863212</v>
      </c>
      <c r="E6" s="11">
        <v>300.11136596054257</v>
      </c>
      <c r="F6" s="11"/>
      <c r="G6" s="11"/>
      <c r="H6" s="11"/>
      <c r="I6" s="11"/>
      <c r="J6" s="168"/>
    </row>
    <row r="7" spans="1:11" ht="16.5" customHeight="1">
      <c r="A7" s="10">
        <v>2</v>
      </c>
      <c r="B7" s="252"/>
      <c r="C7" s="253"/>
      <c r="D7" s="9"/>
      <c r="E7" s="9"/>
      <c r="F7" s="9"/>
      <c r="G7" s="9"/>
      <c r="H7" s="9"/>
      <c r="I7" s="9"/>
      <c r="J7" s="14"/>
    </row>
    <row r="8" spans="1:11" ht="16.5" customHeight="1">
      <c r="A8" s="10">
        <v>3</v>
      </c>
      <c r="B8" s="252"/>
      <c r="C8" s="253"/>
      <c r="D8" s="11"/>
      <c r="E8" s="9"/>
      <c r="F8" s="11"/>
      <c r="G8" s="9"/>
      <c r="H8" s="11"/>
      <c r="I8" s="11"/>
      <c r="J8" s="14"/>
    </row>
    <row r="9" spans="1:11">
      <c r="A9" s="10">
        <v>4</v>
      </c>
      <c r="B9" s="252"/>
      <c r="C9" s="253"/>
      <c r="D9" s="11"/>
      <c r="E9" s="9"/>
      <c r="F9" s="11"/>
      <c r="G9" s="9"/>
      <c r="H9" s="9"/>
      <c r="I9" s="9"/>
      <c r="J9" s="14"/>
    </row>
    <row r="10" spans="1:11">
      <c r="A10" s="10">
        <v>5</v>
      </c>
      <c r="B10" s="252"/>
      <c r="C10" s="253"/>
      <c r="D10" s="9"/>
      <c r="E10" s="9"/>
      <c r="F10" s="9"/>
      <c r="G10" s="9"/>
      <c r="H10" s="9"/>
      <c r="I10" s="9"/>
      <c r="J10" s="14"/>
    </row>
    <row r="11" spans="1:11" ht="31.5" customHeight="1">
      <c r="A11" s="254" t="s">
        <v>201</v>
      </c>
      <c r="B11" s="255"/>
      <c r="C11" s="256"/>
      <c r="D11" s="12">
        <f t="shared" ref="D11:I11" si="0">SUM(D6:D10)</f>
        <v>980.64638741863212</v>
      </c>
      <c r="E11" s="12">
        <f t="shared" si="0"/>
        <v>300.11136596054257</v>
      </c>
      <c r="F11" s="12">
        <f t="shared" si="0"/>
        <v>0</v>
      </c>
      <c r="G11" s="12">
        <f t="shared" si="0"/>
        <v>0</v>
      </c>
      <c r="H11" s="12">
        <f t="shared" si="0"/>
        <v>0</v>
      </c>
      <c r="I11" s="12">
        <f t="shared" si="0"/>
        <v>0</v>
      </c>
      <c r="J11" s="14"/>
    </row>
    <row r="12" spans="1:11">
      <c r="D12" s="158"/>
      <c r="E12" s="24"/>
      <c r="F12" s="24"/>
    </row>
    <row r="13" spans="1:11">
      <c r="D13" s="24"/>
      <c r="E13" s="24"/>
      <c r="F13" s="24"/>
    </row>
    <row r="14" spans="1:11">
      <c r="D14" s="24"/>
      <c r="E14" s="24"/>
      <c r="F14" s="24"/>
    </row>
    <row r="16" spans="1:11" ht="27.75" customHeight="1">
      <c r="D16" s="251" t="s">
        <v>249</v>
      </c>
      <c r="E16" s="251"/>
      <c r="F16" s="251"/>
      <c r="G16" s="251"/>
      <c r="H16" s="251"/>
      <c r="I16" s="251"/>
      <c r="J16" s="251"/>
    </row>
    <row r="17" spans="4:10">
      <c r="D17" s="261" t="s">
        <v>230</v>
      </c>
      <c r="E17" s="263" t="s">
        <v>231</v>
      </c>
      <c r="F17" s="264"/>
      <c r="G17" s="264"/>
      <c r="H17" s="264"/>
      <c r="I17" s="264"/>
      <c r="J17" s="265"/>
    </row>
    <row r="18" spans="4:10">
      <c r="D18" s="262"/>
      <c r="E18" s="162" t="s">
        <v>269</v>
      </c>
      <c r="F18" s="200" t="s">
        <v>186</v>
      </c>
      <c r="G18" s="200" t="s">
        <v>187</v>
      </c>
      <c r="H18" s="200" t="s">
        <v>232</v>
      </c>
      <c r="I18" s="200" t="s">
        <v>259</v>
      </c>
      <c r="J18" s="162"/>
    </row>
    <row r="19" spans="4:10">
      <c r="D19" s="14" t="str">
        <f>D5</f>
        <v>KZ14221510012</v>
      </c>
      <c r="E19" s="204">
        <f>D11</f>
        <v>980.64638741863212</v>
      </c>
      <c r="F19" s="204">
        <f t="shared" ref="F19:I20" si="1">E19*(1-0.04)</f>
        <v>941.42053192188678</v>
      </c>
      <c r="G19" s="204">
        <f t="shared" si="1"/>
        <v>903.76371064501132</v>
      </c>
      <c r="H19" s="204">
        <f t="shared" si="1"/>
        <v>867.61316221921084</v>
      </c>
      <c r="I19" s="204">
        <f t="shared" si="1"/>
        <v>832.90863573044237</v>
      </c>
      <c r="J19" s="163"/>
    </row>
    <row r="20" spans="4:10">
      <c r="D20" s="14" t="str">
        <f>E5</f>
        <v>KZ14221510013</v>
      </c>
      <c r="E20" s="205">
        <f>E11</f>
        <v>300.11136596054257</v>
      </c>
      <c r="F20" s="204">
        <f t="shared" si="1"/>
        <v>288.10691132212088</v>
      </c>
      <c r="G20" s="204">
        <f t="shared" si="1"/>
        <v>276.58263486923602</v>
      </c>
      <c r="H20" s="204">
        <f t="shared" si="1"/>
        <v>265.51932947446659</v>
      </c>
      <c r="I20" s="204">
        <f t="shared" si="1"/>
        <v>254.89855629548791</v>
      </c>
      <c r="J20" s="163"/>
    </row>
    <row r="21" spans="4:10">
      <c r="D21" s="14"/>
      <c r="E21" s="205">
        <f>F11</f>
        <v>0</v>
      </c>
      <c r="F21" s="204">
        <f t="shared" ref="F21:I21" si="2">E21*(1-0.04)</f>
        <v>0</v>
      </c>
      <c r="G21" s="204">
        <f t="shared" si="2"/>
        <v>0</v>
      </c>
      <c r="H21" s="204">
        <f t="shared" si="2"/>
        <v>0</v>
      </c>
      <c r="I21" s="204">
        <f t="shared" si="2"/>
        <v>0</v>
      </c>
      <c r="J21" s="163"/>
    </row>
    <row r="22" spans="4:10">
      <c r="D22" s="14"/>
      <c r="E22" s="205">
        <f>G11</f>
        <v>0</v>
      </c>
      <c r="F22" s="204">
        <f t="shared" ref="F22:I22" si="3">E22*(1-0.04)</f>
        <v>0</v>
      </c>
      <c r="G22" s="204">
        <f t="shared" si="3"/>
        <v>0</v>
      </c>
      <c r="H22" s="204">
        <f t="shared" si="3"/>
        <v>0</v>
      </c>
      <c r="I22" s="204">
        <f t="shared" si="3"/>
        <v>0</v>
      </c>
      <c r="J22" s="163"/>
    </row>
    <row r="23" spans="4:10">
      <c r="D23" s="14"/>
      <c r="E23" s="205">
        <f>H11</f>
        <v>0</v>
      </c>
      <c r="F23" s="204">
        <f t="shared" ref="F23:I23" si="4">E23*(1-0.04)</f>
        <v>0</v>
      </c>
      <c r="G23" s="204">
        <f t="shared" si="4"/>
        <v>0</v>
      </c>
      <c r="H23" s="204">
        <f t="shared" si="4"/>
        <v>0</v>
      </c>
      <c r="I23" s="204">
        <f t="shared" si="4"/>
        <v>0</v>
      </c>
      <c r="J23" s="163"/>
    </row>
    <row r="24" spans="4:10">
      <c r="D24" s="14"/>
      <c r="E24" s="205">
        <f>I11</f>
        <v>0</v>
      </c>
      <c r="F24" s="204">
        <f t="shared" ref="F24:I24" si="5">E24*(1-0.04)</f>
        <v>0</v>
      </c>
      <c r="G24" s="204">
        <f t="shared" si="5"/>
        <v>0</v>
      </c>
      <c r="H24" s="204">
        <f t="shared" si="5"/>
        <v>0</v>
      </c>
      <c r="I24" s="204">
        <f t="shared" si="5"/>
        <v>0</v>
      </c>
      <c r="J24" s="163"/>
    </row>
  </sheetData>
  <mergeCells count="17">
    <mergeCell ref="D16:J16"/>
    <mergeCell ref="D17:D18"/>
    <mergeCell ref="E17:J17"/>
    <mergeCell ref="A1:B1"/>
    <mergeCell ref="A2:D2"/>
    <mergeCell ref="E2:J2"/>
    <mergeCell ref="D3:E3"/>
    <mergeCell ref="J3:J5"/>
    <mergeCell ref="B6:C6"/>
    <mergeCell ref="B7:C7"/>
    <mergeCell ref="B8:C8"/>
    <mergeCell ref="B9:C9"/>
    <mergeCell ref="B10:C10"/>
    <mergeCell ref="A11:C11"/>
    <mergeCell ref="A3:A5"/>
    <mergeCell ref="B3:B5"/>
    <mergeCell ref="G3:I3"/>
  </mergeCells>
  <phoneticPr fontId="38" type="noConversion"/>
  <pageMargins left="0.70866141732283505" right="0.118110236220472" top="0.35433070866141703" bottom="0.35433070866141703" header="0.31496062992126" footer="0.31496062992126"/>
  <pageSetup paperSize="9" orientation="portrait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F8" sqref="F8"/>
    </sheetView>
  </sheetViews>
  <sheetFormatPr defaultColWidth="9" defaultRowHeight="13.5"/>
  <cols>
    <col min="1" max="1" width="9" style="208"/>
    <col min="2" max="2" width="29.625" style="208" customWidth="1"/>
    <col min="3" max="3" width="25.5" style="208" customWidth="1"/>
    <col min="4" max="4" width="22" style="208" customWidth="1"/>
    <col min="5" max="16384" width="9" style="208"/>
  </cols>
  <sheetData>
    <row r="1" spans="1:4" ht="27" customHeight="1">
      <c r="A1" s="190" t="s">
        <v>14</v>
      </c>
      <c r="B1" s="190" t="s">
        <v>202</v>
      </c>
      <c r="C1" s="190" t="s">
        <v>203</v>
      </c>
      <c r="D1" s="190" t="s">
        <v>204</v>
      </c>
    </row>
    <row r="2" spans="1:4" ht="19.5" customHeight="1">
      <c r="A2" s="190">
        <v>1</v>
      </c>
      <c r="B2" s="209" t="s">
        <v>205</v>
      </c>
      <c r="C2" s="191" t="s">
        <v>277</v>
      </c>
      <c r="D2" s="190"/>
    </row>
    <row r="3" spans="1:4" ht="36" customHeight="1">
      <c r="A3" s="190">
        <v>2</v>
      </c>
      <c r="B3" s="209" t="s">
        <v>206</v>
      </c>
      <c r="C3" s="192" t="s">
        <v>278</v>
      </c>
      <c r="D3" s="190" t="s">
        <v>279</v>
      </c>
    </row>
    <row r="4" spans="1:4" ht="19.5" customHeight="1">
      <c r="A4" s="190">
        <v>3</v>
      </c>
      <c r="B4" s="209" t="s">
        <v>207</v>
      </c>
      <c r="C4" s="191" t="s">
        <v>280</v>
      </c>
      <c r="D4" s="190" t="s">
        <v>281</v>
      </c>
    </row>
    <row r="5" spans="1:4" ht="42.75" customHeight="1">
      <c r="A5" s="190">
        <v>4</v>
      </c>
      <c r="B5" s="209" t="s">
        <v>208</v>
      </c>
      <c r="C5" s="191"/>
      <c r="D5" s="190"/>
    </row>
    <row r="6" spans="1:4" ht="39" customHeight="1">
      <c r="A6" s="190">
        <v>5</v>
      </c>
      <c r="B6" s="209" t="s">
        <v>209</v>
      </c>
      <c r="C6" s="191"/>
      <c r="D6" s="190"/>
    </row>
    <row r="7" spans="1:4" ht="27.75" customHeight="1">
      <c r="A7" s="190">
        <v>6</v>
      </c>
      <c r="B7" s="190" t="s">
        <v>210</v>
      </c>
      <c r="C7" s="192" t="s">
        <v>282</v>
      </c>
    </row>
    <row r="8" spans="1:4" ht="36" customHeight="1">
      <c r="A8" s="190">
        <v>7</v>
      </c>
      <c r="B8" s="209" t="s">
        <v>211</v>
      </c>
      <c r="C8" s="210" t="s">
        <v>283</v>
      </c>
      <c r="D8" s="190"/>
    </row>
    <row r="9" spans="1:4" ht="34.5" customHeight="1">
      <c r="A9" s="190">
        <v>8</v>
      </c>
      <c r="B9" s="190" t="s">
        <v>212</v>
      </c>
      <c r="C9" s="210" t="s">
        <v>283</v>
      </c>
      <c r="D9" s="190"/>
    </row>
    <row r="10" spans="1:4" ht="34.5" customHeight="1">
      <c r="A10" s="190">
        <v>9</v>
      </c>
      <c r="B10" s="190" t="s">
        <v>213</v>
      </c>
      <c r="C10" s="210" t="s">
        <v>283</v>
      </c>
      <c r="D10" s="190"/>
    </row>
    <row r="11" spans="1:4" ht="34.5" customHeight="1">
      <c r="A11" s="190">
        <v>10</v>
      </c>
      <c r="B11" s="190" t="s">
        <v>214</v>
      </c>
      <c r="C11" s="210" t="s">
        <v>284</v>
      </c>
      <c r="D11" s="190" t="s">
        <v>285</v>
      </c>
    </row>
    <row r="12" spans="1:4" ht="34.5" customHeight="1">
      <c r="A12" s="190">
        <v>11</v>
      </c>
      <c r="B12" s="190" t="s">
        <v>215</v>
      </c>
      <c r="C12" s="210" t="s">
        <v>273</v>
      </c>
      <c r="D12" s="190"/>
    </row>
    <row r="13" spans="1:4" ht="24" customHeight="1">
      <c r="A13" s="190">
        <v>12</v>
      </c>
      <c r="B13" s="209" t="s">
        <v>274</v>
      </c>
      <c r="C13" s="210" t="s">
        <v>286</v>
      </c>
      <c r="D13" s="190"/>
    </row>
    <row r="14" spans="1:4" ht="24" customHeight="1">
      <c r="A14" s="190">
        <v>13</v>
      </c>
      <c r="B14" s="209" t="s">
        <v>275</v>
      </c>
      <c r="C14" s="210" t="s">
        <v>287</v>
      </c>
      <c r="D14" s="190"/>
    </row>
    <row r="15" spans="1:4" ht="24" customHeight="1">
      <c r="A15" s="190">
        <v>14</v>
      </c>
      <c r="B15" s="209" t="s">
        <v>276</v>
      </c>
      <c r="C15" s="210" t="s">
        <v>283</v>
      </c>
      <c r="D15" s="190"/>
    </row>
    <row r="16" spans="1:4" ht="24" customHeight="1">
      <c r="A16" s="190">
        <v>15</v>
      </c>
      <c r="B16" s="190" t="s">
        <v>288</v>
      </c>
      <c r="C16" s="190"/>
      <c r="D16" s="190"/>
    </row>
    <row r="17" spans="2:2" ht="16.5">
      <c r="B17" s="211" t="s">
        <v>289</v>
      </c>
    </row>
  </sheetData>
  <phoneticPr fontId="38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8"/>
  <sheetViews>
    <sheetView workbookViewId="0">
      <selection activeCell="H4" sqref="H4"/>
    </sheetView>
  </sheetViews>
  <sheetFormatPr defaultColWidth="9" defaultRowHeight="13.5"/>
  <cols>
    <col min="1" max="2" width="9" style="67"/>
    <col min="3" max="3" width="10.5" style="216" customWidth="1"/>
    <col min="4" max="4" width="9.125" style="216" customWidth="1"/>
    <col min="5" max="7" width="11.125" style="67" customWidth="1"/>
    <col min="8" max="8" width="11.25" style="149" customWidth="1"/>
    <col min="9" max="16384" width="9" style="67"/>
  </cols>
  <sheetData>
    <row r="1" spans="1:11" s="146" customFormat="1" ht="18.75" customHeight="1">
      <c r="C1" s="214"/>
      <c r="D1" s="214"/>
      <c r="F1" s="276" t="s">
        <v>216</v>
      </c>
      <c r="G1" s="276"/>
      <c r="H1" s="147"/>
    </row>
    <row r="2" spans="1:11">
      <c r="A2" s="282" t="s">
        <v>217</v>
      </c>
      <c r="B2" s="282"/>
      <c r="C2" s="283" t="s">
        <v>294</v>
      </c>
      <c r="D2" s="283"/>
      <c r="E2" s="283"/>
      <c r="F2" s="283"/>
      <c r="G2" s="279"/>
      <c r="H2" s="148" t="s">
        <v>224</v>
      </c>
      <c r="J2" s="161"/>
      <c r="K2" s="161"/>
    </row>
    <row r="3" spans="1:11" ht="34.5" customHeight="1">
      <c r="A3" s="282"/>
      <c r="B3" s="282"/>
      <c r="C3" s="154" t="s">
        <v>226</v>
      </c>
      <c r="D3" s="154" t="s">
        <v>225</v>
      </c>
      <c r="E3" s="154" t="s">
        <v>229</v>
      </c>
      <c r="F3" s="154" t="s">
        <v>228</v>
      </c>
      <c r="G3" s="154" t="s">
        <v>227</v>
      </c>
      <c r="H3" s="157">
        <f>销量!C8</f>
        <v>1300</v>
      </c>
    </row>
    <row r="4" spans="1:11">
      <c r="A4" s="277" t="s">
        <v>218</v>
      </c>
      <c r="B4" s="277"/>
      <c r="C4" s="217"/>
      <c r="D4" s="215">
        <f>$H$3*E4</f>
        <v>36.4</v>
      </c>
      <c r="E4" s="171">
        <v>2.8000000000000001E-2</v>
      </c>
      <c r="F4" s="150"/>
      <c r="G4" s="151">
        <v>4.48E-2</v>
      </c>
      <c r="I4" s="159"/>
      <c r="J4" s="68"/>
      <c r="K4" s="68"/>
    </row>
    <row r="5" spans="1:11">
      <c r="A5" s="277" t="s">
        <v>219</v>
      </c>
      <c r="B5" s="152" t="s">
        <v>220</v>
      </c>
      <c r="C5" s="217"/>
      <c r="D5" s="215">
        <f t="shared" ref="D5:D11" si="0">$H$3*E5</f>
        <v>39</v>
      </c>
      <c r="E5" s="151">
        <v>0.03</v>
      </c>
      <c r="F5" s="151"/>
      <c r="G5" s="151">
        <v>4.0399999999999998E-2</v>
      </c>
      <c r="I5" s="160"/>
      <c r="J5" s="68"/>
      <c r="K5" s="68"/>
    </row>
    <row r="6" spans="1:11">
      <c r="A6" s="277"/>
      <c r="B6" s="152" t="s">
        <v>221</v>
      </c>
      <c r="C6" s="217"/>
      <c r="D6" s="215">
        <f t="shared" si="0"/>
        <v>14.299999999999999</v>
      </c>
      <c r="E6" s="171">
        <v>1.0999999999999999E-2</v>
      </c>
      <c r="F6" s="150"/>
      <c r="G6" s="151">
        <v>1.66E-2</v>
      </c>
      <c r="I6" s="159"/>
      <c r="J6" s="68"/>
      <c r="K6" s="68"/>
    </row>
    <row r="7" spans="1:11">
      <c r="A7" s="278" t="s">
        <v>222</v>
      </c>
      <c r="B7" s="279"/>
      <c r="C7" s="218"/>
      <c r="D7" s="215">
        <f t="shared" si="0"/>
        <v>89.699999999999989</v>
      </c>
      <c r="E7" s="170">
        <f>SUM(E4:E6)</f>
        <v>6.8999999999999992E-2</v>
      </c>
      <c r="F7" s="150"/>
      <c r="G7" s="153">
        <f>SUM(G4:G6)</f>
        <v>0.1018</v>
      </c>
      <c r="I7" s="159"/>
      <c r="J7" s="68"/>
      <c r="K7" s="68"/>
    </row>
    <row r="8" spans="1:11">
      <c r="A8" s="277" t="s">
        <v>46</v>
      </c>
      <c r="B8" s="277"/>
      <c r="C8" s="217"/>
      <c r="D8" s="215">
        <f t="shared" si="0"/>
        <v>20.8</v>
      </c>
      <c r="E8" s="172">
        <v>1.6E-2</v>
      </c>
      <c r="F8" s="150"/>
      <c r="G8" s="151">
        <f>1.97%+0.75%</f>
        <v>2.7199999999999998E-2</v>
      </c>
      <c r="I8" s="160"/>
      <c r="J8" s="68"/>
      <c r="K8" s="68"/>
    </row>
    <row r="9" spans="1:11">
      <c r="A9" s="280" t="s">
        <v>223</v>
      </c>
      <c r="B9" s="152" t="s">
        <v>220</v>
      </c>
      <c r="C9" s="217"/>
      <c r="D9" s="215">
        <f t="shared" si="0"/>
        <v>9.1</v>
      </c>
      <c r="E9" s="151">
        <v>7.0000000000000001E-3</v>
      </c>
      <c r="F9" s="150"/>
      <c r="G9" s="151">
        <v>5.3E-3</v>
      </c>
      <c r="I9" s="149"/>
      <c r="J9" s="68"/>
      <c r="K9" s="68"/>
    </row>
    <row r="10" spans="1:11">
      <c r="A10" s="281"/>
      <c r="B10" s="152" t="s">
        <v>221</v>
      </c>
      <c r="C10" s="217"/>
      <c r="D10" s="215">
        <f t="shared" si="0"/>
        <v>51.999999999999993</v>
      </c>
      <c r="E10" s="149">
        <f>2.8%+1.2%</f>
        <v>3.9999999999999994E-2</v>
      </c>
      <c r="F10" s="150"/>
      <c r="G10" s="151">
        <v>3.4099999999999998E-2</v>
      </c>
      <c r="I10" s="149"/>
      <c r="J10" s="68"/>
      <c r="K10" s="68"/>
    </row>
    <row r="11" spans="1:11">
      <c r="A11" s="277" t="s">
        <v>49</v>
      </c>
      <c r="B11" s="277"/>
      <c r="C11" s="217"/>
      <c r="D11" s="215">
        <f t="shared" si="0"/>
        <v>27.689999999999998</v>
      </c>
      <c r="E11" s="151">
        <v>2.1299999999999999E-2</v>
      </c>
      <c r="F11" s="150"/>
      <c r="G11" s="151">
        <v>1.0999999999999999E-2</v>
      </c>
      <c r="I11" s="149"/>
      <c r="J11" s="68"/>
      <c r="K11" s="68"/>
    </row>
    <row r="15" spans="1:11">
      <c r="A15" s="146"/>
      <c r="B15" s="146"/>
      <c r="C15" s="214"/>
      <c r="D15" s="214"/>
      <c r="E15" s="146"/>
      <c r="F15" s="276" t="s">
        <v>216</v>
      </c>
      <c r="G15" s="276"/>
      <c r="H15" s="147"/>
    </row>
    <row r="16" spans="1:11">
      <c r="A16" s="282" t="s">
        <v>217</v>
      </c>
      <c r="B16" s="282"/>
      <c r="C16" s="283" t="s">
        <v>294</v>
      </c>
      <c r="D16" s="283"/>
      <c r="E16" s="283"/>
      <c r="F16" s="283"/>
      <c r="G16" s="279"/>
      <c r="H16" s="148" t="s">
        <v>224</v>
      </c>
    </row>
    <row r="17" spans="1:8" ht="27">
      <c r="A17" s="282"/>
      <c r="B17" s="282"/>
      <c r="C17" s="154" t="s">
        <v>226</v>
      </c>
      <c r="D17" s="154" t="s">
        <v>225</v>
      </c>
      <c r="E17" s="154" t="s">
        <v>229</v>
      </c>
      <c r="F17" s="154" t="s">
        <v>228</v>
      </c>
      <c r="G17" s="154" t="s">
        <v>227</v>
      </c>
      <c r="H17" s="157">
        <f>销量!D8</f>
        <v>420</v>
      </c>
    </row>
    <row r="18" spans="1:8">
      <c r="A18" s="277" t="s">
        <v>218</v>
      </c>
      <c r="B18" s="277"/>
      <c r="C18" s="217"/>
      <c r="D18" s="215">
        <f>$H$17*E18</f>
        <v>11.76</v>
      </c>
      <c r="E18" s="171">
        <v>2.8000000000000001E-2</v>
      </c>
      <c r="F18" s="150"/>
      <c r="G18" s="151">
        <v>4.48E-2</v>
      </c>
    </row>
    <row r="19" spans="1:8">
      <c r="A19" s="277" t="s">
        <v>219</v>
      </c>
      <c r="B19" s="167" t="s">
        <v>220</v>
      </c>
      <c r="C19" s="217"/>
      <c r="D19" s="215">
        <f t="shared" ref="D19:D25" si="1">$H$17*E19</f>
        <v>12.6</v>
      </c>
      <c r="E19" s="151">
        <v>0.03</v>
      </c>
      <c r="F19" s="150"/>
      <c r="G19" s="151">
        <v>4.0399999999999998E-2</v>
      </c>
    </row>
    <row r="20" spans="1:8">
      <c r="A20" s="277"/>
      <c r="B20" s="167" t="s">
        <v>221</v>
      </c>
      <c r="C20" s="217"/>
      <c r="D20" s="215">
        <f t="shared" si="1"/>
        <v>4.62</v>
      </c>
      <c r="E20" s="171">
        <v>1.0999999999999999E-2</v>
      </c>
      <c r="F20" s="150"/>
      <c r="G20" s="151">
        <v>1.66E-2</v>
      </c>
    </row>
    <row r="21" spans="1:8">
      <c r="A21" s="278" t="s">
        <v>222</v>
      </c>
      <c r="B21" s="279"/>
      <c r="C21" s="218"/>
      <c r="D21" s="215">
        <f t="shared" si="1"/>
        <v>28.979999999999997</v>
      </c>
      <c r="E21" s="170">
        <f>SUM(E18:E20)</f>
        <v>6.8999999999999992E-2</v>
      </c>
      <c r="F21" s="150"/>
      <c r="G21" s="153">
        <f>SUM(G18:G20)</f>
        <v>0.1018</v>
      </c>
    </row>
    <row r="22" spans="1:8">
      <c r="A22" s="277" t="s">
        <v>46</v>
      </c>
      <c r="B22" s="277"/>
      <c r="C22" s="217"/>
      <c r="D22" s="215">
        <f t="shared" si="1"/>
        <v>6.72</v>
      </c>
      <c r="E22" s="172">
        <v>1.6E-2</v>
      </c>
      <c r="F22" s="150"/>
      <c r="G22" s="151">
        <f>1.97%+0.75%</f>
        <v>2.7199999999999998E-2</v>
      </c>
    </row>
    <row r="23" spans="1:8">
      <c r="A23" s="280" t="s">
        <v>223</v>
      </c>
      <c r="B23" s="167" t="s">
        <v>220</v>
      </c>
      <c r="C23" s="217"/>
      <c r="D23" s="215">
        <f t="shared" si="1"/>
        <v>2.94</v>
      </c>
      <c r="E23" s="151">
        <v>7.0000000000000001E-3</v>
      </c>
      <c r="F23" s="150"/>
      <c r="G23" s="151">
        <v>5.3E-3</v>
      </c>
    </row>
    <row r="24" spans="1:8">
      <c r="A24" s="281"/>
      <c r="B24" s="167" t="s">
        <v>221</v>
      </c>
      <c r="C24" s="217"/>
      <c r="D24" s="215">
        <f t="shared" si="1"/>
        <v>16.799999999999997</v>
      </c>
      <c r="E24" s="149">
        <f>2.8%+1.2%</f>
        <v>3.9999999999999994E-2</v>
      </c>
      <c r="F24" s="150"/>
      <c r="G24" s="151">
        <v>3.4099999999999998E-2</v>
      </c>
    </row>
    <row r="25" spans="1:8">
      <c r="A25" s="277" t="s">
        <v>49</v>
      </c>
      <c r="B25" s="277"/>
      <c r="C25" s="217"/>
      <c r="D25" s="215">
        <f t="shared" si="1"/>
        <v>8.9459999999999997</v>
      </c>
      <c r="E25" s="151">
        <v>2.1299999999999999E-2</v>
      </c>
      <c r="F25" s="150"/>
      <c r="G25" s="151">
        <v>1.0999999999999999E-2</v>
      </c>
    </row>
    <row r="29" spans="1:8">
      <c r="A29" s="146"/>
      <c r="B29" s="146"/>
      <c r="C29" s="214"/>
      <c r="D29" s="214"/>
      <c r="E29" s="146"/>
      <c r="F29" s="276" t="s">
        <v>216</v>
      </c>
      <c r="G29" s="276"/>
      <c r="H29" s="147"/>
    </row>
    <row r="30" spans="1:8">
      <c r="A30" s="282" t="s">
        <v>217</v>
      </c>
      <c r="B30" s="282"/>
      <c r="C30" s="283" t="s">
        <v>294</v>
      </c>
      <c r="D30" s="283"/>
      <c r="E30" s="283"/>
      <c r="F30" s="283"/>
      <c r="G30" s="279"/>
      <c r="H30" s="148" t="s">
        <v>224</v>
      </c>
    </row>
    <row r="31" spans="1:8" ht="27">
      <c r="A31" s="282"/>
      <c r="B31" s="282"/>
      <c r="C31" s="154" t="s">
        <v>226</v>
      </c>
      <c r="D31" s="154" t="s">
        <v>225</v>
      </c>
      <c r="E31" s="154" t="s">
        <v>229</v>
      </c>
      <c r="F31" s="154" t="s">
        <v>228</v>
      </c>
      <c r="G31" s="154" t="s">
        <v>227</v>
      </c>
      <c r="H31" s="157">
        <f>销量!E8</f>
        <v>0</v>
      </c>
    </row>
    <row r="32" spans="1:8">
      <c r="A32" s="277" t="s">
        <v>218</v>
      </c>
      <c r="B32" s="277"/>
      <c r="C32" s="217"/>
      <c r="D32" s="215">
        <f>$H$31*E32</f>
        <v>0</v>
      </c>
      <c r="E32" s="171">
        <v>2.8000000000000001E-2</v>
      </c>
      <c r="F32" s="150"/>
      <c r="G32" s="151">
        <v>4.48E-2</v>
      </c>
    </row>
    <row r="33" spans="1:8">
      <c r="A33" s="277" t="s">
        <v>219</v>
      </c>
      <c r="B33" s="167" t="s">
        <v>220</v>
      </c>
      <c r="C33" s="217"/>
      <c r="D33" s="215">
        <f t="shared" ref="D33:D39" si="2">$H$31*E33</f>
        <v>0</v>
      </c>
      <c r="E33" s="151">
        <v>0.03</v>
      </c>
      <c r="F33" s="150"/>
      <c r="G33" s="151">
        <v>4.0399999999999998E-2</v>
      </c>
    </row>
    <row r="34" spans="1:8">
      <c r="A34" s="277"/>
      <c r="B34" s="167" t="s">
        <v>221</v>
      </c>
      <c r="C34" s="217"/>
      <c r="D34" s="215">
        <f t="shared" si="2"/>
        <v>0</v>
      </c>
      <c r="E34" s="171">
        <v>1.0999999999999999E-2</v>
      </c>
      <c r="F34" s="150"/>
      <c r="G34" s="151">
        <v>1.66E-2</v>
      </c>
    </row>
    <row r="35" spans="1:8">
      <c r="A35" s="278" t="s">
        <v>222</v>
      </c>
      <c r="B35" s="279"/>
      <c r="C35" s="218"/>
      <c r="D35" s="215">
        <f t="shared" si="2"/>
        <v>0</v>
      </c>
      <c r="E35" s="170">
        <f>SUM(E32:E34)</f>
        <v>6.8999999999999992E-2</v>
      </c>
      <c r="F35" s="153"/>
      <c r="G35" s="153">
        <f>SUM(G32:G34)</f>
        <v>0.1018</v>
      </c>
    </row>
    <row r="36" spans="1:8">
      <c r="A36" s="277" t="s">
        <v>46</v>
      </c>
      <c r="B36" s="277"/>
      <c r="C36" s="217"/>
      <c r="D36" s="215">
        <f t="shared" si="2"/>
        <v>0</v>
      </c>
      <c r="E36" s="172">
        <v>1.6E-2</v>
      </c>
      <c r="F36" s="150"/>
      <c r="G36" s="151">
        <f>1.97%+0.75%</f>
        <v>2.7199999999999998E-2</v>
      </c>
    </row>
    <row r="37" spans="1:8">
      <c r="A37" s="280" t="s">
        <v>223</v>
      </c>
      <c r="B37" s="167" t="s">
        <v>220</v>
      </c>
      <c r="C37" s="217"/>
      <c r="D37" s="215">
        <f t="shared" si="2"/>
        <v>0</v>
      </c>
      <c r="E37" s="151">
        <v>7.0000000000000001E-3</v>
      </c>
      <c r="F37" s="150"/>
      <c r="G37" s="151">
        <v>5.3E-3</v>
      </c>
    </row>
    <row r="38" spans="1:8">
      <c r="A38" s="281"/>
      <c r="B38" s="167" t="s">
        <v>221</v>
      </c>
      <c r="C38" s="217"/>
      <c r="D38" s="215">
        <f t="shared" si="2"/>
        <v>0</v>
      </c>
      <c r="E38" s="149">
        <f>2.8%+1.2%</f>
        <v>3.9999999999999994E-2</v>
      </c>
      <c r="F38" s="150"/>
      <c r="G38" s="151">
        <v>3.4099999999999998E-2</v>
      </c>
    </row>
    <row r="39" spans="1:8">
      <c r="A39" s="277" t="s">
        <v>49</v>
      </c>
      <c r="B39" s="277"/>
      <c r="C39" s="217"/>
      <c r="D39" s="215">
        <f t="shared" si="2"/>
        <v>0</v>
      </c>
      <c r="E39" s="151">
        <v>2.1299999999999999E-2</v>
      </c>
      <c r="F39" s="150"/>
      <c r="G39" s="151">
        <v>1.0999999999999999E-2</v>
      </c>
    </row>
    <row r="42" spans="1:8">
      <c r="A42" s="146"/>
      <c r="B42" s="146"/>
      <c r="C42" s="214"/>
      <c r="D42" s="214"/>
      <c r="E42" s="146"/>
      <c r="F42" s="276" t="s">
        <v>216</v>
      </c>
      <c r="G42" s="276"/>
      <c r="H42" s="147"/>
    </row>
    <row r="43" spans="1:8">
      <c r="A43" s="282" t="s">
        <v>217</v>
      </c>
      <c r="B43" s="282"/>
      <c r="C43" s="283" t="s">
        <v>294</v>
      </c>
      <c r="D43" s="283"/>
      <c r="E43" s="283"/>
      <c r="F43" s="283"/>
      <c r="G43" s="279"/>
      <c r="H43" s="148" t="s">
        <v>224</v>
      </c>
    </row>
    <row r="44" spans="1:8" ht="27">
      <c r="A44" s="282"/>
      <c r="B44" s="282"/>
      <c r="C44" s="154" t="s">
        <v>226</v>
      </c>
      <c r="D44" s="154" t="s">
        <v>225</v>
      </c>
      <c r="E44" s="154" t="s">
        <v>229</v>
      </c>
      <c r="F44" s="154" t="s">
        <v>228</v>
      </c>
      <c r="G44" s="154" t="s">
        <v>227</v>
      </c>
      <c r="H44" s="157">
        <f>销量!F8</f>
        <v>0</v>
      </c>
    </row>
    <row r="45" spans="1:8">
      <c r="A45" s="277" t="s">
        <v>218</v>
      </c>
      <c r="B45" s="277"/>
      <c r="C45" s="217"/>
      <c r="D45" s="215">
        <f>$H$44*E45</f>
        <v>0</v>
      </c>
      <c r="E45" s="171">
        <v>2.8000000000000001E-2</v>
      </c>
      <c r="F45" s="150"/>
      <c r="G45" s="151">
        <v>4.48E-2</v>
      </c>
    </row>
    <row r="46" spans="1:8">
      <c r="A46" s="277" t="s">
        <v>219</v>
      </c>
      <c r="B46" s="167" t="s">
        <v>220</v>
      </c>
      <c r="C46" s="217"/>
      <c r="D46" s="215">
        <f t="shared" ref="D46:D52" si="3">$H$44*E46</f>
        <v>0</v>
      </c>
      <c r="E46" s="151">
        <v>0.03</v>
      </c>
      <c r="F46" s="150"/>
      <c r="G46" s="151">
        <v>4.0399999999999998E-2</v>
      </c>
    </row>
    <row r="47" spans="1:8">
      <c r="A47" s="277"/>
      <c r="B47" s="167" t="s">
        <v>221</v>
      </c>
      <c r="C47" s="217"/>
      <c r="D47" s="215">
        <f t="shared" si="3"/>
        <v>0</v>
      </c>
      <c r="E47" s="171">
        <v>1.0999999999999999E-2</v>
      </c>
      <c r="F47" s="150"/>
      <c r="G47" s="151">
        <v>1.66E-2</v>
      </c>
    </row>
    <row r="48" spans="1:8">
      <c r="A48" s="278" t="s">
        <v>222</v>
      </c>
      <c r="B48" s="279"/>
      <c r="C48" s="218"/>
      <c r="D48" s="215">
        <f t="shared" si="3"/>
        <v>0</v>
      </c>
      <c r="E48" s="170">
        <f>SUM(E45:E47)</f>
        <v>6.8999999999999992E-2</v>
      </c>
      <c r="F48" s="153"/>
      <c r="G48" s="153">
        <f>SUM(G45:G47)</f>
        <v>0.1018</v>
      </c>
    </row>
    <row r="49" spans="1:8">
      <c r="A49" s="277" t="s">
        <v>46</v>
      </c>
      <c r="B49" s="277"/>
      <c r="C49" s="217"/>
      <c r="D49" s="215">
        <f t="shared" si="3"/>
        <v>0</v>
      </c>
      <c r="E49" s="172">
        <v>1.6E-2</v>
      </c>
      <c r="F49" s="150"/>
      <c r="G49" s="151">
        <f>1.97%+0.75%</f>
        <v>2.7199999999999998E-2</v>
      </c>
    </row>
    <row r="50" spans="1:8">
      <c r="A50" s="280" t="s">
        <v>223</v>
      </c>
      <c r="B50" s="167" t="s">
        <v>220</v>
      </c>
      <c r="C50" s="217"/>
      <c r="D50" s="215">
        <f t="shared" si="3"/>
        <v>0</v>
      </c>
      <c r="E50" s="151">
        <v>7.0000000000000001E-3</v>
      </c>
      <c r="F50" s="150"/>
      <c r="G50" s="151">
        <v>5.3E-3</v>
      </c>
    </row>
    <row r="51" spans="1:8">
      <c r="A51" s="281"/>
      <c r="B51" s="167" t="s">
        <v>221</v>
      </c>
      <c r="C51" s="217"/>
      <c r="D51" s="215">
        <f t="shared" si="3"/>
        <v>0</v>
      </c>
      <c r="E51" s="149">
        <f>2.8%+1.2%</f>
        <v>3.9999999999999994E-2</v>
      </c>
      <c r="F51" s="150"/>
      <c r="G51" s="151">
        <v>3.4099999999999998E-2</v>
      </c>
    </row>
    <row r="52" spans="1:8">
      <c r="A52" s="277" t="s">
        <v>49</v>
      </c>
      <c r="B52" s="277"/>
      <c r="C52" s="217"/>
      <c r="D52" s="215">
        <f t="shared" si="3"/>
        <v>0</v>
      </c>
      <c r="E52" s="151">
        <v>2.1299999999999999E-2</v>
      </c>
      <c r="F52" s="150"/>
      <c r="G52" s="151">
        <v>1.0999999999999999E-2</v>
      </c>
    </row>
    <row r="55" spans="1:8">
      <c r="A55" s="146"/>
      <c r="B55" s="146"/>
      <c r="C55" s="214"/>
      <c r="D55" s="214"/>
      <c r="E55" s="146"/>
      <c r="F55" s="276" t="s">
        <v>216</v>
      </c>
      <c r="G55" s="276"/>
      <c r="H55" s="147"/>
    </row>
    <row r="56" spans="1:8">
      <c r="A56" s="282" t="s">
        <v>217</v>
      </c>
      <c r="B56" s="282"/>
      <c r="C56" s="283" t="s">
        <v>294</v>
      </c>
      <c r="D56" s="283"/>
      <c r="E56" s="283"/>
      <c r="F56" s="283"/>
      <c r="G56" s="279"/>
      <c r="H56" s="148" t="s">
        <v>224</v>
      </c>
    </row>
    <row r="57" spans="1:8" ht="27">
      <c r="A57" s="282"/>
      <c r="B57" s="282"/>
      <c r="C57" s="154" t="s">
        <v>226</v>
      </c>
      <c r="D57" s="154" t="s">
        <v>225</v>
      </c>
      <c r="E57" s="154" t="s">
        <v>229</v>
      </c>
      <c r="F57" s="154" t="s">
        <v>228</v>
      </c>
      <c r="G57" s="154" t="s">
        <v>227</v>
      </c>
      <c r="H57" s="157">
        <f>销量!G8</f>
        <v>0</v>
      </c>
    </row>
    <row r="58" spans="1:8">
      <c r="A58" s="277" t="s">
        <v>218</v>
      </c>
      <c r="B58" s="277"/>
      <c r="C58" s="217"/>
      <c r="D58" s="215">
        <f>$H$57*E58</f>
        <v>0</v>
      </c>
      <c r="E58" s="171">
        <v>2.8000000000000001E-2</v>
      </c>
      <c r="F58" s="150"/>
      <c r="G58" s="151">
        <v>4.48E-2</v>
      </c>
    </row>
    <row r="59" spans="1:8">
      <c r="A59" s="277" t="s">
        <v>219</v>
      </c>
      <c r="B59" s="167" t="s">
        <v>220</v>
      </c>
      <c r="C59" s="217"/>
      <c r="D59" s="215">
        <f t="shared" ref="D59:D65" si="4">$H$57*E59</f>
        <v>0</v>
      </c>
      <c r="E59" s="151">
        <v>0.03</v>
      </c>
      <c r="F59" s="150"/>
      <c r="G59" s="151">
        <v>4.0399999999999998E-2</v>
      </c>
    </row>
    <row r="60" spans="1:8">
      <c r="A60" s="277"/>
      <c r="B60" s="167" t="s">
        <v>221</v>
      </c>
      <c r="C60" s="217"/>
      <c r="D60" s="215">
        <f t="shared" si="4"/>
        <v>0</v>
      </c>
      <c r="E60" s="171">
        <v>1.0999999999999999E-2</v>
      </c>
      <c r="F60" s="150"/>
      <c r="G60" s="151">
        <v>1.66E-2</v>
      </c>
    </row>
    <row r="61" spans="1:8">
      <c r="A61" s="278" t="s">
        <v>222</v>
      </c>
      <c r="B61" s="279"/>
      <c r="C61" s="218"/>
      <c r="D61" s="215">
        <f t="shared" si="4"/>
        <v>0</v>
      </c>
      <c r="E61" s="170">
        <f>SUM(E58:E60)</f>
        <v>6.8999999999999992E-2</v>
      </c>
      <c r="F61" s="153"/>
      <c r="G61" s="153">
        <f>SUM(G58:G60)</f>
        <v>0.1018</v>
      </c>
    </row>
    <row r="62" spans="1:8">
      <c r="A62" s="277" t="s">
        <v>46</v>
      </c>
      <c r="B62" s="277"/>
      <c r="C62" s="217"/>
      <c r="D62" s="215">
        <f t="shared" si="4"/>
        <v>0</v>
      </c>
      <c r="E62" s="172">
        <v>1.6E-2</v>
      </c>
      <c r="F62" s="150"/>
      <c r="G62" s="151">
        <f>1.97%+0.75%</f>
        <v>2.7199999999999998E-2</v>
      </c>
    </row>
    <row r="63" spans="1:8">
      <c r="A63" s="280" t="s">
        <v>223</v>
      </c>
      <c r="B63" s="167" t="s">
        <v>220</v>
      </c>
      <c r="C63" s="217"/>
      <c r="D63" s="215">
        <f t="shared" si="4"/>
        <v>0</v>
      </c>
      <c r="E63" s="151">
        <v>7.0000000000000001E-3</v>
      </c>
      <c r="F63" s="150"/>
      <c r="G63" s="151">
        <v>5.3E-3</v>
      </c>
    </row>
    <row r="64" spans="1:8">
      <c r="A64" s="281"/>
      <c r="B64" s="167" t="s">
        <v>221</v>
      </c>
      <c r="C64" s="217"/>
      <c r="D64" s="215">
        <f t="shared" si="4"/>
        <v>0</v>
      </c>
      <c r="E64" s="149">
        <f>2.8%+1.2%</f>
        <v>3.9999999999999994E-2</v>
      </c>
      <c r="F64" s="150"/>
      <c r="G64" s="151">
        <v>3.4099999999999998E-2</v>
      </c>
    </row>
    <row r="65" spans="1:8">
      <c r="A65" s="277" t="s">
        <v>49</v>
      </c>
      <c r="B65" s="277"/>
      <c r="C65" s="217"/>
      <c r="D65" s="215">
        <f t="shared" si="4"/>
        <v>0</v>
      </c>
      <c r="E65" s="151">
        <v>2.1299999999999999E-2</v>
      </c>
      <c r="F65" s="150"/>
      <c r="G65" s="151">
        <v>1.0999999999999999E-2</v>
      </c>
    </row>
    <row r="68" spans="1:8">
      <c r="A68" s="146"/>
      <c r="B68" s="146"/>
      <c r="C68" s="214"/>
      <c r="D68" s="214"/>
      <c r="E68" s="146"/>
      <c r="F68" s="276" t="s">
        <v>216</v>
      </c>
      <c r="G68" s="276"/>
      <c r="H68" s="147"/>
    </row>
    <row r="69" spans="1:8">
      <c r="A69" s="282" t="s">
        <v>217</v>
      </c>
      <c r="B69" s="282"/>
      <c r="C69" s="283" t="s">
        <v>294</v>
      </c>
      <c r="D69" s="283"/>
      <c r="E69" s="283"/>
      <c r="F69" s="283"/>
      <c r="G69" s="279"/>
      <c r="H69" s="148" t="s">
        <v>224</v>
      </c>
    </row>
    <row r="70" spans="1:8" ht="27">
      <c r="A70" s="282"/>
      <c r="B70" s="282"/>
      <c r="C70" s="154" t="s">
        <v>226</v>
      </c>
      <c r="D70" s="154" t="s">
        <v>225</v>
      </c>
      <c r="E70" s="154" t="s">
        <v>229</v>
      </c>
      <c r="F70" s="154" t="s">
        <v>228</v>
      </c>
      <c r="G70" s="154" t="s">
        <v>227</v>
      </c>
      <c r="H70" s="157">
        <f>销量!H8</f>
        <v>0</v>
      </c>
    </row>
    <row r="71" spans="1:8">
      <c r="A71" s="277" t="s">
        <v>218</v>
      </c>
      <c r="B71" s="277"/>
      <c r="C71" s="217"/>
      <c r="D71" s="215">
        <f>$H$70*E71</f>
        <v>0</v>
      </c>
      <c r="E71" s="171">
        <v>2.8000000000000001E-2</v>
      </c>
      <c r="F71" s="150"/>
      <c r="G71" s="151">
        <v>4.48E-2</v>
      </c>
    </row>
    <row r="72" spans="1:8">
      <c r="A72" s="277" t="s">
        <v>219</v>
      </c>
      <c r="B72" s="167" t="s">
        <v>220</v>
      </c>
      <c r="C72" s="217"/>
      <c r="D72" s="215">
        <f t="shared" ref="D72:D78" si="5">$H$70*E72</f>
        <v>0</v>
      </c>
      <c r="E72" s="151">
        <v>0.03</v>
      </c>
      <c r="F72" s="150"/>
      <c r="G72" s="151">
        <v>4.0399999999999998E-2</v>
      </c>
    </row>
    <row r="73" spans="1:8">
      <c r="A73" s="277"/>
      <c r="B73" s="167" t="s">
        <v>221</v>
      </c>
      <c r="C73" s="217"/>
      <c r="D73" s="215">
        <f t="shared" si="5"/>
        <v>0</v>
      </c>
      <c r="E73" s="171">
        <v>1.0999999999999999E-2</v>
      </c>
      <c r="F73" s="150"/>
      <c r="G73" s="151">
        <v>1.66E-2</v>
      </c>
    </row>
    <row r="74" spans="1:8">
      <c r="A74" s="278" t="s">
        <v>222</v>
      </c>
      <c r="B74" s="279"/>
      <c r="C74" s="218"/>
      <c r="D74" s="215">
        <f t="shared" si="5"/>
        <v>0</v>
      </c>
      <c r="E74" s="170">
        <f>SUM(E71:E73)</f>
        <v>6.8999999999999992E-2</v>
      </c>
      <c r="F74" s="153"/>
      <c r="G74" s="153">
        <f>SUM(G71:G73)</f>
        <v>0.1018</v>
      </c>
    </row>
    <row r="75" spans="1:8">
      <c r="A75" s="277" t="s">
        <v>46</v>
      </c>
      <c r="B75" s="277"/>
      <c r="C75" s="217"/>
      <c r="D75" s="215">
        <f t="shared" si="5"/>
        <v>0</v>
      </c>
      <c r="E75" s="172">
        <v>1.6E-2</v>
      </c>
      <c r="F75" s="150"/>
      <c r="G75" s="151">
        <f>1.97%+0.75%</f>
        <v>2.7199999999999998E-2</v>
      </c>
    </row>
    <row r="76" spans="1:8">
      <c r="A76" s="280" t="s">
        <v>223</v>
      </c>
      <c r="B76" s="167" t="s">
        <v>220</v>
      </c>
      <c r="C76" s="217"/>
      <c r="D76" s="215">
        <f t="shared" si="5"/>
        <v>0</v>
      </c>
      <c r="E76" s="151">
        <v>7.0000000000000001E-3</v>
      </c>
      <c r="F76" s="150"/>
      <c r="G76" s="151">
        <v>5.3E-3</v>
      </c>
    </row>
    <row r="77" spans="1:8">
      <c r="A77" s="281"/>
      <c r="B77" s="167" t="s">
        <v>221</v>
      </c>
      <c r="C77" s="217"/>
      <c r="D77" s="215">
        <f t="shared" si="5"/>
        <v>0</v>
      </c>
      <c r="E77" s="149">
        <f>2.8%+1.2%</f>
        <v>3.9999999999999994E-2</v>
      </c>
      <c r="F77" s="150"/>
      <c r="G77" s="151">
        <v>3.4099999999999998E-2</v>
      </c>
    </row>
    <row r="78" spans="1:8">
      <c r="A78" s="277" t="s">
        <v>49</v>
      </c>
      <c r="B78" s="277"/>
      <c r="C78" s="217"/>
      <c r="D78" s="215">
        <f t="shared" si="5"/>
        <v>0</v>
      </c>
      <c r="E78" s="151">
        <v>2.1299999999999999E-2</v>
      </c>
      <c r="F78" s="150"/>
      <c r="G78" s="151">
        <v>1.0999999999999999E-2</v>
      </c>
    </row>
  </sheetData>
  <mergeCells count="54">
    <mergeCell ref="A74:B74"/>
    <mergeCell ref="A75:B75"/>
    <mergeCell ref="A76:A77"/>
    <mergeCell ref="A78:B78"/>
    <mergeCell ref="F68:G68"/>
    <mergeCell ref="A69:B70"/>
    <mergeCell ref="C69:G69"/>
    <mergeCell ref="A71:B71"/>
    <mergeCell ref="A72:A73"/>
    <mergeCell ref="A59:A60"/>
    <mergeCell ref="A61:B61"/>
    <mergeCell ref="A62:B62"/>
    <mergeCell ref="A63:A64"/>
    <mergeCell ref="A65:B65"/>
    <mergeCell ref="A52:B52"/>
    <mergeCell ref="F55:G55"/>
    <mergeCell ref="A56:B57"/>
    <mergeCell ref="C56:G56"/>
    <mergeCell ref="A58:B58"/>
    <mergeCell ref="A45:B45"/>
    <mergeCell ref="A46:A47"/>
    <mergeCell ref="A48:B48"/>
    <mergeCell ref="A49:B49"/>
    <mergeCell ref="A50:A51"/>
    <mergeCell ref="A36:B36"/>
    <mergeCell ref="A37:A38"/>
    <mergeCell ref="A39:B39"/>
    <mergeCell ref="F42:G42"/>
    <mergeCell ref="A43:B44"/>
    <mergeCell ref="C43:G43"/>
    <mergeCell ref="A30:B31"/>
    <mergeCell ref="C30:G30"/>
    <mergeCell ref="A32:B32"/>
    <mergeCell ref="A33:A34"/>
    <mergeCell ref="A35:B35"/>
    <mergeCell ref="A21:B21"/>
    <mergeCell ref="A22:B22"/>
    <mergeCell ref="A23:A24"/>
    <mergeCell ref="A25:B25"/>
    <mergeCell ref="F29:G29"/>
    <mergeCell ref="F15:G15"/>
    <mergeCell ref="A16:B17"/>
    <mergeCell ref="C16:G16"/>
    <mergeCell ref="A18:B18"/>
    <mergeCell ref="A19:A20"/>
    <mergeCell ref="F1:G1"/>
    <mergeCell ref="A4:B4"/>
    <mergeCell ref="A7:B7"/>
    <mergeCell ref="A8:B8"/>
    <mergeCell ref="A11:B11"/>
    <mergeCell ref="A5:A6"/>
    <mergeCell ref="A9:A10"/>
    <mergeCell ref="A2:B3"/>
    <mergeCell ref="C2:G2"/>
  </mergeCells>
  <phoneticPr fontId="38" type="noConversion"/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H6"/>
  <sheetViews>
    <sheetView workbookViewId="0">
      <selection activeCell="F14" sqref="F14"/>
    </sheetView>
  </sheetViews>
  <sheetFormatPr defaultRowHeight="13.5"/>
  <cols>
    <col min="2" max="2" width="19.375" bestFit="1" customWidth="1"/>
    <col min="3" max="3" width="15.875" customWidth="1"/>
    <col min="4" max="4" width="11.375" customWidth="1"/>
    <col min="5" max="5" width="15.125" bestFit="1" customWidth="1"/>
    <col min="6" max="6" width="9.5" bestFit="1" customWidth="1"/>
    <col min="7" max="7" width="10.625" customWidth="1"/>
  </cols>
  <sheetData>
    <row r="2" spans="2:8" ht="18.75">
      <c r="B2" s="284" t="s">
        <v>290</v>
      </c>
      <c r="C2" s="284"/>
      <c r="D2" s="284"/>
      <c r="E2" s="284"/>
      <c r="F2" s="284"/>
      <c r="G2" s="284"/>
      <c r="H2" s="284"/>
    </row>
    <row r="3" spans="2:8" s="3" customFormat="1" ht="30.75" customHeight="1">
      <c r="B3" s="212" t="s">
        <v>239</v>
      </c>
      <c r="C3" s="212" t="s">
        <v>240</v>
      </c>
      <c r="D3" s="183" t="s">
        <v>292</v>
      </c>
      <c r="E3" s="176" t="s">
        <v>291</v>
      </c>
      <c r="F3" s="1" t="s">
        <v>241</v>
      </c>
      <c r="G3" s="187" t="s">
        <v>242</v>
      </c>
      <c r="H3" s="1" t="s">
        <v>243</v>
      </c>
    </row>
    <row r="4" spans="2:8" ht="23.25" customHeight="1">
      <c r="B4" s="183" t="str">
        <f>销量!C6</f>
        <v>KZ14221510012</v>
      </c>
      <c r="C4" s="213" t="str">
        <f>销量!C5</f>
        <v>正司机座椅总成</v>
      </c>
      <c r="D4" s="185">
        <f>材料成本!D11</f>
        <v>980.64638741863212</v>
      </c>
      <c r="E4" s="186">
        <f>销量!C8</f>
        <v>1300</v>
      </c>
      <c r="F4" s="30">
        <f>E4-D4</f>
        <v>319.35361258136788</v>
      </c>
      <c r="G4" s="187">
        <f>F4/E4</f>
        <v>0.24565662506259067</v>
      </c>
      <c r="H4" s="1"/>
    </row>
    <row r="5" spans="2:8" ht="23.25" customHeight="1">
      <c r="B5" s="183" t="str">
        <f>销量!D6</f>
        <v>KZ14221510013</v>
      </c>
      <c r="C5" s="213" t="str">
        <f>销量!D5</f>
        <v>副司机座椅总成</v>
      </c>
      <c r="D5" s="185">
        <f>材料成本!E11</f>
        <v>300.11136596054257</v>
      </c>
      <c r="E5" s="186">
        <f>销量!D8</f>
        <v>420</v>
      </c>
      <c r="F5" s="188">
        <f>E5-D5</f>
        <v>119.88863403945743</v>
      </c>
      <c r="G5" s="187">
        <f t="shared" ref="G5:G6" si="0">F5/E5</f>
        <v>0.28544912866537481</v>
      </c>
      <c r="H5" s="176"/>
    </row>
    <row r="6" spans="2:8" ht="24" customHeight="1">
      <c r="B6" s="176" t="s">
        <v>250</v>
      </c>
      <c r="C6" s="2"/>
      <c r="D6" s="198">
        <f>D4+D5</f>
        <v>1280.7577533791746</v>
      </c>
      <c r="E6" s="198">
        <f>E4+E5</f>
        <v>1720</v>
      </c>
      <c r="F6" s="188">
        <f>E6-D6</f>
        <v>439.24224662082543</v>
      </c>
      <c r="G6" s="187">
        <f t="shared" si="0"/>
        <v>0.25537339919815433</v>
      </c>
      <c r="H6" s="2"/>
    </row>
  </sheetData>
  <mergeCells count="1">
    <mergeCell ref="B2:H2"/>
  </mergeCells>
  <phoneticPr fontId="38" type="noConversion"/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3"/>
  <sheetViews>
    <sheetView tabSelected="1" workbookViewId="0">
      <pane xSplit="3" ySplit="6" topLeftCell="D13" activePane="bottomRight" state="frozen"/>
      <selection pane="topRight"/>
      <selection pane="bottomLeft"/>
      <selection pane="bottomRight" activeCell="D21" sqref="D21"/>
    </sheetView>
  </sheetViews>
  <sheetFormatPr defaultColWidth="9" defaultRowHeight="16.5"/>
  <cols>
    <col min="1" max="1" width="5.125" style="110" customWidth="1"/>
    <col min="2" max="2" width="35.75" style="110" customWidth="1"/>
    <col min="3" max="7" width="13" style="111" customWidth="1"/>
    <col min="8" max="8" width="13.875" style="111" customWidth="1"/>
    <col min="9" max="34" width="9" style="110"/>
    <col min="35" max="35" width="4.375" style="110" customWidth="1"/>
    <col min="36" max="36" width="13.875" style="110" customWidth="1"/>
    <col min="37" max="16384" width="9" style="110"/>
  </cols>
  <sheetData>
    <row r="1" spans="1:37" ht="27" customHeight="1">
      <c r="A1" s="221" t="s">
        <v>252</v>
      </c>
      <c r="B1" s="221"/>
      <c r="C1" s="221"/>
      <c r="D1" s="221"/>
      <c r="E1" s="221"/>
      <c r="F1" s="221"/>
      <c r="G1" s="221"/>
      <c r="H1" s="221"/>
    </row>
    <row r="2" spans="1:37" ht="23.25" customHeight="1">
      <c r="A2" s="222" t="s">
        <v>14</v>
      </c>
      <c r="B2" s="112" t="s">
        <v>1</v>
      </c>
      <c r="C2" s="112" t="s">
        <v>262</v>
      </c>
      <c r="D2" s="112" t="s">
        <v>263</v>
      </c>
      <c r="E2" s="112" t="s">
        <v>264</v>
      </c>
      <c r="F2" s="112" t="s">
        <v>265</v>
      </c>
      <c r="G2" s="112" t="s">
        <v>266</v>
      </c>
      <c r="H2" s="51" t="s">
        <v>16</v>
      </c>
      <c r="AK2" s="110" t="s">
        <v>17</v>
      </c>
    </row>
    <row r="3" spans="1:37" s="48" customFormat="1" ht="15.75" customHeight="1">
      <c r="A3" s="223"/>
      <c r="B3" s="53" t="s">
        <v>3</v>
      </c>
      <c r="C3" s="113">
        <f>'2023年'!E6</f>
        <v>6000</v>
      </c>
      <c r="D3" s="113">
        <f>'2024年'!E6</f>
        <v>12000</v>
      </c>
      <c r="E3" s="113">
        <f>'2025年'!E6</f>
        <v>16000</v>
      </c>
      <c r="F3" s="113">
        <f>'2026年'!E6</f>
        <v>12000</v>
      </c>
      <c r="G3" s="113">
        <f>'2027年'!E6</f>
        <v>8000</v>
      </c>
      <c r="H3" s="113">
        <f>SUM(C3:G3)</f>
        <v>54000</v>
      </c>
      <c r="AI3" s="52" t="s">
        <v>14</v>
      </c>
      <c r="AJ3" s="53" t="s">
        <v>3</v>
      </c>
      <c r="AK3" s="48" t="s">
        <v>18</v>
      </c>
    </row>
    <row r="4" spans="1:37" s="48" customFormat="1" ht="15.75" customHeight="1">
      <c r="A4" s="62">
        <v>1</v>
      </c>
      <c r="B4" s="53" t="s">
        <v>19</v>
      </c>
      <c r="C4" s="113">
        <f>'2023年'!E7</f>
        <v>5160000</v>
      </c>
      <c r="D4" s="113">
        <f>'2024年'!E7</f>
        <v>10320000</v>
      </c>
      <c r="E4" s="113">
        <f>'2025年'!E7</f>
        <v>13760000</v>
      </c>
      <c r="F4" s="113">
        <f>'2026年'!E7</f>
        <v>10320000</v>
      </c>
      <c r="G4" s="113">
        <f>'2027年'!E7</f>
        <v>6880000</v>
      </c>
      <c r="H4" s="113">
        <f t="shared" ref="H4:H10" si="0">SUM(C4:G4)</f>
        <v>46440000</v>
      </c>
      <c r="AI4" s="52" t="s">
        <v>20</v>
      </c>
      <c r="AJ4" s="53" t="s">
        <v>19</v>
      </c>
      <c r="AK4" s="48" t="s">
        <v>18</v>
      </c>
    </row>
    <row r="5" spans="1:37" s="48" customFormat="1" ht="15.75" customHeight="1">
      <c r="A5" s="62">
        <v>2</v>
      </c>
      <c r="B5" s="50" t="s">
        <v>21</v>
      </c>
      <c r="C5" s="113">
        <f>'2023年'!E8</f>
        <v>0</v>
      </c>
      <c r="D5" s="113">
        <f>'2024年'!E8</f>
        <v>412800.00000000035</v>
      </c>
      <c r="E5" s="113">
        <f>'2025年'!E8</f>
        <v>1078784.0000000002</v>
      </c>
      <c r="F5" s="113">
        <f>'2026年'!E8</f>
        <v>1189524.4800000014</v>
      </c>
      <c r="G5" s="113">
        <f>'2027年'!E8</f>
        <v>1036495.667200001</v>
      </c>
      <c r="H5" s="113">
        <f t="shared" si="0"/>
        <v>3717604.1472000028</v>
      </c>
      <c r="AI5" s="52" t="s">
        <v>22</v>
      </c>
      <c r="AJ5" s="50" t="s">
        <v>23</v>
      </c>
      <c r="AK5" s="48" t="s">
        <v>18</v>
      </c>
    </row>
    <row r="6" spans="1:37" s="48" customFormat="1" ht="15.75" customHeight="1">
      <c r="A6" s="62">
        <v>3</v>
      </c>
      <c r="B6" s="53" t="s">
        <v>24</v>
      </c>
      <c r="C6" s="114">
        <f>+C4-C5</f>
        <v>5160000</v>
      </c>
      <c r="D6" s="114">
        <f>'2024年'!E9</f>
        <v>9907200</v>
      </c>
      <c r="E6" s="114">
        <f>'2025年'!E9</f>
        <v>12681216</v>
      </c>
      <c r="F6" s="114">
        <f>'2026年'!E9</f>
        <v>9130475.5199999996</v>
      </c>
      <c r="G6" s="114">
        <f>'2027年'!E9</f>
        <v>5843504.332799999</v>
      </c>
      <c r="H6" s="113">
        <f t="shared" si="0"/>
        <v>42722395.852799997</v>
      </c>
      <c r="AI6" s="52" t="s">
        <v>25</v>
      </c>
      <c r="AJ6" s="53" t="s">
        <v>24</v>
      </c>
      <c r="AK6" s="48" t="s">
        <v>26</v>
      </c>
    </row>
    <row r="7" spans="1:37" s="48" customFormat="1" ht="15.75" customHeight="1">
      <c r="A7" s="62">
        <v>4</v>
      </c>
      <c r="B7" s="52" t="s">
        <v>27</v>
      </c>
      <c r="C7" s="113">
        <f>'2023年'!E10</f>
        <v>3842273.260137524</v>
      </c>
      <c r="D7" s="113">
        <f>'2024年'!E10</f>
        <v>7377164.6594640464</v>
      </c>
      <c r="E7" s="113">
        <f>'2025年'!E10</f>
        <v>9442770.7641139776</v>
      </c>
      <c r="F7" s="113">
        <f>'2026年'!E10</f>
        <v>6798794.9501620643</v>
      </c>
      <c r="G7" s="113">
        <f>'2027年'!E10</f>
        <v>4351228.7681037206</v>
      </c>
      <c r="H7" s="113">
        <f t="shared" si="0"/>
        <v>31812232.401981331</v>
      </c>
      <c r="AI7" s="52" t="s">
        <v>28</v>
      </c>
      <c r="AJ7" s="52" t="s">
        <v>27</v>
      </c>
      <c r="AK7" s="48" t="s">
        <v>29</v>
      </c>
    </row>
    <row r="8" spans="1:37" s="48" customFormat="1" ht="15.75" customHeight="1">
      <c r="A8" s="62">
        <v>5</v>
      </c>
      <c r="B8" s="52" t="s">
        <v>30</v>
      </c>
      <c r="C8" s="113">
        <f>'2023年'!E11</f>
        <v>144480</v>
      </c>
      <c r="D8" s="113">
        <f>'2024年'!E11</f>
        <v>288960</v>
      </c>
      <c r="E8" s="113">
        <f>'2025年'!E11</f>
        <v>385280</v>
      </c>
      <c r="F8" s="113">
        <f>'2026年'!E11</f>
        <v>288960</v>
      </c>
      <c r="G8" s="113">
        <f>'2027年'!E11</f>
        <v>192640</v>
      </c>
      <c r="H8" s="113">
        <f t="shared" si="0"/>
        <v>1300320</v>
      </c>
      <c r="AI8" s="52" t="s">
        <v>31</v>
      </c>
      <c r="AJ8" s="52" t="s">
        <v>30</v>
      </c>
    </row>
    <row r="9" spans="1:37" s="48" customFormat="1" ht="15.75" customHeight="1">
      <c r="A9" s="62">
        <v>6</v>
      </c>
      <c r="B9" s="52" t="s">
        <v>32</v>
      </c>
      <c r="C9" s="113">
        <f>'2023年'!E12</f>
        <v>56760</v>
      </c>
      <c r="D9" s="113">
        <f>'2024年'!E12</f>
        <v>113520</v>
      </c>
      <c r="E9" s="113">
        <f>'2025年'!E12</f>
        <v>151360</v>
      </c>
      <c r="F9" s="113">
        <f>'2026年'!E12</f>
        <v>113520</v>
      </c>
      <c r="G9" s="113">
        <f>'2027年'!E12</f>
        <v>75680</v>
      </c>
      <c r="H9" s="113">
        <f t="shared" si="0"/>
        <v>510840</v>
      </c>
      <c r="AI9" s="52" t="s">
        <v>33</v>
      </c>
      <c r="AJ9" s="52" t="s">
        <v>32</v>
      </c>
    </row>
    <row r="10" spans="1:37" s="48" customFormat="1" ht="15.75" customHeight="1">
      <c r="A10" s="62">
        <v>7</v>
      </c>
      <c r="B10" s="115" t="s">
        <v>34</v>
      </c>
      <c r="C10" s="113">
        <f>'2023年'!E13</f>
        <v>206399.99999999997</v>
      </c>
      <c r="D10" s="113">
        <f>'2024年'!E13</f>
        <v>412799.99999999994</v>
      </c>
      <c r="E10" s="113">
        <f>'2025年'!E13</f>
        <v>550399.99999999988</v>
      </c>
      <c r="F10" s="113">
        <f>'2026年'!E13</f>
        <v>412799.99999999994</v>
      </c>
      <c r="G10" s="113">
        <f>'2027年'!E13</f>
        <v>275199.99999999994</v>
      </c>
      <c r="H10" s="113">
        <f t="shared" si="0"/>
        <v>1857599.9999999998</v>
      </c>
      <c r="AI10" s="52" t="s">
        <v>35</v>
      </c>
      <c r="AJ10" s="52" t="s">
        <v>34</v>
      </c>
      <c r="AK10" s="48" t="s">
        <v>18</v>
      </c>
    </row>
    <row r="11" spans="1:37" s="48" customFormat="1" ht="15.75" customHeight="1">
      <c r="A11" s="62">
        <v>8</v>
      </c>
      <c r="B11" s="116" t="s">
        <v>36</v>
      </c>
      <c r="C11" s="117">
        <f>'2023年'!E14</f>
        <v>407640</v>
      </c>
      <c r="D11" s="117">
        <f>'2024年'!E14</f>
        <v>815280</v>
      </c>
      <c r="E11" s="117">
        <f>'2025年'!E14</f>
        <v>1087040</v>
      </c>
      <c r="F11" s="117">
        <f>'2026年'!E14</f>
        <v>815280</v>
      </c>
      <c r="G11" s="117">
        <f>'2027年'!E14</f>
        <v>543520</v>
      </c>
      <c r="H11" s="117">
        <f>SUM(C11:G11)</f>
        <v>3668760</v>
      </c>
      <c r="AI11" s="52" t="s">
        <v>37</v>
      </c>
      <c r="AJ11" s="55" t="s">
        <v>36</v>
      </c>
    </row>
    <row r="12" spans="1:37" s="48" customFormat="1" ht="15.75" customHeight="1">
      <c r="A12" s="62">
        <v>9</v>
      </c>
      <c r="B12" s="118" t="s">
        <v>38</v>
      </c>
      <c r="C12" s="113">
        <f>'2023年'!E15</f>
        <v>910086.73986247601</v>
      </c>
      <c r="D12" s="113">
        <f>'2024年'!E15</f>
        <v>1714755.3405359536</v>
      </c>
      <c r="E12" s="113">
        <f>'2025年'!E15</f>
        <v>2151405.2358860215</v>
      </c>
      <c r="F12" s="113">
        <f>'2026年'!E15</f>
        <v>1516400.5698379341</v>
      </c>
      <c r="G12" s="113">
        <f>'2027年'!E15</f>
        <v>948755.56469627842</v>
      </c>
      <c r="H12" s="113">
        <f>H6-H7-H11</f>
        <v>7241403.4508186653</v>
      </c>
      <c r="J12" s="110"/>
      <c r="K12" s="110"/>
      <c r="L12" s="110"/>
      <c r="M12" s="110"/>
      <c r="N12" s="110"/>
      <c r="O12" s="110"/>
      <c r="AI12" s="52" t="s">
        <v>39</v>
      </c>
      <c r="AJ12" s="55" t="s">
        <v>38</v>
      </c>
    </row>
    <row r="13" spans="1:37" ht="15.75" customHeight="1">
      <c r="A13" s="62">
        <v>10</v>
      </c>
      <c r="B13" s="119" t="s">
        <v>40</v>
      </c>
      <c r="C13" s="120">
        <f>+C12/C6</f>
        <v>0.17637339919815426</v>
      </c>
      <c r="D13" s="120">
        <f>'2024年'!E16</f>
        <v>0.17308173253148756</v>
      </c>
      <c r="E13" s="120">
        <f>'2025年'!E16</f>
        <v>0.16965291308704319</v>
      </c>
      <c r="F13" s="120">
        <f>'2026年'!E16</f>
        <v>0.16608122616574675</v>
      </c>
      <c r="G13" s="120">
        <f>'2027年'!E16</f>
        <v>0.16236071895606324</v>
      </c>
      <c r="H13" s="120">
        <f>+H12/H6</f>
        <v>0.16949900178278668</v>
      </c>
      <c r="AI13" s="119" t="s">
        <v>41</v>
      </c>
      <c r="AJ13" s="119" t="s">
        <v>40</v>
      </c>
    </row>
    <row r="14" spans="1:37" ht="15.75" customHeight="1">
      <c r="A14" s="62">
        <v>11</v>
      </c>
      <c r="B14" s="119" t="s">
        <v>42</v>
      </c>
      <c r="C14" s="113">
        <f>'2023年'!E17</f>
        <v>188050</v>
      </c>
      <c r="D14" s="113">
        <f>'2024年'!E17</f>
        <v>342850</v>
      </c>
      <c r="E14" s="113">
        <f>'2025年'!E17</f>
        <v>446050</v>
      </c>
      <c r="F14" s="113">
        <f>'2026年'!E17</f>
        <v>342850</v>
      </c>
      <c r="G14" s="113">
        <f>'2027年'!E17</f>
        <v>239650</v>
      </c>
      <c r="H14" s="113">
        <f t="shared" ref="H14" si="1">SUM(C14:G14)</f>
        <v>1559450</v>
      </c>
      <c r="AI14" s="119" t="s">
        <v>43</v>
      </c>
      <c r="AJ14" s="119" t="s">
        <v>42</v>
      </c>
    </row>
    <row r="15" spans="1:37" ht="15.75" hidden="1" customHeight="1">
      <c r="A15" s="155"/>
      <c r="B15" s="119"/>
      <c r="C15" s="113"/>
      <c r="D15" s="113"/>
      <c r="E15" s="113"/>
      <c r="F15" s="113"/>
      <c r="G15" s="113"/>
      <c r="H15" s="113"/>
      <c r="AI15" s="119"/>
      <c r="AJ15" s="119"/>
    </row>
    <row r="16" spans="1:37" ht="15.75" customHeight="1">
      <c r="A16" s="62">
        <v>12</v>
      </c>
      <c r="B16" s="119" t="s">
        <v>44</v>
      </c>
      <c r="C16" s="121">
        <f>'2023年'!E19</f>
        <v>36120</v>
      </c>
      <c r="D16" s="121">
        <f>'2024年'!E19</f>
        <v>72240</v>
      </c>
      <c r="E16" s="121">
        <f>'2025年'!E19</f>
        <v>96320</v>
      </c>
      <c r="F16" s="121">
        <f>'2026年'!E19</f>
        <v>72240</v>
      </c>
      <c r="G16" s="121">
        <f>'2027年'!E19</f>
        <v>48160</v>
      </c>
      <c r="H16" s="113">
        <f>SUM(C16:G16)</f>
        <v>325080</v>
      </c>
      <c r="P16" s="69"/>
      <c r="AI16" s="119" t="s">
        <v>45</v>
      </c>
      <c r="AJ16" s="119" t="s">
        <v>44</v>
      </c>
      <c r="AK16" s="110" t="s">
        <v>18</v>
      </c>
    </row>
    <row r="17" spans="1:37" ht="15.75" customHeight="1">
      <c r="A17" s="62">
        <v>13</v>
      </c>
      <c r="B17" s="119" t="s">
        <v>46</v>
      </c>
      <c r="C17" s="121">
        <f>'2023年'!E20</f>
        <v>82560</v>
      </c>
      <c r="D17" s="121">
        <f>'2024年'!E20</f>
        <v>165120</v>
      </c>
      <c r="E17" s="121">
        <f>'2025年'!E20</f>
        <v>220160</v>
      </c>
      <c r="F17" s="121">
        <f>'2026年'!E20</f>
        <v>165120</v>
      </c>
      <c r="G17" s="121">
        <f>'2027年'!E20</f>
        <v>110080</v>
      </c>
      <c r="H17" s="113">
        <f t="shared" ref="H17:H19" si="2">SUM(C17:G17)</f>
        <v>743040</v>
      </c>
      <c r="AI17" s="119" t="s">
        <v>47</v>
      </c>
      <c r="AJ17" s="119" t="s">
        <v>46</v>
      </c>
    </row>
    <row r="18" spans="1:37" s="47" customFormat="1" ht="15.75" customHeight="1">
      <c r="A18" s="62">
        <v>14</v>
      </c>
      <c r="B18" s="60" t="s">
        <v>48</v>
      </c>
      <c r="C18" s="122">
        <f>'2023年'!E21</f>
        <v>86000</v>
      </c>
      <c r="D18" s="122">
        <f>'2024年'!E21</f>
        <v>86000</v>
      </c>
      <c r="E18" s="122">
        <f>'2025年'!E21</f>
        <v>86000</v>
      </c>
      <c r="F18" s="122">
        <f>'2026年'!E21</f>
        <v>86000</v>
      </c>
      <c r="G18" s="122">
        <f>'2027年'!E21</f>
        <v>86000</v>
      </c>
      <c r="H18" s="113">
        <f t="shared" si="2"/>
        <v>430000</v>
      </c>
      <c r="I18" s="47" t="s">
        <v>251</v>
      </c>
      <c r="AI18" s="60"/>
      <c r="AJ18" s="60"/>
    </row>
    <row r="19" spans="1:37" s="48" customFormat="1" ht="15.75" customHeight="1">
      <c r="A19" s="62">
        <v>15</v>
      </c>
      <c r="B19" s="52" t="s">
        <v>49</v>
      </c>
      <c r="C19" s="121">
        <f>'2023年'!E22</f>
        <v>109908</v>
      </c>
      <c r="D19" s="121">
        <f>'2024年'!E22</f>
        <v>219816</v>
      </c>
      <c r="E19" s="121">
        <f>'2025年'!E22</f>
        <v>293088</v>
      </c>
      <c r="F19" s="121">
        <f>'2026年'!E22</f>
        <v>219816</v>
      </c>
      <c r="G19" s="121">
        <f>'2027年'!E22</f>
        <v>146544</v>
      </c>
      <c r="H19" s="113">
        <f t="shared" si="2"/>
        <v>989172</v>
      </c>
      <c r="AI19" s="52" t="s">
        <v>50</v>
      </c>
      <c r="AJ19" s="52" t="s">
        <v>49</v>
      </c>
    </row>
    <row r="20" spans="1:37" s="108" customFormat="1" ht="15.75" customHeight="1">
      <c r="A20" s="62">
        <v>16</v>
      </c>
      <c r="B20" s="123" t="s">
        <v>51</v>
      </c>
      <c r="C20" s="117">
        <f t="shared" ref="C20" si="3">+C19+C18+C17+C16+C14</f>
        <v>502638</v>
      </c>
      <c r="D20" s="117">
        <f>'2024年'!E23</f>
        <v>886026</v>
      </c>
      <c r="E20" s="117">
        <f>'2025年'!E23</f>
        <v>1141618</v>
      </c>
      <c r="F20" s="117">
        <f>'2026年'!E23</f>
        <v>886026</v>
      </c>
      <c r="G20" s="117">
        <f>'2027年'!E23</f>
        <v>630434</v>
      </c>
      <c r="H20" s="117">
        <f>SUM(C20:G20)</f>
        <v>4046742</v>
      </c>
      <c r="AI20" s="135" t="s">
        <v>52</v>
      </c>
      <c r="AJ20" s="136" t="s">
        <v>51</v>
      </c>
    </row>
    <row r="21" spans="1:37" ht="15.75" customHeight="1">
      <c r="A21" s="62">
        <v>17</v>
      </c>
      <c r="B21" s="119" t="s">
        <v>53</v>
      </c>
      <c r="C21" s="124">
        <f>+C12-C20</f>
        <v>407448.73986247601</v>
      </c>
      <c r="D21" s="124">
        <f>'2024年'!E24</f>
        <v>828729.34053595364</v>
      </c>
      <c r="E21" s="124">
        <f>'2025年'!E24</f>
        <v>1009787.2358860215</v>
      </c>
      <c r="F21" s="124">
        <f>'2026年'!E24</f>
        <v>630374.5698379341</v>
      </c>
      <c r="G21" s="124">
        <f>'2027年'!E24</f>
        <v>318321.56469627842</v>
      </c>
      <c r="H21" s="124">
        <f>+H12-H20</f>
        <v>3194661.4508186653</v>
      </c>
      <c r="AI21" s="119" t="s">
        <v>54</v>
      </c>
      <c r="AJ21" s="119" t="s">
        <v>53</v>
      </c>
    </row>
    <row r="22" spans="1:37" ht="15.75" customHeight="1">
      <c r="A22" s="62">
        <v>18</v>
      </c>
      <c r="B22" s="119" t="s">
        <v>55</v>
      </c>
      <c r="C22" s="124">
        <f>IF(C21&lt;0,0,C21*0.15)</f>
        <v>61117.310979371396</v>
      </c>
      <c r="D22" s="124">
        <f>'2024年'!E25</f>
        <v>124309.40108039304</v>
      </c>
      <c r="E22" s="124">
        <f>'2025年'!E25</f>
        <v>151468.08538290323</v>
      </c>
      <c r="F22" s="124">
        <f>'2026年'!E25</f>
        <v>94556.185475690116</v>
      </c>
      <c r="G22" s="124">
        <f>'2027年'!E25</f>
        <v>47748.234704441762</v>
      </c>
      <c r="H22" s="124">
        <f>IF(H21&lt;0,0,H21*0.15)</f>
        <v>479199.2176227998</v>
      </c>
      <c r="AI22" s="119" t="s">
        <v>56</v>
      </c>
      <c r="AJ22" s="119" t="s">
        <v>55</v>
      </c>
    </row>
    <row r="23" spans="1:37" ht="15.75" customHeight="1">
      <c r="A23" s="62">
        <v>19</v>
      </c>
      <c r="B23" s="119" t="s">
        <v>57</v>
      </c>
      <c r="C23" s="124">
        <f>C21-C22</f>
        <v>346331.42888310459</v>
      </c>
      <c r="D23" s="124">
        <f>'2024年'!E26</f>
        <v>704419.93945556064</v>
      </c>
      <c r="E23" s="124">
        <f>'2025年'!E26</f>
        <v>858319.15050311829</v>
      </c>
      <c r="F23" s="124">
        <f>'2026年'!E26</f>
        <v>535818.38436224405</v>
      </c>
      <c r="G23" s="124">
        <f>'2027年'!E26</f>
        <v>270573.32999183668</v>
      </c>
      <c r="H23" s="124">
        <f>H21-H22</f>
        <v>2715462.2331958655</v>
      </c>
      <c r="AI23" s="119" t="s">
        <v>58</v>
      </c>
      <c r="AJ23" s="119" t="s">
        <v>57</v>
      </c>
    </row>
    <row r="24" spans="1:37" ht="15.75" customHeight="1">
      <c r="A24" s="62">
        <v>20</v>
      </c>
      <c r="B24" s="119" t="s">
        <v>59</v>
      </c>
      <c r="C24" s="125">
        <f>(C23/C4)*100%</f>
        <v>6.7118493969593906E-2</v>
      </c>
      <c r="D24" s="125">
        <f>'2024年'!E27</f>
        <v>6.8257746071275258E-2</v>
      </c>
      <c r="E24" s="125">
        <f>'2025年'!E27</f>
        <v>6.2377845240052202E-2</v>
      </c>
      <c r="F24" s="125">
        <f>'2026年'!E27</f>
        <v>5.1920386081612792E-2</v>
      </c>
      <c r="G24" s="125">
        <f>'2027年'!E27</f>
        <v>3.9327518894162306E-2</v>
      </c>
      <c r="H24" s="125">
        <f>(H23/H4)*100%</f>
        <v>5.8472485641599174E-2</v>
      </c>
      <c r="AI24" s="137" t="s">
        <v>60</v>
      </c>
      <c r="AJ24" s="137" t="s">
        <v>61</v>
      </c>
    </row>
    <row r="25" spans="1:37" s="109" customFormat="1" ht="15.75" customHeight="1">
      <c r="C25" s="126"/>
      <c r="D25" s="126"/>
      <c r="E25" s="126"/>
      <c r="F25" s="126"/>
      <c r="G25" s="126"/>
      <c r="H25" s="126"/>
    </row>
    <row r="26" spans="1:37" s="109" customFormat="1" ht="15.75" customHeight="1">
      <c r="A26" s="109" t="s">
        <v>62</v>
      </c>
      <c r="C26" s="127"/>
      <c r="D26" s="127"/>
      <c r="E26" s="127"/>
      <c r="F26" s="127"/>
      <c r="G26" s="127"/>
      <c r="H26" s="127"/>
      <c r="AI26" s="109" t="s">
        <v>62</v>
      </c>
    </row>
    <row r="27" spans="1:37" ht="15.75" customHeight="1">
      <c r="A27" s="119" t="s">
        <v>14</v>
      </c>
      <c r="B27" s="128" t="s">
        <v>1</v>
      </c>
      <c r="C27" s="112" t="s">
        <v>63</v>
      </c>
      <c r="D27" s="112" t="s">
        <v>15</v>
      </c>
      <c r="E27" s="112" t="s">
        <v>64</v>
      </c>
      <c r="F27" s="112" t="s">
        <v>65</v>
      </c>
      <c r="G27" s="112" t="s">
        <v>66</v>
      </c>
      <c r="H27" s="51" t="s">
        <v>16</v>
      </c>
      <c r="AK27" s="110" t="s">
        <v>17</v>
      </c>
    </row>
    <row r="28" spans="1:37" s="48" customFormat="1" ht="15.75" customHeight="1">
      <c r="A28" s="52" t="s">
        <v>67</v>
      </c>
      <c r="B28" s="55" t="s">
        <v>68</v>
      </c>
      <c r="C28" s="59"/>
      <c r="D28" s="59"/>
      <c r="E28" s="59"/>
      <c r="F28" s="59"/>
      <c r="G28" s="59"/>
      <c r="H28" s="59"/>
      <c r="AI28" s="52" t="s">
        <v>69</v>
      </c>
      <c r="AJ28" s="55" t="s">
        <v>68</v>
      </c>
    </row>
    <row r="29" spans="1:37" s="48" customFormat="1" ht="15.75" customHeight="1">
      <c r="A29" s="52" t="s">
        <v>20</v>
      </c>
      <c r="B29" s="52" t="s">
        <v>70</v>
      </c>
      <c r="C29" s="54">
        <f>+C6/C3</f>
        <v>860</v>
      </c>
      <c r="D29" s="54">
        <f t="shared" ref="D29:G29" si="4">+D6/D3</f>
        <v>825.6</v>
      </c>
      <c r="E29" s="54">
        <f t="shared" si="4"/>
        <v>792.57600000000002</v>
      </c>
      <c r="F29" s="54">
        <f t="shared" si="4"/>
        <v>760.87295999999992</v>
      </c>
      <c r="G29" s="54">
        <f t="shared" si="4"/>
        <v>730.43804159999991</v>
      </c>
      <c r="H29" s="54">
        <f>+H6/H3</f>
        <v>791.15547875555546</v>
      </c>
      <c r="AI29" s="52" t="s">
        <v>20</v>
      </c>
      <c r="AJ29" s="52" t="s">
        <v>70</v>
      </c>
    </row>
    <row r="30" spans="1:37" s="48" customFormat="1" ht="15.75" customHeight="1">
      <c r="A30" s="52" t="s">
        <v>22</v>
      </c>
      <c r="B30" s="52" t="s">
        <v>71</v>
      </c>
      <c r="C30" s="54">
        <f>+C7/C3</f>
        <v>640.37887668958729</v>
      </c>
      <c r="D30" s="54">
        <f t="shared" ref="D30:G30" si="5">+D7/D3</f>
        <v>614.76372162200391</v>
      </c>
      <c r="E30" s="54">
        <f t="shared" si="5"/>
        <v>590.17317275712355</v>
      </c>
      <c r="F30" s="54">
        <f t="shared" si="5"/>
        <v>566.56624584683868</v>
      </c>
      <c r="G30" s="54">
        <f t="shared" si="5"/>
        <v>543.90359601296507</v>
      </c>
      <c r="H30" s="54">
        <f>+H7/H3</f>
        <v>589.1154148515061</v>
      </c>
      <c r="AI30" s="52" t="s">
        <v>22</v>
      </c>
      <c r="AJ30" s="52" t="s">
        <v>71</v>
      </c>
    </row>
    <row r="31" spans="1:37" s="48" customFormat="1" ht="15.75" customHeight="1">
      <c r="A31" s="52" t="s">
        <v>72</v>
      </c>
      <c r="B31" s="52" t="s">
        <v>73</v>
      </c>
      <c r="C31" s="59">
        <f t="shared" ref="C31:H31" si="6">C29-C30</f>
        <v>219.62112331041271</v>
      </c>
      <c r="D31" s="59">
        <f t="shared" si="6"/>
        <v>210.83627837799611</v>
      </c>
      <c r="E31" s="59">
        <f t="shared" si="6"/>
        <v>202.40282724287647</v>
      </c>
      <c r="F31" s="59">
        <f t="shared" si="6"/>
        <v>194.30671415316124</v>
      </c>
      <c r="G31" s="59">
        <f t="shared" si="6"/>
        <v>186.53444558703484</v>
      </c>
      <c r="H31" s="59">
        <f t="shared" si="6"/>
        <v>202.04006390404936</v>
      </c>
      <c r="AI31" s="52" t="s">
        <v>72</v>
      </c>
      <c r="AJ31" s="52" t="s">
        <v>73</v>
      </c>
    </row>
    <row r="32" spans="1:37" s="48" customFormat="1" ht="15.75" customHeight="1">
      <c r="A32" s="52">
        <v>3.1</v>
      </c>
      <c r="B32" s="52" t="s">
        <v>74</v>
      </c>
      <c r="C32" s="129">
        <f t="shared" ref="C32:H32" si="7">C31/C29</f>
        <v>0.25537339919815433</v>
      </c>
      <c r="D32" s="129">
        <f t="shared" si="7"/>
        <v>0.25537339919815422</v>
      </c>
      <c r="E32" s="129">
        <f t="shared" si="7"/>
        <v>0.25537339919815444</v>
      </c>
      <c r="F32" s="129">
        <f t="shared" si="7"/>
        <v>0.25537339919815427</v>
      </c>
      <c r="G32" s="129">
        <f t="shared" si="7"/>
        <v>0.25537339919815433</v>
      </c>
      <c r="H32" s="129">
        <f t="shared" si="7"/>
        <v>0.25537339919815433</v>
      </c>
      <c r="AI32" s="52"/>
      <c r="AJ32" s="52"/>
    </row>
    <row r="33" spans="1:36" s="48" customFormat="1" ht="15.75" customHeight="1">
      <c r="A33" s="52" t="s">
        <v>69</v>
      </c>
      <c r="B33" s="55" t="s">
        <v>8</v>
      </c>
      <c r="C33" s="59"/>
      <c r="D33" s="59"/>
      <c r="E33" s="59"/>
      <c r="F33" s="59"/>
      <c r="G33" s="59"/>
      <c r="H33" s="59"/>
      <c r="AI33" s="52" t="s">
        <v>75</v>
      </c>
      <c r="AJ33" s="55" t="s">
        <v>8</v>
      </c>
    </row>
    <row r="34" spans="1:36" s="48" customFormat="1" ht="15.75" customHeight="1">
      <c r="A34" s="52" t="s">
        <v>20</v>
      </c>
      <c r="B34" s="60" t="s">
        <v>76</v>
      </c>
      <c r="C34" s="54">
        <f>+C8/C3</f>
        <v>24.08</v>
      </c>
      <c r="D34" s="54">
        <f t="shared" ref="D34:G34" si="8">+D8/D3</f>
        <v>24.08</v>
      </c>
      <c r="E34" s="54">
        <f t="shared" si="8"/>
        <v>24.08</v>
      </c>
      <c r="F34" s="54">
        <f t="shared" si="8"/>
        <v>24.08</v>
      </c>
      <c r="G34" s="54">
        <f t="shared" si="8"/>
        <v>24.08</v>
      </c>
      <c r="H34" s="54">
        <f>+H8/H3</f>
        <v>24.08</v>
      </c>
      <c r="AI34" s="52" t="s">
        <v>72</v>
      </c>
      <c r="AJ34" s="52" t="s">
        <v>76</v>
      </c>
    </row>
    <row r="35" spans="1:36" s="48" customFormat="1" ht="15.75" customHeight="1">
      <c r="A35" s="52" t="s">
        <v>22</v>
      </c>
      <c r="B35" s="60" t="s">
        <v>77</v>
      </c>
      <c r="C35" s="54">
        <f>+C9/C3</f>
        <v>9.4600000000000009</v>
      </c>
      <c r="D35" s="54">
        <f t="shared" ref="D35:G35" si="9">+D9/D3</f>
        <v>9.4600000000000009</v>
      </c>
      <c r="E35" s="54">
        <f t="shared" si="9"/>
        <v>9.4600000000000009</v>
      </c>
      <c r="F35" s="54">
        <f t="shared" si="9"/>
        <v>9.4600000000000009</v>
      </c>
      <c r="G35" s="54">
        <f t="shared" si="9"/>
        <v>9.4600000000000009</v>
      </c>
      <c r="H35" s="54">
        <f>+H9/H3</f>
        <v>9.4600000000000009</v>
      </c>
      <c r="AI35" s="52" t="s">
        <v>25</v>
      </c>
      <c r="AJ35" s="52" t="s">
        <v>77</v>
      </c>
    </row>
    <row r="36" spans="1:36" s="48" customFormat="1" ht="15.75" customHeight="1">
      <c r="A36" s="52" t="s">
        <v>72</v>
      </c>
      <c r="B36" s="60" t="s">
        <v>78</v>
      </c>
      <c r="C36" s="54">
        <f>+C10/C3</f>
        <v>34.4</v>
      </c>
      <c r="D36" s="54">
        <f t="shared" ref="D36:G36" si="10">+D10/D3</f>
        <v>34.4</v>
      </c>
      <c r="E36" s="54">
        <f t="shared" si="10"/>
        <v>34.399999999999991</v>
      </c>
      <c r="F36" s="54">
        <f t="shared" si="10"/>
        <v>34.4</v>
      </c>
      <c r="G36" s="54">
        <f t="shared" si="10"/>
        <v>34.399999999999991</v>
      </c>
      <c r="H36" s="54">
        <f>+H10/H3</f>
        <v>34.4</v>
      </c>
      <c r="AI36" s="52" t="s">
        <v>31</v>
      </c>
      <c r="AJ36" s="52" t="s">
        <v>78</v>
      </c>
    </row>
    <row r="37" spans="1:36" s="48" customFormat="1" ht="15.75" customHeight="1">
      <c r="A37" s="52" t="s">
        <v>79</v>
      </c>
      <c r="B37" s="118" t="s">
        <v>80</v>
      </c>
      <c r="C37" s="54"/>
      <c r="D37" s="54"/>
      <c r="E37" s="54"/>
      <c r="F37" s="54"/>
      <c r="G37" s="54"/>
      <c r="H37" s="54"/>
      <c r="AI37" s="52" t="s">
        <v>79</v>
      </c>
      <c r="AJ37" s="55" t="s">
        <v>80</v>
      </c>
    </row>
    <row r="38" spans="1:36" s="48" customFormat="1">
      <c r="A38" s="52" t="s">
        <v>20</v>
      </c>
      <c r="B38" s="60" t="s">
        <v>81</v>
      </c>
      <c r="C38" s="54">
        <f>+C12/C3</f>
        <v>151.68112331041266</v>
      </c>
      <c r="D38" s="54">
        <f t="shared" ref="D38:G38" si="11">+D12/D3</f>
        <v>142.89627837799614</v>
      </c>
      <c r="E38" s="54">
        <f t="shared" si="11"/>
        <v>134.46282724287636</v>
      </c>
      <c r="F38" s="54">
        <f t="shared" si="11"/>
        <v>126.36671415316117</v>
      </c>
      <c r="G38" s="54">
        <f t="shared" si="11"/>
        <v>118.5944455870348</v>
      </c>
      <c r="H38" s="54">
        <f>+H12/H3</f>
        <v>134.10006390404936</v>
      </c>
      <c r="AI38" s="52" t="s">
        <v>20</v>
      </c>
      <c r="AJ38" s="52" t="s">
        <v>82</v>
      </c>
    </row>
    <row r="39" spans="1:36" s="48" customFormat="1" ht="15.75" customHeight="1">
      <c r="A39" s="52" t="s">
        <v>22</v>
      </c>
      <c r="B39" s="60" t="s">
        <v>83</v>
      </c>
      <c r="C39" s="113">
        <f t="shared" ref="C39:G39" si="12">+C20/C38</f>
        <v>3313.7808385777871</v>
      </c>
      <c r="D39" s="113">
        <f t="shared" si="12"/>
        <v>6200.4833859720347</v>
      </c>
      <c r="E39" s="113">
        <f t="shared" si="12"/>
        <v>8490.2126737074177</v>
      </c>
      <c r="F39" s="113">
        <f t="shared" si="12"/>
        <v>7011.5457692925647</v>
      </c>
      <c r="G39" s="113">
        <f t="shared" si="12"/>
        <v>5315.8813372699933</v>
      </c>
      <c r="H39" s="178">
        <f t="shared" ref="H39" si="13">+H20/H38</f>
        <v>30177.0325992947</v>
      </c>
      <c r="AI39" s="52" t="s">
        <v>22</v>
      </c>
      <c r="AJ39" s="52" t="s">
        <v>83</v>
      </c>
    </row>
    <row r="40" spans="1:36" s="48" customFormat="1" ht="15.75" customHeight="1">
      <c r="A40" s="52" t="s">
        <v>84</v>
      </c>
      <c r="B40" s="55" t="s">
        <v>85</v>
      </c>
      <c r="C40" s="59"/>
      <c r="D40" s="59"/>
      <c r="E40" s="59"/>
      <c r="F40" s="59"/>
      <c r="G40" s="59"/>
      <c r="H40" s="59"/>
      <c r="AI40" s="52" t="s">
        <v>84</v>
      </c>
      <c r="AJ40" s="55" t="s">
        <v>85</v>
      </c>
    </row>
    <row r="41" spans="1:36" s="48" customFormat="1" ht="15.75" customHeight="1">
      <c r="A41" s="52" t="s">
        <v>20</v>
      </c>
      <c r="B41" s="52" t="s">
        <v>86</v>
      </c>
      <c r="C41" s="59">
        <f>+C14/C3</f>
        <v>31.341666666666665</v>
      </c>
      <c r="D41" s="59">
        <f t="shared" ref="D41:G41" si="14">+D14/D3</f>
        <v>28.570833333333333</v>
      </c>
      <c r="E41" s="59">
        <f t="shared" si="14"/>
        <v>27.878125000000001</v>
      </c>
      <c r="F41" s="59">
        <f t="shared" si="14"/>
        <v>28.570833333333333</v>
      </c>
      <c r="G41" s="59">
        <f t="shared" si="14"/>
        <v>29.956250000000001</v>
      </c>
      <c r="H41" s="59">
        <f>+H14/H3</f>
        <v>28.878703703703703</v>
      </c>
      <c r="AI41" s="52" t="s">
        <v>20</v>
      </c>
      <c r="AJ41" s="52" t="s">
        <v>86</v>
      </c>
    </row>
    <row r="42" spans="1:36" s="48" customFormat="1" ht="15.75" customHeight="1">
      <c r="A42" s="52" t="s">
        <v>22</v>
      </c>
      <c r="B42" s="52" t="s">
        <v>87</v>
      </c>
      <c r="C42" s="59">
        <f>+C16/C3</f>
        <v>6.02</v>
      </c>
      <c r="D42" s="59">
        <f t="shared" ref="D42:G42" si="15">+D16/D3</f>
        <v>6.02</v>
      </c>
      <c r="E42" s="59">
        <f t="shared" si="15"/>
        <v>6.02</v>
      </c>
      <c r="F42" s="59">
        <f t="shared" si="15"/>
        <v>6.02</v>
      </c>
      <c r="G42" s="59">
        <f t="shared" si="15"/>
        <v>6.02</v>
      </c>
      <c r="H42" s="59">
        <f>+H16/H3</f>
        <v>6.02</v>
      </c>
      <c r="AI42" s="52" t="s">
        <v>22</v>
      </c>
      <c r="AJ42" s="52" t="s">
        <v>87</v>
      </c>
    </row>
    <row r="43" spans="1:36" s="48" customFormat="1" ht="15.75" customHeight="1">
      <c r="A43" s="52" t="s">
        <v>72</v>
      </c>
      <c r="B43" s="52" t="s">
        <v>88</v>
      </c>
      <c r="C43" s="59">
        <f>+C17/C3</f>
        <v>13.76</v>
      </c>
      <c r="D43" s="59">
        <f t="shared" ref="D43:G43" si="16">+D17/D3</f>
        <v>13.76</v>
      </c>
      <c r="E43" s="59">
        <f t="shared" si="16"/>
        <v>13.76</v>
      </c>
      <c r="F43" s="59">
        <f t="shared" si="16"/>
        <v>13.76</v>
      </c>
      <c r="G43" s="59">
        <f t="shared" si="16"/>
        <v>13.76</v>
      </c>
      <c r="H43" s="59">
        <f>+H17/H3</f>
        <v>13.76</v>
      </c>
      <c r="AI43" s="52" t="s">
        <v>72</v>
      </c>
      <c r="AJ43" s="52" t="s">
        <v>88</v>
      </c>
    </row>
    <row r="44" spans="1:36" s="48" customFormat="1" ht="15.75" customHeight="1">
      <c r="A44" s="52" t="s">
        <v>25</v>
      </c>
      <c r="B44" s="52" t="s">
        <v>89</v>
      </c>
      <c r="C44" s="59"/>
      <c r="D44" s="59"/>
      <c r="E44" s="59"/>
      <c r="F44" s="59"/>
      <c r="G44" s="59"/>
      <c r="H44" s="59"/>
      <c r="AI44" s="52" t="s">
        <v>25</v>
      </c>
      <c r="AJ44" s="52" t="s">
        <v>90</v>
      </c>
    </row>
    <row r="45" spans="1:36" s="48" customFormat="1" ht="15.75" customHeight="1">
      <c r="A45" s="52" t="s">
        <v>28</v>
      </c>
      <c r="B45" s="52" t="s">
        <v>91</v>
      </c>
      <c r="C45" s="59"/>
      <c r="D45" s="59"/>
      <c r="E45" s="59"/>
      <c r="F45" s="59"/>
      <c r="G45" s="59"/>
      <c r="H45" s="59"/>
      <c r="AI45" s="52" t="s">
        <v>28</v>
      </c>
      <c r="AJ45" s="52" t="s">
        <v>91</v>
      </c>
    </row>
    <row r="46" spans="1:36" s="48" customFormat="1" ht="15.75" customHeight="1">
      <c r="A46" s="52" t="s">
        <v>92</v>
      </c>
      <c r="B46" s="55" t="s">
        <v>93</v>
      </c>
      <c r="C46" s="59"/>
      <c r="D46" s="59"/>
      <c r="E46" s="59"/>
      <c r="F46" s="59"/>
      <c r="G46" s="59"/>
      <c r="H46" s="59"/>
      <c r="AI46" s="52" t="s">
        <v>92</v>
      </c>
      <c r="AJ46" s="55" t="s">
        <v>93</v>
      </c>
    </row>
    <row r="47" spans="1:36" s="48" customFormat="1" ht="15.75" customHeight="1">
      <c r="A47" s="52" t="s">
        <v>20</v>
      </c>
      <c r="B47" s="52" t="s">
        <v>94</v>
      </c>
      <c r="C47" s="130">
        <f>+(C10+C16)/C6</f>
        <v>4.6999999999999993E-2</v>
      </c>
      <c r="D47" s="130">
        <f t="shared" ref="D47:G47" si="17">+(D10+D16)/D6</f>
        <v>4.8958333333333326E-2</v>
      </c>
      <c r="E47" s="130">
        <f t="shared" si="17"/>
        <v>5.0998263888888881E-2</v>
      </c>
      <c r="F47" s="130">
        <f t="shared" si="17"/>
        <v>5.3123191550925923E-2</v>
      </c>
      <c r="G47" s="130">
        <f t="shared" si="17"/>
        <v>5.5336657865547839E-2</v>
      </c>
      <c r="H47" s="130">
        <f>+(H10+H16)/H6</f>
        <v>5.1089831373699719E-2</v>
      </c>
      <c r="AI47" s="52" t="s">
        <v>20</v>
      </c>
      <c r="AJ47" s="52" t="s">
        <v>94</v>
      </c>
    </row>
    <row r="48" spans="1:36" s="48" customFormat="1" ht="15.75" customHeight="1">
      <c r="A48" s="52" t="s">
        <v>22</v>
      </c>
      <c r="B48" s="52" t="s">
        <v>95</v>
      </c>
      <c r="C48" s="130">
        <f>+(C8+C9+C14)/C6</f>
        <v>7.5443798449612409E-2</v>
      </c>
      <c r="D48" s="130">
        <f t="shared" ref="D48:G48" si="18">+(D8+D9+D14)/D6</f>
        <v>7.5231145025839788E-2</v>
      </c>
      <c r="E48" s="130">
        <f t="shared" si="18"/>
        <v>7.749177996810401E-2</v>
      </c>
      <c r="F48" s="130">
        <f t="shared" si="18"/>
        <v>8.1631016738107423E-2</v>
      </c>
      <c r="G48" s="130">
        <f t="shared" si="18"/>
        <v>8.6929002028582197E-2</v>
      </c>
      <c r="H48" s="130">
        <f>+(H8+H9+H14)/H6</f>
        <v>7.8895622137237706E-2</v>
      </c>
      <c r="AI48" s="52" t="s">
        <v>22</v>
      </c>
      <c r="AJ48" s="52" t="s">
        <v>95</v>
      </c>
    </row>
    <row r="49" spans="1:36" s="48" customFormat="1" ht="15.75" customHeight="1">
      <c r="A49" s="52" t="s">
        <v>72</v>
      </c>
      <c r="B49" s="52" t="s">
        <v>96</v>
      </c>
      <c r="C49" s="130">
        <f>+C17/C6</f>
        <v>1.6E-2</v>
      </c>
      <c r="D49" s="130">
        <f t="shared" ref="D49:G49" si="19">+D17/D6</f>
        <v>1.6666666666666666E-2</v>
      </c>
      <c r="E49" s="130">
        <f t="shared" si="19"/>
        <v>1.7361111111111112E-2</v>
      </c>
      <c r="F49" s="130">
        <f t="shared" si="19"/>
        <v>1.8084490740740741E-2</v>
      </c>
      <c r="G49" s="130">
        <f t="shared" si="19"/>
        <v>1.8838011188271608E-2</v>
      </c>
      <c r="H49" s="130">
        <f>+H17/H6</f>
        <v>1.7392283020833947E-2</v>
      </c>
      <c r="AI49" s="52" t="s">
        <v>72</v>
      </c>
      <c r="AJ49" s="52" t="s">
        <v>96</v>
      </c>
    </row>
    <row r="50" spans="1:36" s="48" customFormat="1" ht="15.75" customHeight="1">
      <c r="A50" s="52" t="s">
        <v>25</v>
      </c>
      <c r="B50" s="52" t="s">
        <v>97</v>
      </c>
      <c r="C50" s="130">
        <f>+C18/C6</f>
        <v>1.6666666666666666E-2</v>
      </c>
      <c r="D50" s="130">
        <f t="shared" ref="D50:G50" si="20">+D18/D6</f>
        <v>8.6805555555555559E-3</v>
      </c>
      <c r="E50" s="130">
        <f t="shared" si="20"/>
        <v>6.781684027777778E-3</v>
      </c>
      <c r="F50" s="130">
        <f t="shared" si="20"/>
        <v>9.4190055941358024E-3</v>
      </c>
      <c r="G50" s="130">
        <f t="shared" si="20"/>
        <v>1.4717196240837194E-2</v>
      </c>
      <c r="H50" s="130">
        <f>+H18/H6</f>
        <v>1.0064978600019646E-2</v>
      </c>
      <c r="AI50" s="52" t="s">
        <v>25</v>
      </c>
      <c r="AJ50" s="52" t="s">
        <v>97</v>
      </c>
    </row>
    <row r="51" spans="1:36" s="48" customFormat="1" ht="15.75" customHeight="1">
      <c r="A51" s="52" t="s">
        <v>28</v>
      </c>
      <c r="B51" s="52" t="s">
        <v>98</v>
      </c>
      <c r="C51" s="130">
        <f>+C19/C6</f>
        <v>2.1299999999999999E-2</v>
      </c>
      <c r="D51" s="130">
        <f t="shared" ref="D51:G51" si="21">+D19/D6</f>
        <v>2.2187499999999999E-2</v>
      </c>
      <c r="E51" s="130">
        <f t="shared" si="21"/>
        <v>2.3111979166666668E-2</v>
      </c>
      <c r="F51" s="130">
        <f t="shared" si="21"/>
        <v>2.4074978298611112E-2</v>
      </c>
      <c r="G51" s="130">
        <f t="shared" si="21"/>
        <v>2.5078102394386577E-2</v>
      </c>
      <c r="H51" s="130">
        <f>+H19/H6</f>
        <v>2.3153476771485191E-2</v>
      </c>
      <c r="AI51" s="52" t="s">
        <v>28</v>
      </c>
      <c r="AJ51" s="52" t="s">
        <v>98</v>
      </c>
    </row>
    <row r="52" spans="1:36" s="48" customFormat="1" ht="15.75" customHeight="1">
      <c r="A52" s="52" t="s">
        <v>31</v>
      </c>
      <c r="B52" s="52" t="s">
        <v>99</v>
      </c>
      <c r="C52" s="130">
        <f>+C23/C6</f>
        <v>6.7118493969593906E-2</v>
      </c>
      <c r="D52" s="130">
        <f t="shared" ref="D52:G52" si="22">+D23/D6</f>
        <v>7.1101818824245058E-2</v>
      </c>
      <c r="E52" s="130">
        <f t="shared" si="22"/>
        <v>6.7684293880264979E-2</v>
      </c>
      <c r="F52" s="130">
        <f t="shared" si="22"/>
        <v>5.8684608834288193E-2</v>
      </c>
      <c r="G52" s="130">
        <f t="shared" si="22"/>
        <v>4.630326505844954E-2</v>
      </c>
      <c r="H52" s="130">
        <f>+H23/H6</f>
        <v>6.356062620064637E-2</v>
      </c>
      <c r="AI52" s="52" t="s">
        <v>31</v>
      </c>
      <c r="AJ52" s="52" t="s">
        <v>100</v>
      </c>
    </row>
    <row r="53" spans="1:36" s="48" customFormat="1" ht="15.75" customHeight="1">
      <c r="A53" s="52" t="s">
        <v>101</v>
      </c>
      <c r="B53" s="55" t="s">
        <v>102</v>
      </c>
      <c r="C53" s="59">
        <f>+C21/C3</f>
        <v>67.908123310412662</v>
      </c>
      <c r="D53" s="59">
        <f t="shared" ref="D53:G53" si="23">+D21/D3</f>
        <v>69.060778377996144</v>
      </c>
      <c r="E53" s="59">
        <f t="shared" si="23"/>
        <v>63.111702242876348</v>
      </c>
      <c r="F53" s="59">
        <f t="shared" si="23"/>
        <v>52.531214153161173</v>
      </c>
      <c r="G53" s="59">
        <f t="shared" si="23"/>
        <v>39.790195587034802</v>
      </c>
      <c r="H53" s="59">
        <f>+H21/H3</f>
        <v>59.160397237382689</v>
      </c>
      <c r="AI53" s="52" t="s">
        <v>101</v>
      </c>
      <c r="AJ53" s="55" t="s">
        <v>102</v>
      </c>
    </row>
    <row r="54" spans="1:36" s="48" customFormat="1" ht="15.75" customHeight="1">
      <c r="A54" s="52" t="s">
        <v>103</v>
      </c>
      <c r="B54" s="131" t="s">
        <v>104</v>
      </c>
      <c r="C54" s="59"/>
      <c r="D54" s="59"/>
      <c r="E54" s="59"/>
      <c r="F54" s="59"/>
      <c r="G54" s="59"/>
      <c r="H54" s="59"/>
      <c r="AI54" s="52"/>
      <c r="AJ54" s="55"/>
    </row>
    <row r="55" spans="1:36" s="48" customFormat="1" ht="15.75" customHeight="1">
      <c r="A55" s="52" t="s">
        <v>20</v>
      </c>
      <c r="B55" s="52" t="s">
        <v>105</v>
      </c>
      <c r="C55" s="59">
        <f>C56+C57</f>
        <v>605000</v>
      </c>
      <c r="D55" s="59"/>
      <c r="E55" s="59"/>
      <c r="F55" s="59"/>
      <c r="G55" s="59"/>
      <c r="H55" s="59"/>
    </row>
    <row r="56" spans="1:36" s="48" customFormat="1" ht="15.75" customHeight="1">
      <c r="A56" s="52">
        <v>1.1000000000000001</v>
      </c>
      <c r="B56" s="132" t="s">
        <v>106</v>
      </c>
      <c r="C56" s="59">
        <f>项目投资!B27</f>
        <v>430000</v>
      </c>
      <c r="D56" s="59"/>
      <c r="E56" s="59"/>
      <c r="F56" s="59"/>
      <c r="G56" s="59"/>
      <c r="H56" s="59"/>
    </row>
    <row r="57" spans="1:36" s="48" customFormat="1" ht="15.75" customHeight="1">
      <c r="A57" s="52">
        <v>1.2</v>
      </c>
      <c r="B57" s="52" t="s">
        <v>107</v>
      </c>
      <c r="C57" s="59">
        <f>项目投资!B26</f>
        <v>175000</v>
      </c>
      <c r="D57" s="59"/>
      <c r="E57" s="59"/>
      <c r="F57" s="59"/>
      <c r="G57" s="59"/>
      <c r="H57" s="59"/>
    </row>
    <row r="58" spans="1:36" ht="15.75" customHeight="1">
      <c r="A58" s="119" t="s">
        <v>22</v>
      </c>
      <c r="B58" s="119" t="s">
        <v>108</v>
      </c>
      <c r="C58" s="133">
        <f t="shared" ref="C58:G58" si="24">C59+C60</f>
        <v>379581.42888310459</v>
      </c>
      <c r="D58" s="133">
        <f t="shared" si="24"/>
        <v>737669.93945556064</v>
      </c>
      <c r="E58" s="133">
        <f t="shared" si="24"/>
        <v>891569.15050311829</v>
      </c>
      <c r="F58" s="133">
        <f t="shared" si="24"/>
        <v>569068.38436224405</v>
      </c>
      <c r="G58" s="133">
        <f t="shared" si="24"/>
        <v>303823.32999183668</v>
      </c>
      <c r="H58" s="133">
        <f t="shared" ref="H58" si="25">H59+H60</f>
        <v>2881712.2331958655</v>
      </c>
    </row>
    <row r="59" spans="1:36" ht="15.75" customHeight="1">
      <c r="A59" s="119" t="s">
        <v>72</v>
      </c>
      <c r="B59" s="119" t="s">
        <v>109</v>
      </c>
      <c r="C59" s="133">
        <f t="shared" ref="C59:G59" si="26">C23</f>
        <v>346331.42888310459</v>
      </c>
      <c r="D59" s="133">
        <f t="shared" si="26"/>
        <v>704419.93945556064</v>
      </c>
      <c r="E59" s="133">
        <f t="shared" si="26"/>
        <v>858319.15050311829</v>
      </c>
      <c r="F59" s="133">
        <f t="shared" si="26"/>
        <v>535818.38436224405</v>
      </c>
      <c r="G59" s="133">
        <f t="shared" si="26"/>
        <v>270573.32999183668</v>
      </c>
      <c r="H59" s="133">
        <f t="shared" ref="H59" si="27">H23</f>
        <v>2715462.2331958655</v>
      </c>
    </row>
    <row r="60" spans="1:36" ht="15.75" customHeight="1">
      <c r="A60" s="119" t="s">
        <v>25</v>
      </c>
      <c r="B60" s="119" t="s">
        <v>110</v>
      </c>
      <c r="C60" s="133">
        <f>'2023年'!E18</f>
        <v>33250</v>
      </c>
      <c r="D60" s="133">
        <f>'2024年'!E18</f>
        <v>33250</v>
      </c>
      <c r="E60" s="133">
        <f>'2025年'!E18</f>
        <v>33250</v>
      </c>
      <c r="F60" s="133">
        <f>'2026年'!E18</f>
        <v>33250</v>
      </c>
      <c r="G60" s="133">
        <f>'2027年'!E18</f>
        <v>33250</v>
      </c>
      <c r="H60" s="133">
        <f>项目投资!I26</f>
        <v>166250</v>
      </c>
    </row>
    <row r="61" spans="1:36" ht="15.75" customHeight="1">
      <c r="A61" s="119" t="s">
        <v>28</v>
      </c>
      <c r="B61" s="119" t="s">
        <v>111</v>
      </c>
      <c r="C61" s="134"/>
      <c r="D61" s="134"/>
      <c r="E61" s="134"/>
      <c r="F61" s="134"/>
      <c r="G61" s="134"/>
      <c r="H61" s="133"/>
    </row>
    <row r="63" spans="1:36">
      <c r="B63"/>
    </row>
  </sheetData>
  <mergeCells count="2">
    <mergeCell ref="A1:H1"/>
    <mergeCell ref="A2:A3"/>
  </mergeCells>
  <phoneticPr fontId="38" type="noConversion"/>
  <pageMargins left="0.31496062992126" right="0.31496062992126" top="0.15748031496063" bottom="0.15748031496063" header="0" footer="0"/>
  <pageSetup paperSize="9" orientation="portrait" horizontalDpi="2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73" customWidth="1"/>
    <col min="2" max="2" width="28.5" style="73" customWidth="1"/>
    <col min="3" max="4" width="9.125" style="73"/>
    <col min="5" max="5" width="13.875" style="73" customWidth="1"/>
    <col min="6" max="12" width="16.125" style="73" customWidth="1"/>
    <col min="13" max="13" width="10.625" style="73" customWidth="1"/>
    <col min="14" max="254" width="9.125" style="73"/>
    <col min="255" max="255" width="8" style="73" customWidth="1"/>
    <col min="256" max="256" width="28.5" style="73" customWidth="1"/>
    <col min="257" max="268" width="9.125" style="73"/>
    <col min="269" max="269" width="10.625" style="73" customWidth="1"/>
    <col min="270" max="510" width="9.125" style="73"/>
    <col min="511" max="511" width="8" style="73" customWidth="1"/>
    <col min="512" max="512" width="28.5" style="73" customWidth="1"/>
    <col min="513" max="524" width="9.125" style="73"/>
    <col min="525" max="525" width="10.625" style="73" customWidth="1"/>
    <col min="526" max="766" width="9.125" style="73"/>
    <col min="767" max="767" width="8" style="73" customWidth="1"/>
    <col min="768" max="768" width="28.5" style="73" customWidth="1"/>
    <col min="769" max="780" width="9.125" style="73"/>
    <col min="781" max="781" width="10.625" style="73" customWidth="1"/>
    <col min="782" max="1022" width="9.125" style="73"/>
    <col min="1023" max="1023" width="8" style="73" customWidth="1"/>
    <col min="1024" max="1024" width="28.5" style="73" customWidth="1"/>
    <col min="1025" max="1036" width="9.125" style="73"/>
    <col min="1037" max="1037" width="10.625" style="73" customWidth="1"/>
    <col min="1038" max="1278" width="9.125" style="73"/>
    <col min="1279" max="1279" width="8" style="73" customWidth="1"/>
    <col min="1280" max="1280" width="28.5" style="73" customWidth="1"/>
    <col min="1281" max="1292" width="9.125" style="73"/>
    <col min="1293" max="1293" width="10.625" style="73" customWidth="1"/>
    <col min="1294" max="1534" width="9.125" style="73"/>
    <col min="1535" max="1535" width="8" style="73" customWidth="1"/>
    <col min="1536" max="1536" width="28.5" style="73" customWidth="1"/>
    <col min="1537" max="1548" width="9.125" style="73"/>
    <col min="1549" max="1549" width="10.625" style="73" customWidth="1"/>
    <col min="1550" max="1790" width="9.125" style="73"/>
    <col min="1791" max="1791" width="8" style="73" customWidth="1"/>
    <col min="1792" max="1792" width="28.5" style="73" customWidth="1"/>
    <col min="1793" max="1804" width="9.125" style="73"/>
    <col min="1805" max="1805" width="10.625" style="73" customWidth="1"/>
    <col min="1806" max="2046" width="9.125" style="73"/>
    <col min="2047" max="2047" width="8" style="73" customWidth="1"/>
    <col min="2048" max="2048" width="28.5" style="73" customWidth="1"/>
    <col min="2049" max="2060" width="9.125" style="73"/>
    <col min="2061" max="2061" width="10.625" style="73" customWidth="1"/>
    <col min="2062" max="2302" width="9.125" style="73"/>
    <col min="2303" max="2303" width="8" style="73" customWidth="1"/>
    <col min="2304" max="2304" width="28.5" style="73" customWidth="1"/>
    <col min="2305" max="2316" width="9.125" style="73"/>
    <col min="2317" max="2317" width="10.625" style="73" customWidth="1"/>
    <col min="2318" max="2558" width="9.125" style="73"/>
    <col min="2559" max="2559" width="8" style="73" customWidth="1"/>
    <col min="2560" max="2560" width="28.5" style="73" customWidth="1"/>
    <col min="2561" max="2572" width="9.125" style="73"/>
    <col min="2573" max="2573" width="10.625" style="73" customWidth="1"/>
    <col min="2574" max="2814" width="9.125" style="73"/>
    <col min="2815" max="2815" width="8" style="73" customWidth="1"/>
    <col min="2816" max="2816" width="28.5" style="73" customWidth="1"/>
    <col min="2817" max="2828" width="9.125" style="73"/>
    <col min="2829" max="2829" width="10.625" style="73" customWidth="1"/>
    <col min="2830" max="3070" width="9.125" style="73"/>
    <col min="3071" max="3071" width="8" style="73" customWidth="1"/>
    <col min="3072" max="3072" width="28.5" style="73" customWidth="1"/>
    <col min="3073" max="3084" width="9.125" style="73"/>
    <col min="3085" max="3085" width="10.625" style="73" customWidth="1"/>
    <col min="3086" max="3326" width="9.125" style="73"/>
    <col min="3327" max="3327" width="8" style="73" customWidth="1"/>
    <col min="3328" max="3328" width="28.5" style="73" customWidth="1"/>
    <col min="3329" max="3340" width="9.125" style="73"/>
    <col min="3341" max="3341" width="10.625" style="73" customWidth="1"/>
    <col min="3342" max="3582" width="9.125" style="73"/>
    <col min="3583" max="3583" width="8" style="73" customWidth="1"/>
    <col min="3584" max="3584" width="28.5" style="73" customWidth="1"/>
    <col min="3585" max="3596" width="9.125" style="73"/>
    <col min="3597" max="3597" width="10.625" style="73" customWidth="1"/>
    <col min="3598" max="3838" width="9.125" style="73"/>
    <col min="3839" max="3839" width="8" style="73" customWidth="1"/>
    <col min="3840" max="3840" width="28.5" style="73" customWidth="1"/>
    <col min="3841" max="3852" width="9.125" style="73"/>
    <col min="3853" max="3853" width="10.625" style="73" customWidth="1"/>
    <col min="3854" max="4094" width="9.125" style="73"/>
    <col min="4095" max="4095" width="8" style="73" customWidth="1"/>
    <col min="4096" max="4096" width="28.5" style="73" customWidth="1"/>
    <col min="4097" max="4108" width="9.125" style="73"/>
    <col min="4109" max="4109" width="10.625" style="73" customWidth="1"/>
    <col min="4110" max="4350" width="9.125" style="73"/>
    <col min="4351" max="4351" width="8" style="73" customWidth="1"/>
    <col min="4352" max="4352" width="28.5" style="73" customWidth="1"/>
    <col min="4353" max="4364" width="9.125" style="73"/>
    <col min="4365" max="4365" width="10.625" style="73" customWidth="1"/>
    <col min="4366" max="4606" width="9.125" style="73"/>
    <col min="4607" max="4607" width="8" style="73" customWidth="1"/>
    <col min="4608" max="4608" width="28.5" style="73" customWidth="1"/>
    <col min="4609" max="4620" width="9.125" style="73"/>
    <col min="4621" max="4621" width="10.625" style="73" customWidth="1"/>
    <col min="4622" max="4862" width="9.125" style="73"/>
    <col min="4863" max="4863" width="8" style="73" customWidth="1"/>
    <col min="4864" max="4864" width="28.5" style="73" customWidth="1"/>
    <col min="4865" max="4876" width="9.125" style="73"/>
    <col min="4877" max="4877" width="10.625" style="73" customWidth="1"/>
    <col min="4878" max="5118" width="9.125" style="73"/>
    <col min="5119" max="5119" width="8" style="73" customWidth="1"/>
    <col min="5120" max="5120" width="28.5" style="73" customWidth="1"/>
    <col min="5121" max="5132" width="9.125" style="73"/>
    <col min="5133" max="5133" width="10.625" style="73" customWidth="1"/>
    <col min="5134" max="5374" width="9.125" style="73"/>
    <col min="5375" max="5375" width="8" style="73" customWidth="1"/>
    <col min="5376" max="5376" width="28.5" style="73" customWidth="1"/>
    <col min="5377" max="5388" width="9.125" style="73"/>
    <col min="5389" max="5389" width="10.625" style="73" customWidth="1"/>
    <col min="5390" max="5630" width="9.125" style="73"/>
    <col min="5631" max="5631" width="8" style="73" customWidth="1"/>
    <col min="5632" max="5632" width="28.5" style="73" customWidth="1"/>
    <col min="5633" max="5644" width="9.125" style="73"/>
    <col min="5645" max="5645" width="10.625" style="73" customWidth="1"/>
    <col min="5646" max="5886" width="9.125" style="73"/>
    <col min="5887" max="5887" width="8" style="73" customWidth="1"/>
    <col min="5888" max="5888" width="28.5" style="73" customWidth="1"/>
    <col min="5889" max="5900" width="9.125" style="73"/>
    <col min="5901" max="5901" width="10.625" style="73" customWidth="1"/>
    <col min="5902" max="6142" width="9.125" style="73"/>
    <col min="6143" max="6143" width="8" style="73" customWidth="1"/>
    <col min="6144" max="6144" width="28.5" style="73" customWidth="1"/>
    <col min="6145" max="6156" width="9.125" style="73"/>
    <col min="6157" max="6157" width="10.625" style="73" customWidth="1"/>
    <col min="6158" max="6398" width="9.125" style="73"/>
    <col min="6399" max="6399" width="8" style="73" customWidth="1"/>
    <col min="6400" max="6400" width="28.5" style="73" customWidth="1"/>
    <col min="6401" max="6412" width="9.125" style="73"/>
    <col min="6413" max="6413" width="10.625" style="73" customWidth="1"/>
    <col min="6414" max="6654" width="9.125" style="73"/>
    <col min="6655" max="6655" width="8" style="73" customWidth="1"/>
    <col min="6656" max="6656" width="28.5" style="73" customWidth="1"/>
    <col min="6657" max="6668" width="9.125" style="73"/>
    <col min="6669" max="6669" width="10.625" style="73" customWidth="1"/>
    <col min="6670" max="6910" width="9.125" style="73"/>
    <col min="6911" max="6911" width="8" style="73" customWidth="1"/>
    <col min="6912" max="6912" width="28.5" style="73" customWidth="1"/>
    <col min="6913" max="6924" width="9.125" style="73"/>
    <col min="6925" max="6925" width="10.625" style="73" customWidth="1"/>
    <col min="6926" max="7166" width="9.125" style="73"/>
    <col min="7167" max="7167" width="8" style="73" customWidth="1"/>
    <col min="7168" max="7168" width="28.5" style="73" customWidth="1"/>
    <col min="7169" max="7180" width="9.125" style="73"/>
    <col min="7181" max="7181" width="10.625" style="73" customWidth="1"/>
    <col min="7182" max="7422" width="9.125" style="73"/>
    <col min="7423" max="7423" width="8" style="73" customWidth="1"/>
    <col min="7424" max="7424" width="28.5" style="73" customWidth="1"/>
    <col min="7425" max="7436" width="9.125" style="73"/>
    <col min="7437" max="7437" width="10.625" style="73" customWidth="1"/>
    <col min="7438" max="7678" width="9.125" style="73"/>
    <col min="7679" max="7679" width="8" style="73" customWidth="1"/>
    <col min="7680" max="7680" width="28.5" style="73" customWidth="1"/>
    <col min="7681" max="7692" width="9.125" style="73"/>
    <col min="7693" max="7693" width="10.625" style="73" customWidth="1"/>
    <col min="7694" max="7934" width="9.125" style="73"/>
    <col min="7935" max="7935" width="8" style="73" customWidth="1"/>
    <col min="7936" max="7936" width="28.5" style="73" customWidth="1"/>
    <col min="7937" max="7948" width="9.125" style="73"/>
    <col min="7949" max="7949" width="10.625" style="73" customWidth="1"/>
    <col min="7950" max="8190" width="9.125" style="73"/>
    <col min="8191" max="8191" width="8" style="73" customWidth="1"/>
    <col min="8192" max="8192" width="28.5" style="73" customWidth="1"/>
    <col min="8193" max="8204" width="9.125" style="73"/>
    <col min="8205" max="8205" width="10.625" style="73" customWidth="1"/>
    <col min="8206" max="8446" width="9.125" style="73"/>
    <col min="8447" max="8447" width="8" style="73" customWidth="1"/>
    <col min="8448" max="8448" width="28.5" style="73" customWidth="1"/>
    <col min="8449" max="8460" width="9.125" style="73"/>
    <col min="8461" max="8461" width="10.625" style="73" customWidth="1"/>
    <col min="8462" max="8702" width="9.125" style="73"/>
    <col min="8703" max="8703" width="8" style="73" customWidth="1"/>
    <col min="8704" max="8704" width="28.5" style="73" customWidth="1"/>
    <col min="8705" max="8716" width="9.125" style="73"/>
    <col min="8717" max="8717" width="10.625" style="73" customWidth="1"/>
    <col min="8718" max="8958" width="9.125" style="73"/>
    <col min="8959" max="8959" width="8" style="73" customWidth="1"/>
    <col min="8960" max="8960" width="28.5" style="73" customWidth="1"/>
    <col min="8961" max="8972" width="9.125" style="73"/>
    <col min="8973" max="8973" width="10.625" style="73" customWidth="1"/>
    <col min="8974" max="9214" width="9.125" style="73"/>
    <col min="9215" max="9215" width="8" style="73" customWidth="1"/>
    <col min="9216" max="9216" width="28.5" style="73" customWidth="1"/>
    <col min="9217" max="9228" width="9.125" style="73"/>
    <col min="9229" max="9229" width="10.625" style="73" customWidth="1"/>
    <col min="9230" max="9470" width="9.125" style="73"/>
    <col min="9471" max="9471" width="8" style="73" customWidth="1"/>
    <col min="9472" max="9472" width="28.5" style="73" customWidth="1"/>
    <col min="9473" max="9484" width="9.125" style="73"/>
    <col min="9485" max="9485" width="10.625" style="73" customWidth="1"/>
    <col min="9486" max="9726" width="9.125" style="73"/>
    <col min="9727" max="9727" width="8" style="73" customWidth="1"/>
    <col min="9728" max="9728" width="28.5" style="73" customWidth="1"/>
    <col min="9729" max="9740" width="9.125" style="73"/>
    <col min="9741" max="9741" width="10.625" style="73" customWidth="1"/>
    <col min="9742" max="9982" width="9.125" style="73"/>
    <col min="9983" max="9983" width="8" style="73" customWidth="1"/>
    <col min="9984" max="9984" width="28.5" style="73" customWidth="1"/>
    <col min="9985" max="9996" width="9.125" style="73"/>
    <col min="9997" max="9997" width="10.625" style="73" customWidth="1"/>
    <col min="9998" max="10238" width="9.125" style="73"/>
    <col min="10239" max="10239" width="8" style="73" customWidth="1"/>
    <col min="10240" max="10240" width="28.5" style="73" customWidth="1"/>
    <col min="10241" max="10252" width="9.125" style="73"/>
    <col min="10253" max="10253" width="10.625" style="73" customWidth="1"/>
    <col min="10254" max="10494" width="9.125" style="73"/>
    <col min="10495" max="10495" width="8" style="73" customWidth="1"/>
    <col min="10496" max="10496" width="28.5" style="73" customWidth="1"/>
    <col min="10497" max="10508" width="9.125" style="73"/>
    <col min="10509" max="10509" width="10.625" style="73" customWidth="1"/>
    <col min="10510" max="10750" width="9.125" style="73"/>
    <col min="10751" max="10751" width="8" style="73" customWidth="1"/>
    <col min="10752" max="10752" width="28.5" style="73" customWidth="1"/>
    <col min="10753" max="10764" width="9.125" style="73"/>
    <col min="10765" max="10765" width="10.625" style="73" customWidth="1"/>
    <col min="10766" max="11006" width="9.125" style="73"/>
    <col min="11007" max="11007" width="8" style="73" customWidth="1"/>
    <col min="11008" max="11008" width="28.5" style="73" customWidth="1"/>
    <col min="11009" max="11020" width="9.125" style="73"/>
    <col min="11021" max="11021" width="10.625" style="73" customWidth="1"/>
    <col min="11022" max="11262" width="9.125" style="73"/>
    <col min="11263" max="11263" width="8" style="73" customWidth="1"/>
    <col min="11264" max="11264" width="28.5" style="73" customWidth="1"/>
    <col min="11265" max="11276" width="9.125" style="73"/>
    <col min="11277" max="11277" width="10.625" style="73" customWidth="1"/>
    <col min="11278" max="11518" width="9.125" style="73"/>
    <col min="11519" max="11519" width="8" style="73" customWidth="1"/>
    <col min="11520" max="11520" width="28.5" style="73" customWidth="1"/>
    <col min="11521" max="11532" width="9.125" style="73"/>
    <col min="11533" max="11533" width="10.625" style="73" customWidth="1"/>
    <col min="11534" max="11774" width="9.125" style="73"/>
    <col min="11775" max="11775" width="8" style="73" customWidth="1"/>
    <col min="11776" max="11776" width="28.5" style="73" customWidth="1"/>
    <col min="11777" max="11788" width="9.125" style="73"/>
    <col min="11789" max="11789" width="10.625" style="73" customWidth="1"/>
    <col min="11790" max="12030" width="9.125" style="73"/>
    <col min="12031" max="12031" width="8" style="73" customWidth="1"/>
    <col min="12032" max="12032" width="28.5" style="73" customWidth="1"/>
    <col min="12033" max="12044" width="9.125" style="73"/>
    <col min="12045" max="12045" width="10.625" style="73" customWidth="1"/>
    <col min="12046" max="12286" width="9.125" style="73"/>
    <col min="12287" max="12287" width="8" style="73" customWidth="1"/>
    <col min="12288" max="12288" width="28.5" style="73" customWidth="1"/>
    <col min="12289" max="12300" width="9.125" style="73"/>
    <col min="12301" max="12301" width="10.625" style="73" customWidth="1"/>
    <col min="12302" max="12542" width="9.125" style="73"/>
    <col min="12543" max="12543" width="8" style="73" customWidth="1"/>
    <col min="12544" max="12544" width="28.5" style="73" customWidth="1"/>
    <col min="12545" max="12556" width="9.125" style="73"/>
    <col min="12557" max="12557" width="10.625" style="73" customWidth="1"/>
    <col min="12558" max="12798" width="9.125" style="73"/>
    <col min="12799" max="12799" width="8" style="73" customWidth="1"/>
    <col min="12800" max="12800" width="28.5" style="73" customWidth="1"/>
    <col min="12801" max="12812" width="9.125" style="73"/>
    <col min="12813" max="12813" width="10.625" style="73" customWidth="1"/>
    <col min="12814" max="13054" width="9.125" style="73"/>
    <col min="13055" max="13055" width="8" style="73" customWidth="1"/>
    <col min="13056" max="13056" width="28.5" style="73" customWidth="1"/>
    <col min="13057" max="13068" width="9.125" style="73"/>
    <col min="13069" max="13069" width="10.625" style="73" customWidth="1"/>
    <col min="13070" max="13310" width="9.125" style="73"/>
    <col min="13311" max="13311" width="8" style="73" customWidth="1"/>
    <col min="13312" max="13312" width="28.5" style="73" customWidth="1"/>
    <col min="13313" max="13324" width="9.125" style="73"/>
    <col min="13325" max="13325" width="10.625" style="73" customWidth="1"/>
    <col min="13326" max="13566" width="9.125" style="73"/>
    <col min="13567" max="13567" width="8" style="73" customWidth="1"/>
    <col min="13568" max="13568" width="28.5" style="73" customWidth="1"/>
    <col min="13569" max="13580" width="9.125" style="73"/>
    <col min="13581" max="13581" width="10.625" style="73" customWidth="1"/>
    <col min="13582" max="13822" width="9.125" style="73"/>
    <col min="13823" max="13823" width="8" style="73" customWidth="1"/>
    <col min="13824" max="13824" width="28.5" style="73" customWidth="1"/>
    <col min="13825" max="13836" width="9.125" style="73"/>
    <col min="13837" max="13837" width="10.625" style="73" customWidth="1"/>
    <col min="13838" max="14078" width="9.125" style="73"/>
    <col min="14079" max="14079" width="8" style="73" customWidth="1"/>
    <col min="14080" max="14080" width="28.5" style="73" customWidth="1"/>
    <col min="14081" max="14092" width="9.125" style="73"/>
    <col min="14093" max="14093" width="10.625" style="73" customWidth="1"/>
    <col min="14094" max="14334" width="9.125" style="73"/>
    <col min="14335" max="14335" width="8" style="73" customWidth="1"/>
    <col min="14336" max="14336" width="28.5" style="73" customWidth="1"/>
    <col min="14337" max="14348" width="9.125" style="73"/>
    <col min="14349" max="14349" width="10.625" style="73" customWidth="1"/>
    <col min="14350" max="14590" width="9.125" style="73"/>
    <col min="14591" max="14591" width="8" style="73" customWidth="1"/>
    <col min="14592" max="14592" width="28.5" style="73" customWidth="1"/>
    <col min="14593" max="14604" width="9.125" style="73"/>
    <col min="14605" max="14605" width="10.625" style="73" customWidth="1"/>
    <col min="14606" max="14846" width="9.125" style="73"/>
    <col min="14847" max="14847" width="8" style="73" customWidth="1"/>
    <col min="14848" max="14848" width="28.5" style="73" customWidth="1"/>
    <col min="14849" max="14860" width="9.125" style="73"/>
    <col min="14861" max="14861" width="10.625" style="73" customWidth="1"/>
    <col min="14862" max="15102" width="9.125" style="73"/>
    <col min="15103" max="15103" width="8" style="73" customWidth="1"/>
    <col min="15104" max="15104" width="28.5" style="73" customWidth="1"/>
    <col min="15105" max="15116" width="9.125" style="73"/>
    <col min="15117" max="15117" width="10.625" style="73" customWidth="1"/>
    <col min="15118" max="15358" width="9.125" style="73"/>
    <col min="15359" max="15359" width="8" style="73" customWidth="1"/>
    <col min="15360" max="15360" width="28.5" style="73" customWidth="1"/>
    <col min="15361" max="15372" width="9.125" style="73"/>
    <col min="15373" max="15373" width="10.625" style="73" customWidth="1"/>
    <col min="15374" max="15614" width="9.125" style="73"/>
    <col min="15615" max="15615" width="8" style="73" customWidth="1"/>
    <col min="15616" max="15616" width="28.5" style="73" customWidth="1"/>
    <col min="15617" max="15628" width="9.125" style="73"/>
    <col min="15629" max="15629" width="10.625" style="73" customWidth="1"/>
    <col min="15630" max="15870" width="9.125" style="73"/>
    <col min="15871" max="15871" width="8" style="73" customWidth="1"/>
    <col min="15872" max="15872" width="28.5" style="73" customWidth="1"/>
    <col min="15873" max="15884" width="9.125" style="73"/>
    <col min="15885" max="15885" width="10.625" style="73" customWidth="1"/>
    <col min="15886" max="16126" width="9.125" style="73"/>
    <col min="16127" max="16127" width="8" style="73" customWidth="1"/>
    <col min="16128" max="16128" width="28.5" style="73" customWidth="1"/>
    <col min="16129" max="16140" width="9.125" style="73"/>
    <col min="16141" max="16141" width="10.625" style="73" customWidth="1"/>
    <col min="16142" max="16384" width="9.125" style="73"/>
  </cols>
  <sheetData>
    <row r="1" spans="1:13" ht="18.75">
      <c r="A1" s="74" t="s">
        <v>112</v>
      </c>
      <c r="B1" s="75"/>
      <c r="C1" s="76"/>
      <c r="D1" s="76"/>
      <c r="E1" s="75"/>
      <c r="F1" s="76"/>
      <c r="G1" s="76"/>
      <c r="H1" s="75"/>
      <c r="I1" s="76"/>
      <c r="J1" s="76"/>
      <c r="K1" s="76"/>
      <c r="L1" s="76"/>
      <c r="M1" s="76"/>
    </row>
    <row r="2" spans="1:13" ht="12">
      <c r="A2" s="73" t="s">
        <v>113</v>
      </c>
      <c r="B2" s="77"/>
    </row>
    <row r="3" spans="1:13" ht="16.899999999999999" customHeight="1">
      <c r="A3" s="78" t="s">
        <v>14</v>
      </c>
      <c r="B3" s="78" t="s">
        <v>114</v>
      </c>
      <c r="C3" s="224" t="s">
        <v>115</v>
      </c>
      <c r="D3" s="224"/>
      <c r="E3" s="224"/>
      <c r="F3" s="80"/>
      <c r="G3" s="81"/>
      <c r="H3" s="82"/>
      <c r="I3" s="82"/>
      <c r="J3" s="82" t="s">
        <v>116</v>
      </c>
      <c r="K3" s="82"/>
      <c r="L3" s="82"/>
      <c r="M3" s="103"/>
    </row>
    <row r="4" spans="1:13" ht="16.149999999999999" customHeight="1">
      <c r="A4" s="83"/>
      <c r="B4" s="83" t="s">
        <v>117</v>
      </c>
      <c r="C4" s="79">
        <v>2017</v>
      </c>
      <c r="D4" s="79">
        <f t="shared" ref="D4:L4" si="0">C4+1</f>
        <v>2018</v>
      </c>
      <c r="E4" s="79">
        <f t="shared" si="0"/>
        <v>2019</v>
      </c>
      <c r="F4" s="79">
        <f t="shared" si="0"/>
        <v>2020</v>
      </c>
      <c r="G4" s="79">
        <f t="shared" si="0"/>
        <v>2021</v>
      </c>
      <c r="H4" s="84">
        <f t="shared" si="0"/>
        <v>2022</v>
      </c>
      <c r="I4" s="84">
        <f t="shared" si="0"/>
        <v>2023</v>
      </c>
      <c r="J4" s="84">
        <f t="shared" si="0"/>
        <v>2024</v>
      </c>
      <c r="K4" s="84">
        <f t="shared" si="0"/>
        <v>2025</v>
      </c>
      <c r="L4" s="84">
        <f t="shared" si="0"/>
        <v>2026</v>
      </c>
      <c r="M4" s="104" t="s">
        <v>118</v>
      </c>
    </row>
    <row r="5" spans="1:13" ht="15.6" customHeight="1">
      <c r="A5" s="85">
        <v>1</v>
      </c>
      <c r="B5" s="86" t="s">
        <v>119</v>
      </c>
      <c r="C5" s="87">
        <f>SUM(C6:C9)</f>
        <v>0</v>
      </c>
      <c r="D5" s="87">
        <f t="shared" ref="D5:L5" si="1">SUM(D6:D9)</f>
        <v>0</v>
      </c>
      <c r="E5" s="87" t="e">
        <f t="shared" si="1"/>
        <v>#REF!</v>
      </c>
      <c r="F5" s="87">
        <f t="shared" si="1"/>
        <v>5160000</v>
      </c>
      <c r="G5" s="87">
        <f t="shared" si="1"/>
        <v>10320000</v>
      </c>
      <c r="H5" s="87">
        <f t="shared" si="1"/>
        <v>13760000</v>
      </c>
      <c r="I5" s="87" t="e">
        <f t="shared" si="1"/>
        <v>#REF!</v>
      </c>
      <c r="J5" s="87" t="e">
        <f t="shared" si="1"/>
        <v>#REF!</v>
      </c>
      <c r="K5" s="87" t="e">
        <f t="shared" si="1"/>
        <v>#REF!</v>
      </c>
      <c r="L5" s="87">
        <f t="shared" si="1"/>
        <v>46440000</v>
      </c>
      <c r="M5" s="91" t="e">
        <f t="shared" ref="M5:M17" si="2">SUM(C5:L5)</f>
        <v>#REF!</v>
      </c>
    </row>
    <row r="6" spans="1:13" ht="15.6" customHeight="1">
      <c r="A6" s="85">
        <v>1.1000000000000001</v>
      </c>
      <c r="B6" s="88" t="s">
        <v>120</v>
      </c>
      <c r="C6" s="89"/>
      <c r="D6" s="89"/>
      <c r="E6" s="89" t="e">
        <f>损益表!#REF!</f>
        <v>#REF!</v>
      </c>
      <c r="F6" s="89">
        <f>损益表!C4</f>
        <v>5160000</v>
      </c>
      <c r="G6" s="89">
        <f>损益表!D4</f>
        <v>10320000</v>
      </c>
      <c r="H6" s="89">
        <f>损益表!E4</f>
        <v>13760000</v>
      </c>
      <c r="I6" s="89" t="e">
        <f>损益表!#REF!</f>
        <v>#REF!</v>
      </c>
      <c r="J6" s="89" t="e">
        <f>损益表!#REF!</f>
        <v>#REF!</v>
      </c>
      <c r="K6" s="89" t="e">
        <f>损益表!#REF!</f>
        <v>#REF!</v>
      </c>
      <c r="L6" s="89">
        <f>损益表!H4</f>
        <v>46440000</v>
      </c>
      <c r="M6" s="91" t="e">
        <f t="shared" si="2"/>
        <v>#REF!</v>
      </c>
    </row>
    <row r="7" spans="1:13" ht="15.6" customHeight="1">
      <c r="A7" s="85">
        <v>1.2</v>
      </c>
      <c r="B7" s="88" t="s">
        <v>121</v>
      </c>
      <c r="C7" s="89"/>
      <c r="D7" s="89"/>
      <c r="E7" s="89">
        <f>[1]折、摊!G18</f>
        <v>0</v>
      </c>
      <c r="F7" s="89">
        <f>[1]折、摊!H18</f>
        <v>0</v>
      </c>
      <c r="G7" s="89">
        <f>[1]折、摊!I18</f>
        <v>0</v>
      </c>
      <c r="H7" s="89">
        <f>[1]折、摊!J18</f>
        <v>0</v>
      </c>
      <c r="I7" s="89">
        <f>[1]折、摊!K18</f>
        <v>0</v>
      </c>
      <c r="J7" s="89">
        <f>[1]折、摊!L18</f>
        <v>0</v>
      </c>
      <c r="K7" s="89">
        <f>[1]折、摊!M18</f>
        <v>0</v>
      </c>
      <c r="L7" s="89">
        <f>[1]折、摊!N18</f>
        <v>0</v>
      </c>
      <c r="M7" s="91">
        <f t="shared" si="2"/>
        <v>0</v>
      </c>
    </row>
    <row r="8" spans="1:13" ht="15.6" customHeight="1">
      <c r="A8" s="85">
        <v>1.3</v>
      </c>
      <c r="B8" s="88" t="s">
        <v>122</v>
      </c>
      <c r="C8" s="89" t="s">
        <v>123</v>
      </c>
      <c r="D8" s="89" t="s">
        <v>123</v>
      </c>
      <c r="E8" s="89" t="s">
        <v>123</v>
      </c>
      <c r="F8" s="89" t="s">
        <v>123</v>
      </c>
      <c r="G8" s="89" t="s">
        <v>123</v>
      </c>
      <c r="H8" s="89" t="s">
        <v>123</v>
      </c>
      <c r="I8" s="89" t="s">
        <v>123</v>
      </c>
      <c r="J8" s="89" t="s">
        <v>123</v>
      </c>
      <c r="K8" s="89" t="s">
        <v>123</v>
      </c>
      <c r="L8" s="89"/>
      <c r="M8" s="91">
        <f t="shared" si="2"/>
        <v>0</v>
      </c>
    </row>
    <row r="9" spans="1:13" s="72" customFormat="1" ht="15.6" customHeight="1">
      <c r="A9" s="90">
        <v>1.4</v>
      </c>
      <c r="B9" s="91" t="s">
        <v>124</v>
      </c>
      <c r="C9" s="89" t="s">
        <v>123</v>
      </c>
      <c r="D9" s="89" t="s">
        <v>123</v>
      </c>
      <c r="E9" s="89" t="s">
        <v>123</v>
      </c>
      <c r="F9" s="89" t="s">
        <v>123</v>
      </c>
      <c r="G9" s="89" t="s">
        <v>123</v>
      </c>
      <c r="H9" s="89" t="s">
        <v>123</v>
      </c>
      <c r="I9" s="89" t="s">
        <v>123</v>
      </c>
      <c r="J9" s="89" t="s">
        <v>123</v>
      </c>
      <c r="K9" s="89" t="s">
        <v>123</v>
      </c>
      <c r="L9" s="89" t="s">
        <v>123</v>
      </c>
      <c r="M9" s="91">
        <f t="shared" si="2"/>
        <v>0</v>
      </c>
    </row>
    <row r="10" spans="1:13" ht="15.6" customHeight="1">
      <c r="A10" s="90">
        <v>2</v>
      </c>
      <c r="B10" s="86" t="s">
        <v>125</v>
      </c>
      <c r="C10" s="87">
        <f t="shared" ref="C10:L10" si="3">SUM(C11:C16)</f>
        <v>0</v>
      </c>
      <c r="D10" s="87">
        <f t="shared" si="3"/>
        <v>0</v>
      </c>
      <c r="E10" s="87">
        <f t="shared" si="3"/>
        <v>0</v>
      </c>
      <c r="F10" s="87">
        <f t="shared" si="3"/>
        <v>0</v>
      </c>
      <c r="G10" s="87">
        <f t="shared" si="3"/>
        <v>0</v>
      </c>
      <c r="H10" s="87">
        <f t="shared" si="3"/>
        <v>0</v>
      </c>
      <c r="I10" s="87">
        <f t="shared" si="3"/>
        <v>0</v>
      </c>
      <c r="J10" s="87">
        <f t="shared" si="3"/>
        <v>0</v>
      </c>
      <c r="K10" s="87">
        <f t="shared" si="3"/>
        <v>0</v>
      </c>
      <c r="L10" s="87">
        <f t="shared" si="3"/>
        <v>0</v>
      </c>
      <c r="M10" s="91">
        <f t="shared" si="2"/>
        <v>0</v>
      </c>
    </row>
    <row r="11" spans="1:13" ht="15" customHeight="1">
      <c r="A11" s="85">
        <v>2.1</v>
      </c>
      <c r="B11" s="85" t="s">
        <v>126</v>
      </c>
      <c r="C11" s="89">
        <f>([1]计划!C6-[1]计划!C7)</f>
        <v>0</v>
      </c>
      <c r="D11" s="89">
        <f>([1]计划!D6-[1]计划!D7)</f>
        <v>0</v>
      </c>
      <c r="E11" s="89">
        <f>([1]计划!E6-[1]计划!E7)</f>
        <v>0</v>
      </c>
      <c r="F11" s="89">
        <f>([1]计划!F6-[1]计划!F7)</f>
        <v>0</v>
      </c>
      <c r="G11" s="89">
        <f>([1]计划!G6-[1]计划!G7)</f>
        <v>0</v>
      </c>
      <c r="H11" s="89">
        <f>([1]计划!H6-[1]计划!H7)</f>
        <v>0</v>
      </c>
      <c r="I11" s="89">
        <f>([1]计划!I6-[1]计划!I7)</f>
        <v>0</v>
      </c>
      <c r="J11" s="89">
        <f>([1]计划!J6-[1]计划!J7)</f>
        <v>0</v>
      </c>
      <c r="K11" s="89">
        <f>([1]计划!K6-[1]计划!K7)</f>
        <v>0</v>
      </c>
      <c r="L11" s="89">
        <f>([1]计划!L6-[1]计划!L7)</f>
        <v>0</v>
      </c>
      <c r="M11" s="91">
        <f t="shared" si="2"/>
        <v>0</v>
      </c>
    </row>
    <row r="12" spans="1:13" s="72" customFormat="1" ht="15" customHeight="1">
      <c r="A12" s="85">
        <v>2.2000000000000002</v>
      </c>
      <c r="B12" s="91" t="s">
        <v>127</v>
      </c>
      <c r="C12" s="89">
        <f>[1]计划!C8</f>
        <v>0</v>
      </c>
      <c r="D12" s="89">
        <f>[1]计划!D8</f>
        <v>0</v>
      </c>
      <c r="E12" s="89">
        <f>[1]计划!E8</f>
        <v>0</v>
      </c>
      <c r="F12" s="89">
        <f>[1]计划!F8</f>
        <v>0</v>
      </c>
      <c r="G12" s="89">
        <f>[1]计划!G8</f>
        <v>0</v>
      </c>
      <c r="H12" s="89">
        <f>[1]计划!H8</f>
        <v>0</v>
      </c>
      <c r="I12" s="89">
        <f>[1]计划!I8</f>
        <v>0</v>
      </c>
      <c r="J12" s="89">
        <f>[1]计划!J8</f>
        <v>0</v>
      </c>
      <c r="K12" s="89">
        <f>[1]计划!K8</f>
        <v>0</v>
      </c>
      <c r="L12" s="89">
        <f>[1]计划!L8</f>
        <v>0</v>
      </c>
      <c r="M12" s="91">
        <f t="shared" si="2"/>
        <v>0</v>
      </c>
    </row>
    <row r="13" spans="1:13" ht="15" customHeight="1">
      <c r="A13" s="85">
        <v>2.2999999999999998</v>
      </c>
      <c r="B13" s="88" t="s">
        <v>128</v>
      </c>
      <c r="C13" s="89">
        <f>[1]总成本!C22</f>
        <v>0</v>
      </c>
      <c r="D13" s="89">
        <f>[1]总成本!D22</f>
        <v>0</v>
      </c>
      <c r="E13" s="89">
        <f>[1]总成本!E22</f>
        <v>0</v>
      </c>
      <c r="F13" s="89">
        <f>[1]总成本!F22</f>
        <v>0</v>
      </c>
      <c r="G13" s="89">
        <f>[1]总成本!G22</f>
        <v>0</v>
      </c>
      <c r="H13" s="89">
        <f>[1]总成本!H22</f>
        <v>0</v>
      </c>
      <c r="I13" s="89">
        <f>[1]总成本!I22</f>
        <v>0</v>
      </c>
      <c r="J13" s="89">
        <f>[1]总成本!J22</f>
        <v>0</v>
      </c>
      <c r="K13" s="89">
        <f>[1]总成本!K22</f>
        <v>0</v>
      </c>
      <c r="L13" s="89">
        <f>[1]总成本!L22</f>
        <v>0</v>
      </c>
      <c r="M13" s="91">
        <f t="shared" si="2"/>
        <v>0</v>
      </c>
    </row>
    <row r="14" spans="1:13" ht="15" customHeight="1">
      <c r="A14" s="85">
        <v>2.4</v>
      </c>
      <c r="B14" s="88" t="s">
        <v>129</v>
      </c>
      <c r="C14" s="89">
        <f>[1]价格!D15</f>
        <v>0</v>
      </c>
      <c r="D14" s="89">
        <f>[1]价格!E15</f>
        <v>0</v>
      </c>
      <c r="E14" s="89">
        <f>[1]价格!F15</f>
        <v>0</v>
      </c>
      <c r="F14" s="89">
        <f>[1]价格!G15</f>
        <v>0</v>
      </c>
      <c r="G14" s="89">
        <f>[1]价格!H15</f>
        <v>0</v>
      </c>
      <c r="H14" s="89">
        <f>[1]价格!I15</f>
        <v>0</v>
      </c>
      <c r="I14" s="89">
        <f>[1]价格!J15</f>
        <v>0</v>
      </c>
      <c r="J14" s="89">
        <f>[1]价格!K15</f>
        <v>0</v>
      </c>
      <c r="K14" s="89">
        <f>[1]价格!L15</f>
        <v>0</v>
      </c>
      <c r="L14" s="89">
        <f>[1]价格!M15</f>
        <v>0</v>
      </c>
      <c r="M14" s="91">
        <f t="shared" si="2"/>
        <v>0</v>
      </c>
    </row>
    <row r="15" spans="1:13" ht="15" customHeight="1">
      <c r="A15" s="85">
        <v>2.5</v>
      </c>
      <c r="B15" s="88" t="s">
        <v>55</v>
      </c>
      <c r="C15" s="89">
        <f>[1]利润!C13</f>
        <v>0</v>
      </c>
      <c r="D15" s="89">
        <f>[1]利润!D13</f>
        <v>0</v>
      </c>
      <c r="E15" s="89">
        <f>[1]利润!E13</f>
        <v>0</v>
      </c>
      <c r="F15" s="89">
        <f>[1]利润!F13</f>
        <v>0</v>
      </c>
      <c r="G15" s="89">
        <f>[1]利润!G13</f>
        <v>0</v>
      </c>
      <c r="H15" s="89">
        <f>[1]利润!H13</f>
        <v>0</v>
      </c>
      <c r="I15" s="89">
        <f>[1]利润!I13</f>
        <v>0</v>
      </c>
      <c r="J15" s="89">
        <f>[1]利润!J13</f>
        <v>0</v>
      </c>
      <c r="K15" s="89">
        <f>[1]利润!K13</f>
        <v>0</v>
      </c>
      <c r="L15" s="89">
        <f>[1]利润!L13</f>
        <v>0</v>
      </c>
      <c r="M15" s="91">
        <f t="shared" si="2"/>
        <v>0</v>
      </c>
    </row>
    <row r="16" spans="1:13" ht="15" customHeight="1">
      <c r="A16" s="85">
        <v>2.6</v>
      </c>
      <c r="B16" s="88" t="s">
        <v>130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91">
        <f t="shared" si="2"/>
        <v>0</v>
      </c>
    </row>
    <row r="17" spans="1:18" ht="12">
      <c r="A17" s="85">
        <v>3</v>
      </c>
      <c r="B17" s="86" t="s">
        <v>131</v>
      </c>
      <c r="C17" s="87">
        <f t="shared" ref="C17:L17" si="4">C5-C10</f>
        <v>0</v>
      </c>
      <c r="D17" s="87">
        <f t="shared" si="4"/>
        <v>0</v>
      </c>
      <c r="E17" s="87" t="e">
        <f t="shared" si="4"/>
        <v>#REF!</v>
      </c>
      <c r="F17" s="87">
        <f t="shared" si="4"/>
        <v>5160000</v>
      </c>
      <c r="G17" s="87">
        <f t="shared" si="4"/>
        <v>10320000</v>
      </c>
      <c r="H17" s="87">
        <f t="shared" si="4"/>
        <v>13760000</v>
      </c>
      <c r="I17" s="87" t="e">
        <f t="shared" si="4"/>
        <v>#REF!</v>
      </c>
      <c r="J17" s="87" t="e">
        <f t="shared" si="4"/>
        <v>#REF!</v>
      </c>
      <c r="K17" s="87" t="e">
        <f t="shared" si="4"/>
        <v>#REF!</v>
      </c>
      <c r="L17" s="87">
        <f t="shared" si="4"/>
        <v>46440000</v>
      </c>
      <c r="M17" s="91" t="e">
        <f t="shared" si="2"/>
        <v>#REF!</v>
      </c>
    </row>
    <row r="18" spans="1:18" ht="12">
      <c r="A18" s="92">
        <v>4</v>
      </c>
      <c r="B18" s="88" t="s">
        <v>132</v>
      </c>
      <c r="C18" s="89">
        <f>C17</f>
        <v>0</v>
      </c>
      <c r="D18" s="89">
        <f t="shared" ref="D18:L18" si="5">C18+D17</f>
        <v>0</v>
      </c>
      <c r="E18" s="89" t="e">
        <f t="shared" si="5"/>
        <v>#REF!</v>
      </c>
      <c r="F18" s="89" t="e">
        <f t="shared" si="5"/>
        <v>#REF!</v>
      </c>
      <c r="G18" s="89" t="e">
        <f t="shared" si="5"/>
        <v>#REF!</v>
      </c>
      <c r="H18" s="89" t="e">
        <f t="shared" si="5"/>
        <v>#REF!</v>
      </c>
      <c r="I18" s="89" t="e">
        <f t="shared" si="5"/>
        <v>#REF!</v>
      </c>
      <c r="J18" s="89" t="e">
        <f t="shared" si="5"/>
        <v>#REF!</v>
      </c>
      <c r="K18" s="89" t="e">
        <f t="shared" si="5"/>
        <v>#REF!</v>
      </c>
      <c r="L18" s="89" t="e">
        <f t="shared" si="5"/>
        <v>#REF!</v>
      </c>
      <c r="M18" s="88" t="s">
        <v>123</v>
      </c>
    </row>
    <row r="19" spans="1:18" s="72" customFormat="1" ht="12">
      <c r="A19" s="92">
        <v>5</v>
      </c>
      <c r="B19" s="88" t="s">
        <v>133</v>
      </c>
      <c r="C19" s="89">
        <f t="shared" ref="C19:L19" si="6">C17+C15</f>
        <v>0</v>
      </c>
      <c r="D19" s="89">
        <f t="shared" si="6"/>
        <v>0</v>
      </c>
      <c r="E19" s="89" t="e">
        <f t="shared" si="6"/>
        <v>#REF!</v>
      </c>
      <c r="F19" s="89">
        <f t="shared" si="6"/>
        <v>5160000</v>
      </c>
      <c r="G19" s="89">
        <f t="shared" si="6"/>
        <v>10320000</v>
      </c>
      <c r="H19" s="89">
        <f t="shared" si="6"/>
        <v>13760000</v>
      </c>
      <c r="I19" s="89" t="e">
        <f t="shared" si="6"/>
        <v>#REF!</v>
      </c>
      <c r="J19" s="89" t="e">
        <f t="shared" si="6"/>
        <v>#REF!</v>
      </c>
      <c r="K19" s="89" t="e">
        <f t="shared" si="6"/>
        <v>#REF!</v>
      </c>
      <c r="L19" s="89">
        <f t="shared" si="6"/>
        <v>46440000</v>
      </c>
      <c r="M19" s="91" t="e">
        <f>SUM(C19:L19)</f>
        <v>#REF!</v>
      </c>
    </row>
    <row r="20" spans="1:18" s="72" customFormat="1" ht="12">
      <c r="A20" s="85">
        <v>6</v>
      </c>
      <c r="B20" s="88" t="s">
        <v>134</v>
      </c>
      <c r="C20" s="89">
        <f>C19</f>
        <v>0</v>
      </c>
      <c r="D20" s="89">
        <f t="shared" ref="D20:L20" si="7">C20+D19</f>
        <v>0</v>
      </c>
      <c r="E20" s="89" t="e">
        <f t="shared" si="7"/>
        <v>#REF!</v>
      </c>
      <c r="F20" s="89" t="e">
        <f t="shared" si="7"/>
        <v>#REF!</v>
      </c>
      <c r="G20" s="89" t="e">
        <f t="shared" si="7"/>
        <v>#REF!</v>
      </c>
      <c r="H20" s="89" t="e">
        <f t="shared" si="7"/>
        <v>#REF!</v>
      </c>
      <c r="I20" s="89" t="e">
        <f t="shared" si="7"/>
        <v>#REF!</v>
      </c>
      <c r="J20" s="89" t="e">
        <f t="shared" si="7"/>
        <v>#REF!</v>
      </c>
      <c r="K20" s="89" t="e">
        <f t="shared" si="7"/>
        <v>#REF!</v>
      </c>
      <c r="L20" s="89" t="e">
        <f t="shared" si="7"/>
        <v>#REF!</v>
      </c>
      <c r="M20" s="88" t="s">
        <v>123</v>
      </c>
    </row>
    <row r="21" spans="1:18" ht="12">
      <c r="A21" s="93"/>
      <c r="B21" s="94" t="s">
        <v>135</v>
      </c>
      <c r="C21" s="94"/>
      <c r="D21" s="94"/>
      <c r="E21" s="94" t="s">
        <v>136</v>
      </c>
      <c r="F21" s="94"/>
      <c r="G21" s="94"/>
      <c r="H21" s="94"/>
      <c r="I21" s="94" t="s">
        <v>137</v>
      </c>
      <c r="J21" s="94"/>
      <c r="K21" s="94"/>
      <c r="L21" s="94"/>
      <c r="M21" s="105"/>
    </row>
    <row r="22" spans="1:18" ht="12">
      <c r="A22" s="95"/>
      <c r="B22" s="96" t="s">
        <v>138</v>
      </c>
      <c r="C22" s="96"/>
      <c r="D22" s="97" t="s">
        <v>139</v>
      </c>
      <c r="E22" s="98" t="e">
        <f>IRR(C17:L17,0.15)</f>
        <v>#VALUE!</v>
      </c>
      <c r="F22" s="96"/>
      <c r="G22" s="96"/>
      <c r="H22" s="96"/>
      <c r="I22" s="98" t="e">
        <f>IRR(C19:L19,0.15)</f>
        <v>#VALUE!</v>
      </c>
      <c r="J22" s="96"/>
      <c r="K22" s="96"/>
      <c r="L22" s="96"/>
      <c r="M22" s="106"/>
    </row>
    <row r="23" spans="1:18" ht="12">
      <c r="A23" s="95"/>
      <c r="B23" s="96" t="s">
        <v>140</v>
      </c>
      <c r="C23" s="96"/>
      <c r="D23" s="96"/>
      <c r="E23" s="99" t="e">
        <f>NPV(0.12,C17:L17)</f>
        <v>#REF!</v>
      </c>
      <c r="F23" s="96"/>
      <c r="G23" s="96"/>
      <c r="H23" s="96"/>
      <c r="I23" s="99" t="e">
        <f>NPV(0.12,C19:L19)</f>
        <v>#REF!</v>
      </c>
      <c r="J23" s="96"/>
      <c r="K23" s="96"/>
      <c r="L23" s="96"/>
      <c r="M23" s="106"/>
      <c r="R23" s="73">
        <f>30.9-29.82</f>
        <v>1.0799999999999983</v>
      </c>
    </row>
    <row r="24" spans="1:18" ht="12">
      <c r="A24" s="100"/>
      <c r="B24" s="101" t="s">
        <v>141</v>
      </c>
      <c r="C24" s="101"/>
      <c r="D24" s="101"/>
      <c r="E24" s="102" t="e">
        <f>6-H18/I17</f>
        <v>#REF!</v>
      </c>
      <c r="F24" s="101"/>
      <c r="G24" s="101"/>
      <c r="H24" s="101"/>
      <c r="I24" s="102" t="e">
        <f>6-H20/I19</f>
        <v>#REF!</v>
      </c>
      <c r="J24" s="101"/>
      <c r="K24" s="101"/>
      <c r="L24" s="101"/>
      <c r="M24" s="107"/>
    </row>
  </sheetData>
  <mergeCells count="1">
    <mergeCell ref="C3:E3"/>
  </mergeCells>
  <phoneticPr fontId="3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4"/>
  <sheetViews>
    <sheetView workbookViewId="0">
      <pane xSplit="2" ySplit="7" topLeftCell="C14" activePane="bottomRight" state="frozen"/>
      <selection pane="topRight"/>
      <selection pane="bottomLeft"/>
      <selection pane="bottomRight" activeCell="G19" sqref="G19"/>
    </sheetView>
  </sheetViews>
  <sheetFormatPr defaultColWidth="9" defaultRowHeight="16.5"/>
  <cols>
    <col min="1" max="1" width="5.125" style="48" customWidth="1"/>
    <col min="2" max="2" width="17.5" style="48" customWidth="1"/>
    <col min="3" max="3" width="13.25" style="49" customWidth="1"/>
    <col min="4" max="4" width="15.125" style="49" customWidth="1"/>
    <col min="5" max="5" width="18.75" style="49" customWidth="1"/>
    <col min="6" max="6" width="12.375" style="48" customWidth="1"/>
    <col min="7" max="7" width="10.125" style="48" customWidth="1"/>
    <col min="8" max="14" width="9" style="48" customWidth="1"/>
    <col min="15" max="28" width="9" style="48"/>
    <col min="29" max="29" width="4.375" style="48" customWidth="1"/>
    <col min="30" max="30" width="13.875" style="48" customWidth="1"/>
    <col min="31" max="16384" width="9" style="48"/>
  </cols>
  <sheetData>
    <row r="1" spans="1:31">
      <c r="A1" s="225" t="s">
        <v>142</v>
      </c>
      <c r="B1" s="225"/>
      <c r="C1" s="229" t="s">
        <v>233</v>
      </c>
      <c r="D1" s="230"/>
      <c r="E1" s="231"/>
    </row>
    <row r="2" spans="1:31">
      <c r="A2" s="225" t="s">
        <v>143</v>
      </c>
      <c r="B2" s="225"/>
      <c r="C2" s="232" t="s">
        <v>238</v>
      </c>
      <c r="D2" s="232"/>
      <c r="E2" s="232"/>
    </row>
    <row r="3" spans="1:31">
      <c r="A3" s="225" t="s">
        <v>144</v>
      </c>
      <c r="B3" s="225"/>
      <c r="C3" s="156" t="str">
        <f>销量!C5</f>
        <v>正司机座椅总成</v>
      </c>
      <c r="D3" s="156" t="str">
        <f>销量!D5</f>
        <v>副司机座椅总成</v>
      </c>
      <c r="E3" s="226" t="s">
        <v>16</v>
      </c>
    </row>
    <row r="4" spans="1:31">
      <c r="A4" s="225" t="s">
        <v>145</v>
      </c>
      <c r="B4" s="225"/>
      <c r="C4" s="156" t="str">
        <f>销量!C6</f>
        <v>KZ14221510012</v>
      </c>
      <c r="D4" s="156" t="str">
        <f>销量!D6</f>
        <v>KZ14221510013</v>
      </c>
      <c r="E4" s="227"/>
    </row>
    <row r="5" spans="1:31">
      <c r="A5" s="225" t="s">
        <v>146</v>
      </c>
      <c r="B5" s="225"/>
      <c r="C5" s="51"/>
      <c r="D5" s="51"/>
      <c r="E5" s="228"/>
      <c r="AE5" s="48" t="s">
        <v>17</v>
      </c>
    </row>
    <row r="6" spans="1:31" ht="17.25">
      <c r="A6" s="52" t="s">
        <v>14</v>
      </c>
      <c r="B6" s="53" t="s">
        <v>147</v>
      </c>
      <c r="C6" s="22">
        <f>销量!C9</f>
        <v>3000</v>
      </c>
      <c r="D6" s="22">
        <f>销量!D9</f>
        <v>3000</v>
      </c>
      <c r="E6" s="54">
        <f t="shared" ref="E6:E15" si="0">SUM(C6:D6)</f>
        <v>6000</v>
      </c>
      <c r="AC6" s="52" t="s">
        <v>14</v>
      </c>
      <c r="AD6" s="53" t="s">
        <v>3</v>
      </c>
      <c r="AE6" s="48" t="s">
        <v>18</v>
      </c>
    </row>
    <row r="7" spans="1:31">
      <c r="A7" s="50">
        <v>1</v>
      </c>
      <c r="B7" s="53" t="s">
        <v>19</v>
      </c>
      <c r="C7" s="54">
        <f>C6*销量!C8</f>
        <v>3900000</v>
      </c>
      <c r="D7" s="54">
        <f>D6*销量!D8</f>
        <v>1260000</v>
      </c>
      <c r="E7" s="54">
        <f t="shared" si="0"/>
        <v>5160000</v>
      </c>
      <c r="F7" s="49"/>
      <c r="AC7" s="52" t="s">
        <v>20</v>
      </c>
      <c r="AD7" s="53" t="s">
        <v>19</v>
      </c>
      <c r="AE7" s="48" t="s">
        <v>18</v>
      </c>
    </row>
    <row r="8" spans="1:31">
      <c r="A8" s="50">
        <v>2</v>
      </c>
      <c r="B8" s="50" t="s">
        <v>21</v>
      </c>
      <c r="C8" s="54"/>
      <c r="D8" s="54"/>
      <c r="E8" s="54">
        <f t="shared" si="0"/>
        <v>0</v>
      </c>
      <c r="F8" s="69"/>
      <c r="AC8" s="52" t="s">
        <v>22</v>
      </c>
      <c r="AD8" s="50" t="s">
        <v>23</v>
      </c>
      <c r="AE8" s="48" t="s">
        <v>18</v>
      </c>
    </row>
    <row r="9" spans="1:31">
      <c r="A9" s="50">
        <v>3</v>
      </c>
      <c r="B9" s="53" t="s">
        <v>24</v>
      </c>
      <c r="C9" s="54">
        <f>+C7-C8</f>
        <v>3900000</v>
      </c>
      <c r="D9" s="54">
        <f t="shared" ref="D9" si="1">+D7-D8</f>
        <v>1260000</v>
      </c>
      <c r="E9" s="54">
        <f t="shared" si="0"/>
        <v>5160000</v>
      </c>
      <c r="AC9" s="52" t="s">
        <v>25</v>
      </c>
      <c r="AD9" s="53" t="s">
        <v>24</v>
      </c>
      <c r="AE9" s="48" t="s">
        <v>26</v>
      </c>
    </row>
    <row r="10" spans="1:31">
      <c r="A10" s="50">
        <v>4</v>
      </c>
      <c r="B10" s="52" t="s">
        <v>27</v>
      </c>
      <c r="C10" s="54">
        <f>C6*材料成本!E19</f>
        <v>2941939.1622558963</v>
      </c>
      <c r="D10" s="54">
        <f>D6*材料成本!E20</f>
        <v>900334.09788162773</v>
      </c>
      <c r="E10" s="54">
        <f t="shared" si="0"/>
        <v>3842273.260137524</v>
      </c>
      <c r="AC10" s="52" t="s">
        <v>28</v>
      </c>
      <c r="AD10" s="52" t="s">
        <v>27</v>
      </c>
      <c r="AE10" s="48" t="s">
        <v>29</v>
      </c>
    </row>
    <row r="11" spans="1:31">
      <c r="A11" s="50">
        <v>5</v>
      </c>
      <c r="B11" s="52" t="s">
        <v>30</v>
      </c>
      <c r="C11" s="54">
        <f>+C6*C36</f>
        <v>109200</v>
      </c>
      <c r="D11" s="54">
        <f t="shared" ref="D11" si="2">+D6*D36</f>
        <v>35280</v>
      </c>
      <c r="E11" s="54">
        <f t="shared" si="0"/>
        <v>144480</v>
      </c>
      <c r="AC11" s="52" t="s">
        <v>31</v>
      </c>
      <c r="AD11" s="52" t="s">
        <v>30</v>
      </c>
    </row>
    <row r="12" spans="1:31">
      <c r="A12" s="50">
        <v>6</v>
      </c>
      <c r="B12" s="52" t="s">
        <v>32</v>
      </c>
      <c r="C12" s="54">
        <f>+C6*C37</f>
        <v>42900</v>
      </c>
      <c r="D12" s="54">
        <f t="shared" ref="D12" si="3">+D6*D37</f>
        <v>13860</v>
      </c>
      <c r="E12" s="54">
        <f t="shared" si="0"/>
        <v>56760</v>
      </c>
      <c r="AC12" s="52" t="s">
        <v>33</v>
      </c>
      <c r="AD12" s="52" t="s">
        <v>32</v>
      </c>
    </row>
    <row r="13" spans="1:31">
      <c r="A13" s="50">
        <v>7</v>
      </c>
      <c r="B13" s="52" t="s">
        <v>34</v>
      </c>
      <c r="C13" s="54">
        <f>+C6*C38</f>
        <v>155999.99999999997</v>
      </c>
      <c r="D13" s="54">
        <f t="shared" ref="D13" si="4">+D6*D38</f>
        <v>50399.999999999993</v>
      </c>
      <c r="E13" s="54">
        <f t="shared" si="0"/>
        <v>206399.99999999997</v>
      </c>
      <c r="AC13" s="52" t="s">
        <v>35</v>
      </c>
      <c r="AD13" s="52" t="s">
        <v>34</v>
      </c>
      <c r="AE13" s="48" t="s">
        <v>18</v>
      </c>
    </row>
    <row r="14" spans="1:31">
      <c r="A14" s="50">
        <v>8</v>
      </c>
      <c r="B14" s="55" t="s">
        <v>36</v>
      </c>
      <c r="C14" s="54">
        <f>SUM(C11:C13)</f>
        <v>308100</v>
      </c>
      <c r="D14" s="54">
        <f t="shared" ref="D14" si="5">SUM(D11:D13)</f>
        <v>99540</v>
      </c>
      <c r="E14" s="54">
        <f t="shared" si="0"/>
        <v>407640</v>
      </c>
      <c r="AC14" s="52" t="s">
        <v>37</v>
      </c>
      <c r="AD14" s="55" t="s">
        <v>36</v>
      </c>
    </row>
    <row r="15" spans="1:31">
      <c r="A15" s="50">
        <v>9</v>
      </c>
      <c r="B15" s="55" t="s">
        <v>38</v>
      </c>
      <c r="C15" s="54">
        <f>+C9-C10-C14</f>
        <v>649960.83774410374</v>
      </c>
      <c r="D15" s="54">
        <f t="shared" ref="D15" si="6">+D9-D10-D14</f>
        <v>260125.90211837227</v>
      </c>
      <c r="E15" s="54">
        <f t="shared" si="0"/>
        <v>910086.73986247601</v>
      </c>
      <c r="AC15" s="52" t="s">
        <v>39</v>
      </c>
      <c r="AD15" s="55" t="s">
        <v>38</v>
      </c>
    </row>
    <row r="16" spans="1:31">
      <c r="A16" s="50">
        <v>10</v>
      </c>
      <c r="B16" s="52" t="s">
        <v>40</v>
      </c>
      <c r="C16" s="56">
        <f>+C15/C9</f>
        <v>0.16665662506259071</v>
      </c>
      <c r="D16" s="56">
        <f t="shared" ref="D16" si="7">+D15/D9</f>
        <v>0.20644912866537482</v>
      </c>
      <c r="E16" s="56">
        <f t="shared" ref="E16" si="8">+E15/E9</f>
        <v>0.17637339919815426</v>
      </c>
      <c r="AC16" s="52" t="s">
        <v>41</v>
      </c>
      <c r="AD16" s="52" t="s">
        <v>40</v>
      </c>
    </row>
    <row r="17" spans="1:31">
      <c r="A17" s="50">
        <v>11</v>
      </c>
      <c r="B17" s="52" t="s">
        <v>42</v>
      </c>
      <c r="C17" s="54">
        <f>C6*C43+C18</f>
        <v>133625</v>
      </c>
      <c r="D17" s="54">
        <f t="shared" ref="D17" si="9">D6*D43+D18</f>
        <v>54425</v>
      </c>
      <c r="E17" s="54">
        <f>SUM(C17:D17)</f>
        <v>188050</v>
      </c>
      <c r="F17" s="69"/>
      <c r="AC17" s="52" t="s">
        <v>43</v>
      </c>
      <c r="AD17" s="52" t="s">
        <v>42</v>
      </c>
    </row>
    <row r="18" spans="1:31" s="46" customFormat="1">
      <c r="A18" s="50">
        <v>12</v>
      </c>
      <c r="B18" s="57" t="s">
        <v>148</v>
      </c>
      <c r="C18" s="58">
        <f>$E$18/$E$6*C6</f>
        <v>16625</v>
      </c>
      <c r="D18" s="58">
        <f>$E$18/$E$6*D6</f>
        <v>16625</v>
      </c>
      <c r="E18" s="58">
        <f>项目投资!D26</f>
        <v>33250</v>
      </c>
      <c r="F18" s="70" t="s">
        <v>149</v>
      </c>
      <c r="G18" s="70"/>
      <c r="H18" s="70"/>
    </row>
    <row r="19" spans="1:31">
      <c r="A19" s="50">
        <v>13</v>
      </c>
      <c r="B19" s="52" t="s">
        <v>44</v>
      </c>
      <c r="C19" s="54">
        <f>C6*C44</f>
        <v>27300</v>
      </c>
      <c r="D19" s="54">
        <f t="shared" ref="D19" si="10">D6*D44</f>
        <v>8820</v>
      </c>
      <c r="E19" s="54">
        <f>SUM(C19:D19)</f>
        <v>36120</v>
      </c>
      <c r="F19" s="46"/>
      <c r="AC19" s="52" t="s">
        <v>45</v>
      </c>
      <c r="AD19" s="52" t="s">
        <v>44</v>
      </c>
      <c r="AE19" s="48" t="s">
        <v>18</v>
      </c>
    </row>
    <row r="20" spans="1:31">
      <c r="A20" s="50">
        <v>14</v>
      </c>
      <c r="B20" s="52" t="s">
        <v>46</v>
      </c>
      <c r="C20" s="54">
        <f>C6*C45</f>
        <v>62400</v>
      </c>
      <c r="D20" s="54">
        <f t="shared" ref="D20" si="11">D6*D45</f>
        <v>20160</v>
      </c>
      <c r="E20" s="54">
        <f>SUM(C20:D20)</f>
        <v>82560</v>
      </c>
      <c r="AC20" s="52" t="s">
        <v>47</v>
      </c>
      <c r="AD20" s="52" t="s">
        <v>46</v>
      </c>
    </row>
    <row r="21" spans="1:31">
      <c r="A21" s="50">
        <v>15</v>
      </c>
      <c r="B21" s="52" t="s">
        <v>48</v>
      </c>
      <c r="C21" s="59">
        <f>$E$21/$E$6*C6</f>
        <v>43000</v>
      </c>
      <c r="D21" s="59">
        <f>$E$21/$E$6*D6</f>
        <v>43000</v>
      </c>
      <c r="E21" s="54">
        <f>项目投资!D27</f>
        <v>86000</v>
      </c>
      <c r="AC21" s="52"/>
      <c r="AD21" s="52"/>
    </row>
    <row r="22" spans="1:31">
      <c r="A22" s="50">
        <v>16</v>
      </c>
      <c r="B22" s="52" t="s">
        <v>49</v>
      </c>
      <c r="C22" s="54">
        <f>C6*C47</f>
        <v>83070</v>
      </c>
      <c r="D22" s="54">
        <f t="shared" ref="D22" si="12">D6*D47</f>
        <v>26838</v>
      </c>
      <c r="E22" s="54">
        <f>SUM(C22:D22)</f>
        <v>109908</v>
      </c>
      <c r="AC22" s="52" t="s">
        <v>50</v>
      </c>
      <c r="AD22" s="52" t="s">
        <v>49</v>
      </c>
    </row>
    <row r="23" spans="1:31">
      <c r="A23" s="50">
        <v>17</v>
      </c>
      <c r="B23" s="55" t="s">
        <v>51</v>
      </c>
      <c r="C23" s="59">
        <f>+C22+C21+C20+C19+C17</f>
        <v>349395</v>
      </c>
      <c r="D23" s="59">
        <f t="shared" ref="D23" si="13">+D22+D21+D20+D19+D17</f>
        <v>153243</v>
      </c>
      <c r="E23" s="59">
        <f t="shared" ref="E23" si="14">+E22+E21+E20+E19+E17</f>
        <v>502638</v>
      </c>
      <c r="AC23" s="52" t="s">
        <v>52</v>
      </c>
      <c r="AD23" s="55" t="s">
        <v>51</v>
      </c>
    </row>
    <row r="24" spans="1:31">
      <c r="A24" s="50">
        <v>18</v>
      </c>
      <c r="B24" s="60" t="s">
        <v>53</v>
      </c>
      <c r="C24" s="59">
        <f>+C15-C23</f>
        <v>300565.83774410374</v>
      </c>
      <c r="D24" s="59">
        <f t="shared" ref="D24" si="15">+D15-D23</f>
        <v>106882.90211837227</v>
      </c>
      <c r="E24" s="59">
        <f t="shared" ref="E24" si="16">+E15-E23</f>
        <v>407448.73986247601</v>
      </c>
      <c r="G24" s="71"/>
      <c r="AC24" s="52" t="s">
        <v>54</v>
      </c>
      <c r="AD24" s="52" t="s">
        <v>53</v>
      </c>
    </row>
    <row r="25" spans="1:31">
      <c r="A25" s="50">
        <v>19</v>
      </c>
      <c r="B25" s="52" t="s">
        <v>244</v>
      </c>
      <c r="C25" s="59">
        <f>IF(C24&lt;0,0,C24*0.15)</f>
        <v>45084.875661615559</v>
      </c>
      <c r="D25" s="59">
        <f>IF(D24&lt;0,0,D24*0.15)</f>
        <v>16032.435317755839</v>
      </c>
      <c r="E25" s="59">
        <f>IF(E24&lt;0,0,E24*0.15)</f>
        <v>61117.310979371396</v>
      </c>
      <c r="F25" s="67"/>
      <c r="G25" s="67"/>
      <c r="H25" s="67"/>
      <c r="AC25" s="52" t="s">
        <v>56</v>
      </c>
      <c r="AD25" s="52" t="s">
        <v>55</v>
      </c>
    </row>
    <row r="26" spans="1:31">
      <c r="A26" s="50">
        <v>20</v>
      </c>
      <c r="B26" s="52" t="s">
        <v>57</v>
      </c>
      <c r="C26" s="59">
        <f t="shared" ref="C26:D26" si="17">C24-C25</f>
        <v>255480.96208248817</v>
      </c>
      <c r="D26" s="59">
        <f t="shared" si="17"/>
        <v>90850.466800616428</v>
      </c>
      <c r="E26" s="54">
        <f>E24-E25</f>
        <v>346331.42888310459</v>
      </c>
      <c r="F26" s="67"/>
      <c r="G26" s="67"/>
      <c r="H26" s="67"/>
      <c r="AC26" s="52" t="s">
        <v>58</v>
      </c>
      <c r="AD26" s="52" t="s">
        <v>57</v>
      </c>
    </row>
    <row r="27" spans="1:31">
      <c r="A27" s="50">
        <v>21</v>
      </c>
      <c r="B27" s="52" t="s">
        <v>61</v>
      </c>
      <c r="C27" s="61">
        <f t="shared" ref="C27:E27" si="18">C26/C7</f>
        <v>6.5507938995509787E-2</v>
      </c>
      <c r="D27" s="61">
        <f t="shared" ref="D27" si="19">D26/D7</f>
        <v>7.2103545079854309E-2</v>
      </c>
      <c r="E27" s="61">
        <f t="shared" si="18"/>
        <v>6.7118493969593906E-2</v>
      </c>
      <c r="F27" s="67"/>
      <c r="G27" s="67"/>
      <c r="H27" s="67"/>
      <c r="AC27" s="52" t="s">
        <v>60</v>
      </c>
      <c r="AD27" s="52" t="s">
        <v>61</v>
      </c>
    </row>
    <row r="28" spans="1:31">
      <c r="F28" s="67"/>
      <c r="G28" s="67"/>
      <c r="H28" s="67"/>
    </row>
    <row r="29" spans="1:31">
      <c r="A29" s="48" t="s">
        <v>62</v>
      </c>
      <c r="E29" s="49" t="s">
        <v>150</v>
      </c>
      <c r="F29" s="67"/>
      <c r="G29" s="67"/>
      <c r="H29" s="67"/>
      <c r="AC29" s="48" t="s">
        <v>62</v>
      </c>
    </row>
    <row r="30" spans="1:31">
      <c r="A30" s="52" t="s">
        <v>67</v>
      </c>
      <c r="B30" s="55" t="s">
        <v>68</v>
      </c>
      <c r="C30" s="59"/>
      <c r="D30" s="59"/>
      <c r="E30" s="59"/>
      <c r="F30" s="67"/>
      <c r="G30" s="67"/>
      <c r="H30" s="67"/>
      <c r="J30" s="67"/>
      <c r="AC30" s="52" t="s">
        <v>69</v>
      </c>
      <c r="AD30" s="55" t="s">
        <v>68</v>
      </c>
    </row>
    <row r="31" spans="1:31">
      <c r="A31" s="62">
        <v>1</v>
      </c>
      <c r="B31" s="57" t="s">
        <v>70</v>
      </c>
      <c r="C31" s="63">
        <f>销量!C8</f>
        <v>1300</v>
      </c>
      <c r="D31" s="63">
        <f>销量!D8</f>
        <v>420</v>
      </c>
      <c r="E31" s="59"/>
      <c r="F31" s="67"/>
      <c r="G31" s="67"/>
      <c r="H31" s="67"/>
      <c r="J31" s="67"/>
      <c r="AC31" s="52" t="s">
        <v>20</v>
      </c>
      <c r="AD31" s="52" t="s">
        <v>70</v>
      </c>
    </row>
    <row r="32" spans="1:31">
      <c r="A32" s="62">
        <v>2</v>
      </c>
      <c r="B32" s="52" t="s">
        <v>151</v>
      </c>
      <c r="C32" s="54">
        <f>C31*1</f>
        <v>1300</v>
      </c>
      <c r="D32" s="54">
        <f t="shared" ref="D32" si="20">D31*1</f>
        <v>420</v>
      </c>
      <c r="E32" s="59"/>
      <c r="F32" s="67"/>
      <c r="G32" s="67"/>
      <c r="H32" s="67"/>
      <c r="I32" s="67"/>
      <c r="J32" s="67"/>
      <c r="K32" s="67"/>
      <c r="L32" s="67"/>
      <c r="AC32" s="52"/>
      <c r="AD32" s="52"/>
    </row>
    <row r="33" spans="1:30">
      <c r="A33" s="62">
        <v>3</v>
      </c>
      <c r="B33" s="57" t="s">
        <v>71</v>
      </c>
      <c r="C33" s="54">
        <f>材料成本!E19</f>
        <v>980.64638741863212</v>
      </c>
      <c r="D33" s="54">
        <f>材料成本!E20</f>
        <v>300.11136596054257</v>
      </c>
      <c r="E33" s="59"/>
      <c r="G33" s="67"/>
      <c r="H33" s="67"/>
      <c r="I33" s="67"/>
      <c r="J33" s="67"/>
      <c r="K33" s="67"/>
      <c r="L33" s="67"/>
      <c r="AC33" s="52" t="s">
        <v>22</v>
      </c>
      <c r="AD33" s="52" t="s">
        <v>71</v>
      </c>
    </row>
    <row r="34" spans="1:30" ht="17.25" customHeight="1">
      <c r="A34" s="62">
        <v>4</v>
      </c>
      <c r="B34" s="52" t="s">
        <v>73</v>
      </c>
      <c r="C34" s="64">
        <f>C32-C33</f>
        <v>319.35361258136788</v>
      </c>
      <c r="D34" s="64">
        <f t="shared" ref="D34" si="21">D32-D33</f>
        <v>119.88863403945743</v>
      </c>
      <c r="E34" s="59"/>
      <c r="G34" s="67"/>
      <c r="H34" s="67"/>
      <c r="I34" s="67"/>
      <c r="J34" s="67"/>
      <c r="K34" s="67"/>
      <c r="L34" s="67"/>
      <c r="AC34" s="52" t="s">
        <v>72</v>
      </c>
      <c r="AD34" s="52" t="s">
        <v>73</v>
      </c>
    </row>
    <row r="35" spans="1:30">
      <c r="A35" s="52" t="s">
        <v>69</v>
      </c>
      <c r="B35" s="55" t="s">
        <v>8</v>
      </c>
      <c r="C35" s="59"/>
      <c r="D35" s="59"/>
      <c r="E35" s="59"/>
      <c r="F35" s="67"/>
      <c r="G35" s="67"/>
      <c r="H35" s="67"/>
      <c r="I35" s="67"/>
      <c r="J35" s="67"/>
      <c r="K35" s="67"/>
      <c r="L35" s="67"/>
      <c r="M35" s="67"/>
      <c r="N35" s="67"/>
      <c r="AC35" s="52" t="s">
        <v>75</v>
      </c>
      <c r="AD35" s="55" t="s">
        <v>8</v>
      </c>
    </row>
    <row r="36" spans="1:30">
      <c r="A36" s="62">
        <v>1</v>
      </c>
      <c r="B36" s="52" t="s">
        <v>76</v>
      </c>
      <c r="C36" s="58">
        <f>标准成本!D4</f>
        <v>36.4</v>
      </c>
      <c r="D36" s="58">
        <f>标准成本!D18</f>
        <v>11.76</v>
      </c>
      <c r="E36" s="63"/>
      <c r="F36" s="67"/>
      <c r="G36" s="67"/>
      <c r="H36" s="67"/>
      <c r="I36" s="67"/>
      <c r="J36" s="67"/>
      <c r="K36" s="67"/>
      <c r="L36" s="67"/>
      <c r="M36" s="67"/>
      <c r="N36" s="67"/>
      <c r="AC36" s="52" t="s">
        <v>72</v>
      </c>
      <c r="AD36" s="52" t="s">
        <v>76</v>
      </c>
    </row>
    <row r="37" spans="1:30">
      <c r="A37" s="62">
        <v>2</v>
      </c>
      <c r="B37" s="52" t="s">
        <v>77</v>
      </c>
      <c r="C37" s="58">
        <f>标准成本!D6</f>
        <v>14.299999999999999</v>
      </c>
      <c r="D37" s="58">
        <f>标准成本!D20</f>
        <v>4.62</v>
      </c>
      <c r="E37" s="63"/>
      <c r="F37" s="67"/>
      <c r="G37" s="67"/>
      <c r="H37" s="67"/>
      <c r="I37" s="67"/>
      <c r="J37" s="67"/>
      <c r="K37" s="67"/>
      <c r="L37" s="67"/>
      <c r="M37" s="67"/>
      <c r="N37" s="67"/>
      <c r="AC37" s="52" t="s">
        <v>25</v>
      </c>
      <c r="AD37" s="52" t="s">
        <v>77</v>
      </c>
    </row>
    <row r="38" spans="1:30">
      <c r="A38" s="62">
        <v>3</v>
      </c>
      <c r="B38" s="52" t="s">
        <v>78</v>
      </c>
      <c r="C38" s="58">
        <f>标准成本!D10</f>
        <v>51.999999999999993</v>
      </c>
      <c r="D38" s="58">
        <f>标准成本!D24</f>
        <v>16.799999999999997</v>
      </c>
      <c r="E38" s="63"/>
      <c r="F38" s="67"/>
      <c r="G38" s="67"/>
      <c r="H38" s="67"/>
      <c r="I38" s="67"/>
      <c r="J38" s="67"/>
      <c r="K38" s="67"/>
      <c r="L38" s="67"/>
      <c r="M38" s="67"/>
      <c r="N38" s="67"/>
      <c r="AC38" s="52" t="s">
        <v>31</v>
      </c>
      <c r="AD38" s="52" t="s">
        <v>78</v>
      </c>
    </row>
    <row r="39" spans="1:30">
      <c r="A39" s="52" t="s">
        <v>75</v>
      </c>
      <c r="B39" s="55" t="s">
        <v>80</v>
      </c>
      <c r="C39" s="59"/>
      <c r="D39" s="59"/>
      <c r="E39" s="59"/>
      <c r="AC39" s="52" t="s">
        <v>79</v>
      </c>
      <c r="AD39" s="55" t="s">
        <v>80</v>
      </c>
    </row>
    <row r="40" spans="1:30">
      <c r="A40" s="62">
        <v>1</v>
      </c>
      <c r="B40" s="52" t="s">
        <v>82</v>
      </c>
      <c r="C40" s="59">
        <f>C34-C36-C37-C38</f>
        <v>216.6536125813679</v>
      </c>
      <c r="D40" s="59">
        <f t="shared" ref="D40" si="22">D34-D36-D37-D38</f>
        <v>86.708634039457422</v>
      </c>
      <c r="E40" s="59"/>
      <c r="AC40" s="52" t="s">
        <v>20</v>
      </c>
      <c r="AD40" s="52" t="s">
        <v>82</v>
      </c>
    </row>
    <row r="41" spans="1:30">
      <c r="A41" s="62">
        <v>2</v>
      </c>
      <c r="B41" s="52" t="s">
        <v>83</v>
      </c>
      <c r="C41" s="59"/>
      <c r="D41" s="59"/>
      <c r="E41" s="59"/>
      <c r="AC41" s="52" t="s">
        <v>22</v>
      </c>
      <c r="AD41" s="52" t="s">
        <v>83</v>
      </c>
    </row>
    <row r="42" spans="1:30">
      <c r="A42" s="52" t="s">
        <v>79</v>
      </c>
      <c r="B42" s="55" t="s">
        <v>85</v>
      </c>
      <c r="C42" s="59"/>
      <c r="D42" s="59"/>
      <c r="E42" s="59"/>
      <c r="AC42" s="52" t="s">
        <v>84</v>
      </c>
      <c r="AD42" s="55" t="s">
        <v>85</v>
      </c>
    </row>
    <row r="43" spans="1:30">
      <c r="A43" s="62">
        <v>1</v>
      </c>
      <c r="B43" s="60" t="s">
        <v>86</v>
      </c>
      <c r="C43" s="58">
        <f>标准成本!D5</f>
        <v>39</v>
      </c>
      <c r="D43" s="58">
        <f>标准成本!D19</f>
        <v>12.6</v>
      </c>
      <c r="E43" s="59"/>
      <c r="AC43" s="52" t="s">
        <v>20</v>
      </c>
      <c r="AD43" s="52" t="s">
        <v>86</v>
      </c>
    </row>
    <row r="44" spans="1:30">
      <c r="A44" s="62">
        <v>2</v>
      </c>
      <c r="B44" s="60" t="s">
        <v>87</v>
      </c>
      <c r="C44" s="58">
        <f>标准成本!D9</f>
        <v>9.1</v>
      </c>
      <c r="D44" s="58">
        <f>标准成本!D23</f>
        <v>2.94</v>
      </c>
      <c r="E44" s="59"/>
      <c r="AC44" s="52" t="s">
        <v>22</v>
      </c>
      <c r="AD44" s="52" t="s">
        <v>87</v>
      </c>
    </row>
    <row r="45" spans="1:30">
      <c r="A45" s="62">
        <v>3</v>
      </c>
      <c r="B45" s="60" t="s">
        <v>88</v>
      </c>
      <c r="C45" s="65">
        <f>标准成本!D8</f>
        <v>20.8</v>
      </c>
      <c r="D45" s="65">
        <f>标准成本!D22</f>
        <v>6.72</v>
      </c>
      <c r="E45" s="59"/>
      <c r="AC45" s="52" t="s">
        <v>72</v>
      </c>
      <c r="AD45" s="52" t="s">
        <v>88</v>
      </c>
    </row>
    <row r="46" spans="1:30" s="47" customFormat="1">
      <c r="A46" s="62">
        <v>4</v>
      </c>
      <c r="B46" s="60" t="s">
        <v>89</v>
      </c>
      <c r="C46" s="65">
        <f>C21/C6</f>
        <v>14.333333333333334</v>
      </c>
      <c r="D46" s="65">
        <f t="shared" ref="D46" si="23">D21/D6</f>
        <v>14.333333333333334</v>
      </c>
      <c r="E46" s="65"/>
      <c r="AC46" s="60" t="s">
        <v>28</v>
      </c>
      <c r="AD46" s="60" t="s">
        <v>91</v>
      </c>
    </row>
    <row r="47" spans="1:30" s="47" customFormat="1">
      <c r="A47" s="62">
        <v>5</v>
      </c>
      <c r="B47" s="60" t="s">
        <v>91</v>
      </c>
      <c r="C47" s="65">
        <f>标准成本!D11</f>
        <v>27.689999999999998</v>
      </c>
      <c r="D47" s="65">
        <f>标准成本!D25</f>
        <v>8.9459999999999997</v>
      </c>
      <c r="E47" s="65"/>
      <c r="AC47" s="60" t="s">
        <v>28</v>
      </c>
      <c r="AD47" s="60" t="s">
        <v>91</v>
      </c>
    </row>
    <row r="48" spans="1:30">
      <c r="A48" s="52" t="s">
        <v>84</v>
      </c>
      <c r="B48" s="55" t="s">
        <v>102</v>
      </c>
      <c r="C48" s="59">
        <f>C40-C43-C44-C45-C47-C46</f>
        <v>105.73027924803456</v>
      </c>
      <c r="D48" s="59">
        <f t="shared" ref="D48" si="24">D40-D43-D44-D45-D47-D46</f>
        <v>41.169300706124098</v>
      </c>
      <c r="E48" s="59"/>
      <c r="AC48" s="52" t="s">
        <v>101</v>
      </c>
      <c r="AD48" s="55" t="s">
        <v>102</v>
      </c>
    </row>
    <row r="51" spans="2:10">
      <c r="C51" s="66"/>
      <c r="D51" s="66"/>
    </row>
    <row r="54" spans="2:10">
      <c r="B54" s="67"/>
      <c r="C54" s="68"/>
      <c r="D54" s="68"/>
      <c r="E54" s="68"/>
      <c r="F54" s="67"/>
      <c r="G54" s="67"/>
      <c r="H54" s="67"/>
      <c r="I54" s="67"/>
      <c r="J54" s="67"/>
    </row>
    <row r="55" spans="2:10">
      <c r="B55" s="67"/>
      <c r="C55" s="68"/>
      <c r="D55" s="68"/>
      <c r="E55" s="68"/>
      <c r="F55" s="67"/>
      <c r="G55" s="67"/>
      <c r="H55" s="67"/>
      <c r="I55" s="67"/>
      <c r="J55" s="67"/>
    </row>
    <row r="56" spans="2:10">
      <c r="B56" s="67"/>
      <c r="C56" s="68"/>
      <c r="D56" s="68"/>
      <c r="E56" s="68"/>
      <c r="F56" s="67"/>
      <c r="G56" s="67"/>
      <c r="H56" s="67"/>
      <c r="I56" s="67"/>
      <c r="J56" s="67"/>
    </row>
    <row r="57" spans="2:10">
      <c r="B57" s="67"/>
      <c r="C57" s="68"/>
      <c r="D57" s="68"/>
      <c r="E57" s="68"/>
      <c r="F57" s="67"/>
      <c r="G57" s="67"/>
      <c r="H57" s="67"/>
      <c r="I57" s="67"/>
      <c r="J57" s="67"/>
    </row>
    <row r="58" spans="2:10">
      <c r="B58" s="67"/>
      <c r="C58" s="68"/>
      <c r="D58" s="68"/>
      <c r="E58" s="68"/>
      <c r="F58" s="67"/>
      <c r="G58" s="67"/>
      <c r="H58" s="67"/>
      <c r="I58" s="67"/>
      <c r="J58" s="67"/>
    </row>
    <row r="59" spans="2:10">
      <c r="B59" s="67"/>
      <c r="C59" s="68"/>
      <c r="D59" s="68"/>
      <c r="E59" s="68"/>
      <c r="F59" s="67"/>
      <c r="G59" s="67"/>
      <c r="H59" s="67"/>
      <c r="I59" s="67"/>
      <c r="J59" s="67"/>
    </row>
    <row r="60" spans="2:10">
      <c r="B60" s="67"/>
      <c r="C60" s="68"/>
      <c r="D60" s="68"/>
      <c r="E60" s="68"/>
      <c r="F60" s="67"/>
      <c r="G60" s="67"/>
      <c r="H60" s="67"/>
      <c r="I60" s="67"/>
      <c r="J60" s="67"/>
    </row>
    <row r="61" spans="2:10">
      <c r="B61" s="67"/>
      <c r="C61" s="68"/>
      <c r="D61" s="68"/>
      <c r="E61" s="68"/>
      <c r="F61" s="67"/>
      <c r="G61" s="67"/>
      <c r="H61" s="67"/>
      <c r="I61" s="67"/>
      <c r="J61" s="67"/>
    </row>
    <row r="62" spans="2:10">
      <c r="B62" s="67"/>
      <c r="C62" s="68"/>
      <c r="D62" s="68"/>
      <c r="E62" s="68"/>
      <c r="F62" s="67"/>
      <c r="G62" s="67"/>
      <c r="H62" s="67"/>
      <c r="I62" s="67"/>
      <c r="J62" s="67"/>
    </row>
    <row r="63" spans="2:10">
      <c r="B63" s="67"/>
      <c r="C63" s="68"/>
      <c r="D63" s="68"/>
      <c r="E63" s="68"/>
      <c r="F63" s="67"/>
      <c r="G63" s="67"/>
      <c r="H63" s="67"/>
      <c r="I63" s="67"/>
      <c r="J63" s="67"/>
    </row>
    <row r="64" spans="2:10">
      <c r="B64" s="67"/>
      <c r="C64" s="68"/>
      <c r="D64" s="68"/>
      <c r="E64" s="68"/>
      <c r="F64" s="67"/>
      <c r="G64" s="67"/>
      <c r="H64" s="67"/>
      <c r="I64" s="67"/>
      <c r="J64" s="67"/>
    </row>
    <row r="65" spans="2:10">
      <c r="B65" s="67"/>
      <c r="C65" s="68"/>
      <c r="D65" s="68"/>
      <c r="E65" s="68"/>
      <c r="F65" s="67"/>
      <c r="G65" s="67"/>
      <c r="H65" s="67"/>
      <c r="I65" s="67"/>
      <c r="J65" s="67"/>
    </row>
    <row r="66" spans="2:10">
      <c r="B66" s="67"/>
      <c r="C66" s="68"/>
      <c r="D66" s="68"/>
      <c r="E66" s="68"/>
      <c r="F66" s="67"/>
      <c r="G66" s="67"/>
      <c r="H66" s="67"/>
      <c r="I66" s="67"/>
      <c r="J66" s="67"/>
    </row>
    <row r="67" spans="2:10">
      <c r="B67" s="67"/>
      <c r="C67" s="68"/>
      <c r="D67" s="68"/>
      <c r="E67" s="68"/>
      <c r="F67" s="67"/>
    </row>
    <row r="68" spans="2:10">
      <c r="B68" s="67"/>
      <c r="C68" s="68"/>
      <c r="D68" s="68"/>
      <c r="E68" s="68"/>
      <c r="F68" s="67"/>
    </row>
    <row r="69" spans="2:10">
      <c r="B69" s="67"/>
      <c r="C69" s="68"/>
      <c r="D69" s="68"/>
      <c r="E69" s="68"/>
      <c r="F69" s="67"/>
    </row>
    <row r="70" spans="2:10">
      <c r="B70" s="67"/>
      <c r="C70" s="68"/>
      <c r="D70" s="68"/>
      <c r="E70" s="68"/>
      <c r="F70" s="67"/>
    </row>
    <row r="71" spans="2:10">
      <c r="B71" s="67"/>
      <c r="C71" s="68"/>
      <c r="D71" s="68"/>
      <c r="E71" s="68"/>
      <c r="F71" s="67"/>
    </row>
    <row r="72" spans="2:10">
      <c r="B72" s="67"/>
      <c r="C72" s="68"/>
      <c r="D72" s="68"/>
      <c r="E72" s="68"/>
      <c r="F72" s="67"/>
    </row>
    <row r="73" spans="2:10">
      <c r="B73" s="67"/>
      <c r="C73" s="68"/>
      <c r="D73" s="68"/>
      <c r="E73" s="68"/>
      <c r="F73" s="67"/>
    </row>
    <row r="74" spans="2:10">
      <c r="B74" s="67"/>
      <c r="C74" s="68"/>
      <c r="D74" s="68"/>
      <c r="E74" s="68"/>
      <c r="F74" s="67"/>
    </row>
  </sheetData>
  <mergeCells count="8">
    <mergeCell ref="A4:B4"/>
    <mergeCell ref="A5:B5"/>
    <mergeCell ref="E3:E5"/>
    <mergeCell ref="A1:B1"/>
    <mergeCell ref="C1:E1"/>
    <mergeCell ref="A2:B2"/>
    <mergeCell ref="C2:E2"/>
    <mergeCell ref="A3:B3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workbookViewId="0">
      <pane xSplit="2" ySplit="7" topLeftCell="C8" activePane="bottomRight" state="frozen"/>
      <selection pane="topRight"/>
      <selection pane="bottomLeft"/>
      <selection pane="bottomRight" activeCell="D8" sqref="D8"/>
    </sheetView>
  </sheetViews>
  <sheetFormatPr defaultColWidth="9" defaultRowHeight="16.5"/>
  <cols>
    <col min="1" max="1" width="5.125" style="48" customWidth="1"/>
    <col min="2" max="2" width="17.5" style="48" customWidth="1"/>
    <col min="3" max="3" width="13.25" style="49" customWidth="1"/>
    <col min="4" max="4" width="12.875" style="49" bestFit="1" customWidth="1"/>
    <col min="5" max="5" width="18.75" style="49" customWidth="1"/>
    <col min="6" max="6" width="12.375" style="48" customWidth="1"/>
    <col min="7" max="7" width="10.125" style="48" customWidth="1"/>
    <col min="8" max="14" width="9" style="48" customWidth="1"/>
    <col min="15" max="31" width="9" style="48"/>
    <col min="32" max="32" width="4.375" style="48" customWidth="1"/>
    <col min="33" max="33" width="13.875" style="48" customWidth="1"/>
    <col min="34" max="16384" width="9" style="48"/>
  </cols>
  <sheetData>
    <row r="1" spans="1:34">
      <c r="A1" s="225" t="s">
        <v>142</v>
      </c>
      <c r="B1" s="225"/>
      <c r="C1" s="229" t="s">
        <v>234</v>
      </c>
      <c r="D1" s="230"/>
      <c r="E1" s="231"/>
    </row>
    <row r="2" spans="1:34">
      <c r="A2" s="225" t="s">
        <v>143</v>
      </c>
      <c r="B2" s="225"/>
      <c r="C2" s="232" t="str">
        <f>'2023年'!C2:E2</f>
        <v>陕汽</v>
      </c>
      <c r="D2" s="232"/>
      <c r="E2" s="232"/>
    </row>
    <row r="3" spans="1:34">
      <c r="A3" s="225" t="s">
        <v>144</v>
      </c>
      <c r="B3" s="225"/>
      <c r="C3" s="156" t="str">
        <f>销量!C5</f>
        <v>正司机座椅总成</v>
      </c>
      <c r="D3" s="156" t="str">
        <f>销量!D5</f>
        <v>副司机座椅总成</v>
      </c>
      <c r="E3" s="226" t="s">
        <v>16</v>
      </c>
    </row>
    <row r="4" spans="1:34">
      <c r="A4" s="225" t="s">
        <v>145</v>
      </c>
      <c r="B4" s="225"/>
      <c r="C4" s="156" t="str">
        <f>销量!C6</f>
        <v>KZ14221510012</v>
      </c>
      <c r="D4" s="156" t="str">
        <f>销量!D6</f>
        <v>KZ14221510013</v>
      </c>
      <c r="E4" s="227"/>
    </row>
    <row r="5" spans="1:34">
      <c r="A5" s="225" t="s">
        <v>146</v>
      </c>
      <c r="B5" s="225"/>
      <c r="C5" s="51"/>
      <c r="D5" s="51"/>
      <c r="E5" s="228"/>
      <c r="AH5" s="48" t="s">
        <v>17</v>
      </c>
    </row>
    <row r="6" spans="1:34" ht="17.25">
      <c r="A6" s="52" t="s">
        <v>14</v>
      </c>
      <c r="B6" s="53" t="s">
        <v>147</v>
      </c>
      <c r="C6" s="22">
        <f>销量!C10</f>
        <v>6000</v>
      </c>
      <c r="D6" s="22">
        <f>销量!D10</f>
        <v>6000</v>
      </c>
      <c r="E6" s="54">
        <f t="shared" ref="E6:E15" si="0">SUM(C6:D6)</f>
        <v>12000</v>
      </c>
      <c r="P6" s="53" t="s">
        <v>3</v>
      </c>
      <c r="AF6" s="52" t="s">
        <v>14</v>
      </c>
      <c r="AG6" s="53" t="s">
        <v>3</v>
      </c>
      <c r="AH6" s="48" t="s">
        <v>18</v>
      </c>
    </row>
    <row r="7" spans="1:34">
      <c r="A7" s="155">
        <v>1</v>
      </c>
      <c r="B7" s="53" t="s">
        <v>19</v>
      </c>
      <c r="C7" s="54">
        <f>C6*销量!C8</f>
        <v>7800000</v>
      </c>
      <c r="D7" s="54">
        <f>D6*销量!D8</f>
        <v>2520000</v>
      </c>
      <c r="E7" s="54">
        <f t="shared" si="0"/>
        <v>10320000</v>
      </c>
      <c r="F7" s="49"/>
      <c r="P7" s="53" t="s">
        <v>19</v>
      </c>
      <c r="AF7" s="52" t="s">
        <v>20</v>
      </c>
      <c r="AG7" s="53" t="s">
        <v>19</v>
      </c>
      <c r="AH7" s="48" t="s">
        <v>18</v>
      </c>
    </row>
    <row r="8" spans="1:34">
      <c r="A8" s="155">
        <v>2</v>
      </c>
      <c r="B8" s="155" t="s">
        <v>21</v>
      </c>
      <c r="C8" s="54">
        <f>C7*(1-销量!$L$7)</f>
        <v>312000.00000000029</v>
      </c>
      <c r="D8" s="54">
        <f>D7*(1-销量!$L$7)</f>
        <v>100800.00000000009</v>
      </c>
      <c r="E8" s="54">
        <f t="shared" si="0"/>
        <v>412800.00000000035</v>
      </c>
      <c r="F8" s="69"/>
      <c r="P8" s="155" t="s">
        <v>23</v>
      </c>
      <c r="AF8" s="52" t="s">
        <v>22</v>
      </c>
      <c r="AG8" s="155" t="s">
        <v>23</v>
      </c>
      <c r="AH8" s="48" t="s">
        <v>18</v>
      </c>
    </row>
    <row r="9" spans="1:34">
      <c r="A9" s="155">
        <v>3</v>
      </c>
      <c r="B9" s="53" t="s">
        <v>24</v>
      </c>
      <c r="C9" s="54">
        <f>+C7-C8</f>
        <v>7488000</v>
      </c>
      <c r="D9" s="54">
        <f t="shared" ref="D9" si="1">+D7-D8</f>
        <v>2419200</v>
      </c>
      <c r="E9" s="54">
        <f t="shared" si="0"/>
        <v>9907200</v>
      </c>
      <c r="P9" s="53" t="s">
        <v>24</v>
      </c>
      <c r="AF9" s="52" t="s">
        <v>25</v>
      </c>
      <c r="AG9" s="53" t="s">
        <v>24</v>
      </c>
      <c r="AH9" s="48" t="s">
        <v>26</v>
      </c>
    </row>
    <row r="10" spans="1:34">
      <c r="A10" s="155">
        <v>4</v>
      </c>
      <c r="B10" s="52" t="s">
        <v>27</v>
      </c>
      <c r="C10" s="54">
        <f>C6*材料成本!F19</f>
        <v>5648523.191531321</v>
      </c>
      <c r="D10" s="54">
        <f>D6*材料成本!F20</f>
        <v>1728641.4679327253</v>
      </c>
      <c r="E10" s="54">
        <f t="shared" si="0"/>
        <v>7377164.6594640464</v>
      </c>
      <c r="P10" s="52" t="s">
        <v>27</v>
      </c>
      <c r="AF10" s="52" t="s">
        <v>28</v>
      </c>
      <c r="AG10" s="52" t="s">
        <v>27</v>
      </c>
      <c r="AH10" s="48" t="s">
        <v>29</v>
      </c>
    </row>
    <row r="11" spans="1:34">
      <c r="A11" s="155">
        <v>5</v>
      </c>
      <c r="B11" s="52" t="s">
        <v>30</v>
      </c>
      <c r="C11" s="54">
        <f>+C6*C36</f>
        <v>218400</v>
      </c>
      <c r="D11" s="54">
        <f>+D6*D36</f>
        <v>70560</v>
      </c>
      <c r="E11" s="54">
        <f t="shared" si="0"/>
        <v>288960</v>
      </c>
      <c r="P11" s="52" t="s">
        <v>30</v>
      </c>
      <c r="AF11" s="52" t="s">
        <v>31</v>
      </c>
      <c r="AG11" s="52" t="s">
        <v>30</v>
      </c>
    </row>
    <row r="12" spans="1:34">
      <c r="A12" s="155">
        <v>6</v>
      </c>
      <c r="B12" s="52" t="s">
        <v>32</v>
      </c>
      <c r="C12" s="54">
        <f>+C6*C37</f>
        <v>85800</v>
      </c>
      <c r="D12" s="54">
        <f t="shared" ref="D12" si="2">+D6*D37</f>
        <v>27720</v>
      </c>
      <c r="E12" s="54">
        <f t="shared" si="0"/>
        <v>113520</v>
      </c>
      <c r="P12" s="52" t="s">
        <v>32</v>
      </c>
      <c r="AF12" s="52" t="s">
        <v>33</v>
      </c>
      <c r="AG12" s="52" t="s">
        <v>32</v>
      </c>
    </row>
    <row r="13" spans="1:34">
      <c r="A13" s="155">
        <v>7</v>
      </c>
      <c r="B13" s="52" t="s">
        <v>34</v>
      </c>
      <c r="C13" s="54">
        <f>+C6*C38</f>
        <v>311999.99999999994</v>
      </c>
      <c r="D13" s="54">
        <f t="shared" ref="D13" si="3">+D6*D38</f>
        <v>100799.99999999999</v>
      </c>
      <c r="E13" s="54">
        <f t="shared" si="0"/>
        <v>412799.99999999994</v>
      </c>
      <c r="P13" s="52" t="s">
        <v>34</v>
      </c>
      <c r="AF13" s="52" t="s">
        <v>35</v>
      </c>
      <c r="AG13" s="52" t="s">
        <v>34</v>
      </c>
      <c r="AH13" s="48" t="s">
        <v>18</v>
      </c>
    </row>
    <row r="14" spans="1:34">
      <c r="A14" s="155">
        <v>8</v>
      </c>
      <c r="B14" s="55" t="s">
        <v>36</v>
      </c>
      <c r="C14" s="54">
        <f>SUM(C11:C13)</f>
        <v>616200</v>
      </c>
      <c r="D14" s="54">
        <f t="shared" ref="D14" si="4">SUM(D11:D13)</f>
        <v>199080</v>
      </c>
      <c r="E14" s="54">
        <f t="shared" si="0"/>
        <v>815280</v>
      </c>
      <c r="P14" s="55" t="s">
        <v>36</v>
      </c>
      <c r="AF14" s="52" t="s">
        <v>37</v>
      </c>
      <c r="AG14" s="55" t="s">
        <v>36</v>
      </c>
    </row>
    <row r="15" spans="1:34">
      <c r="A15" s="155">
        <v>9</v>
      </c>
      <c r="B15" s="55" t="s">
        <v>38</v>
      </c>
      <c r="C15" s="54">
        <f>+C9-C10-C14</f>
        <v>1223276.808468679</v>
      </c>
      <c r="D15" s="54">
        <f t="shared" ref="D15" si="5">+D9-D10-D14</f>
        <v>491478.53206727467</v>
      </c>
      <c r="E15" s="54">
        <f t="shared" si="0"/>
        <v>1714755.3405359536</v>
      </c>
      <c r="P15" s="55" t="s">
        <v>38</v>
      </c>
      <c r="AF15" s="52" t="s">
        <v>39</v>
      </c>
      <c r="AG15" s="55" t="s">
        <v>38</v>
      </c>
    </row>
    <row r="16" spans="1:34">
      <c r="A16" s="155">
        <v>10</v>
      </c>
      <c r="B16" s="52" t="s">
        <v>40</v>
      </c>
      <c r="C16" s="56">
        <f>+C15/C9</f>
        <v>0.16336495839592402</v>
      </c>
      <c r="D16" s="56">
        <f t="shared" ref="D16" si="6">+D15/D9</f>
        <v>0.20315746199870813</v>
      </c>
      <c r="E16" s="56">
        <f t="shared" ref="E16" si="7">+E15/E9</f>
        <v>0.17308173253148756</v>
      </c>
      <c r="P16" s="52" t="s">
        <v>40</v>
      </c>
      <c r="AF16" s="52" t="s">
        <v>41</v>
      </c>
      <c r="AG16" s="52" t="s">
        <v>40</v>
      </c>
    </row>
    <row r="17" spans="1:34">
      <c r="A17" s="155">
        <v>11</v>
      </c>
      <c r="B17" s="52" t="s">
        <v>42</v>
      </c>
      <c r="C17" s="54">
        <f>C6*C43+C18</f>
        <v>250625</v>
      </c>
      <c r="D17" s="54">
        <f t="shared" ref="D17" si="8">D6*D43+D18</f>
        <v>92225</v>
      </c>
      <c r="E17" s="54">
        <f>SUM(C17:D17)</f>
        <v>342850</v>
      </c>
      <c r="F17" s="69"/>
      <c r="P17" s="52" t="s">
        <v>42</v>
      </c>
      <c r="AF17" s="52" t="s">
        <v>43</v>
      </c>
      <c r="AG17" s="52" t="s">
        <v>42</v>
      </c>
    </row>
    <row r="18" spans="1:34" s="46" customFormat="1">
      <c r="A18" s="155">
        <v>12</v>
      </c>
      <c r="B18" s="57" t="s">
        <v>148</v>
      </c>
      <c r="C18" s="58">
        <f>$E$18/$E$6*C6</f>
        <v>16625</v>
      </c>
      <c r="D18" s="58">
        <f>$E$18/$E$6*D6</f>
        <v>16625</v>
      </c>
      <c r="E18" s="58">
        <f>项目投资!D26</f>
        <v>33250</v>
      </c>
      <c r="F18" s="70" t="s">
        <v>149</v>
      </c>
      <c r="G18" s="70"/>
      <c r="H18" s="70"/>
    </row>
    <row r="19" spans="1:34">
      <c r="A19" s="155">
        <v>13</v>
      </c>
      <c r="B19" s="52" t="s">
        <v>44</v>
      </c>
      <c r="C19" s="54">
        <f>C6*C44</f>
        <v>54600</v>
      </c>
      <c r="D19" s="54">
        <f t="shared" ref="D19" si="9">D6*D44</f>
        <v>17640</v>
      </c>
      <c r="E19" s="54">
        <f>SUM(C19:D19)</f>
        <v>72240</v>
      </c>
      <c r="F19" s="46"/>
      <c r="P19" s="52" t="s">
        <v>44</v>
      </c>
      <c r="AF19" s="52" t="s">
        <v>45</v>
      </c>
      <c r="AG19" s="52" t="s">
        <v>44</v>
      </c>
      <c r="AH19" s="48" t="s">
        <v>18</v>
      </c>
    </row>
    <row r="20" spans="1:34">
      <c r="A20" s="155">
        <v>14</v>
      </c>
      <c r="B20" s="52" t="s">
        <v>46</v>
      </c>
      <c r="C20" s="54">
        <f>C6*C45</f>
        <v>124800</v>
      </c>
      <c r="D20" s="54">
        <f t="shared" ref="D20" si="10">D6*D45</f>
        <v>40320</v>
      </c>
      <c r="E20" s="54">
        <f>SUM(C20:D20)</f>
        <v>165120</v>
      </c>
      <c r="P20" s="52" t="s">
        <v>46</v>
      </c>
      <c r="AF20" s="52" t="s">
        <v>47</v>
      </c>
      <c r="AG20" s="52" t="s">
        <v>46</v>
      </c>
    </row>
    <row r="21" spans="1:34">
      <c r="A21" s="155">
        <v>15</v>
      </c>
      <c r="B21" s="52" t="s">
        <v>48</v>
      </c>
      <c r="C21" s="59">
        <f>$E$21/$E$6*C6</f>
        <v>43000</v>
      </c>
      <c r="D21" s="59">
        <f>$E$21/$E$6*D6</f>
        <v>43000</v>
      </c>
      <c r="E21" s="54">
        <f>项目投资!D27</f>
        <v>86000</v>
      </c>
      <c r="P21" s="52" t="s">
        <v>48</v>
      </c>
      <c r="AF21" s="52"/>
      <c r="AG21" s="52"/>
    </row>
    <row r="22" spans="1:34">
      <c r="A22" s="155">
        <v>16</v>
      </c>
      <c r="B22" s="52" t="s">
        <v>49</v>
      </c>
      <c r="C22" s="54">
        <f>C6*C47</f>
        <v>166140</v>
      </c>
      <c r="D22" s="54">
        <f t="shared" ref="D22" si="11">D6*D47</f>
        <v>53676</v>
      </c>
      <c r="E22" s="54">
        <f>SUM(C22:D22)</f>
        <v>219816</v>
      </c>
      <c r="P22" s="52" t="s">
        <v>49</v>
      </c>
      <c r="AF22" s="52" t="s">
        <v>50</v>
      </c>
      <c r="AG22" s="52" t="s">
        <v>49</v>
      </c>
    </row>
    <row r="23" spans="1:34">
      <c r="A23" s="155">
        <v>17</v>
      </c>
      <c r="B23" s="55" t="s">
        <v>51</v>
      </c>
      <c r="C23" s="59">
        <f>+C22+C21+C20+C19+C17</f>
        <v>639165</v>
      </c>
      <c r="D23" s="59">
        <f t="shared" ref="D23" si="12">+D22+D21+D20+D19+D17</f>
        <v>246861</v>
      </c>
      <c r="E23" s="59">
        <f t="shared" ref="E23" si="13">+E22+E21+E20+E19+E17</f>
        <v>886026</v>
      </c>
      <c r="P23" s="55" t="s">
        <v>51</v>
      </c>
      <c r="AF23" s="52" t="s">
        <v>52</v>
      </c>
      <c r="AG23" s="55" t="s">
        <v>51</v>
      </c>
    </row>
    <row r="24" spans="1:34">
      <c r="A24" s="155">
        <v>18</v>
      </c>
      <c r="B24" s="60" t="s">
        <v>53</v>
      </c>
      <c r="C24" s="59">
        <f>+C15-C23</f>
        <v>584111.80846867897</v>
      </c>
      <c r="D24" s="59">
        <f t="shared" ref="D24" si="14">+D15-D23</f>
        <v>244617.53206727467</v>
      </c>
      <c r="E24" s="59">
        <f t="shared" ref="E24" si="15">+E15-E23</f>
        <v>828729.34053595364</v>
      </c>
      <c r="G24" s="71"/>
      <c r="P24" s="52" t="s">
        <v>53</v>
      </c>
      <c r="AF24" s="52" t="s">
        <v>54</v>
      </c>
      <c r="AG24" s="52" t="s">
        <v>53</v>
      </c>
    </row>
    <row r="25" spans="1:34">
      <c r="A25" s="155">
        <v>19</v>
      </c>
      <c r="B25" s="52" t="s">
        <v>244</v>
      </c>
      <c r="C25" s="59">
        <f t="shared" ref="C25:E25" si="16">IF(C24&lt;0,0,C24*0.15)</f>
        <v>87616.771270301848</v>
      </c>
      <c r="D25" s="59">
        <f t="shared" si="16"/>
        <v>36692.629810091203</v>
      </c>
      <c r="E25" s="59">
        <f t="shared" si="16"/>
        <v>124309.40108039304</v>
      </c>
      <c r="F25" s="67"/>
      <c r="G25" s="67"/>
      <c r="H25" s="67"/>
      <c r="P25" s="52" t="s">
        <v>55</v>
      </c>
      <c r="AF25" s="52" t="s">
        <v>56</v>
      </c>
      <c r="AG25" s="52" t="s">
        <v>55</v>
      </c>
    </row>
    <row r="26" spans="1:34">
      <c r="A26" s="155">
        <v>20</v>
      </c>
      <c r="B26" s="52" t="s">
        <v>57</v>
      </c>
      <c r="C26" s="59">
        <f t="shared" ref="C26:D26" si="17">C24-C25</f>
        <v>496495.03719837713</v>
      </c>
      <c r="D26" s="59">
        <f t="shared" si="17"/>
        <v>207924.90225718348</v>
      </c>
      <c r="E26" s="54">
        <f>E24-E25</f>
        <v>704419.93945556064</v>
      </c>
      <c r="F26" s="67"/>
      <c r="G26" s="67"/>
      <c r="H26" s="67"/>
      <c r="P26" s="52" t="s">
        <v>57</v>
      </c>
      <c r="AF26" s="52" t="s">
        <v>58</v>
      </c>
      <c r="AG26" s="52" t="s">
        <v>57</v>
      </c>
    </row>
    <row r="27" spans="1:34">
      <c r="A27" s="155">
        <v>21</v>
      </c>
      <c r="B27" s="52" t="s">
        <v>61</v>
      </c>
      <c r="C27" s="61">
        <f t="shared" ref="C27:E27" si="18">C26/C7</f>
        <v>6.3653209897227836E-2</v>
      </c>
      <c r="D27" s="61">
        <f t="shared" ref="D27" si="19">D26/D7</f>
        <v>8.2509881848088676E-2</v>
      </c>
      <c r="E27" s="61">
        <f t="shared" si="18"/>
        <v>6.8257746071275258E-2</v>
      </c>
      <c r="F27" s="67"/>
      <c r="G27" s="67"/>
      <c r="H27" s="67"/>
      <c r="P27" s="52" t="s">
        <v>61</v>
      </c>
      <c r="AF27" s="52" t="s">
        <v>60</v>
      </c>
      <c r="AG27" s="52" t="s">
        <v>61</v>
      </c>
    </row>
    <row r="28" spans="1:34">
      <c r="F28" s="67"/>
      <c r="G28" s="67"/>
      <c r="H28" s="67"/>
      <c r="P28" s="52"/>
    </row>
    <row r="29" spans="1:34">
      <c r="A29" s="48" t="s">
        <v>62</v>
      </c>
      <c r="E29" s="49" t="s">
        <v>150</v>
      </c>
      <c r="F29" s="67"/>
      <c r="G29" s="67"/>
      <c r="H29" s="67"/>
      <c r="P29" s="52"/>
      <c r="AF29" s="48" t="s">
        <v>62</v>
      </c>
    </row>
    <row r="30" spans="1:34">
      <c r="A30" s="52" t="s">
        <v>67</v>
      </c>
      <c r="B30" s="55" t="s">
        <v>68</v>
      </c>
      <c r="C30" s="59"/>
      <c r="D30" s="59"/>
      <c r="E30" s="59"/>
      <c r="F30" s="67"/>
      <c r="G30" s="67"/>
      <c r="H30" s="67"/>
      <c r="J30" s="67"/>
      <c r="P30" s="55" t="s">
        <v>68</v>
      </c>
      <c r="AF30" s="52" t="s">
        <v>69</v>
      </c>
      <c r="AG30" s="55" t="s">
        <v>68</v>
      </c>
    </row>
    <row r="31" spans="1:34">
      <c r="A31" s="155">
        <v>1</v>
      </c>
      <c r="B31" s="57" t="s">
        <v>70</v>
      </c>
      <c r="C31" s="63">
        <f>销量!C8</f>
        <v>1300</v>
      </c>
      <c r="D31" s="63">
        <f>销量!D8</f>
        <v>420</v>
      </c>
      <c r="E31" s="59"/>
      <c r="F31" s="67"/>
      <c r="G31" s="67"/>
      <c r="H31" s="67"/>
      <c r="J31" s="67"/>
      <c r="P31" s="52" t="s">
        <v>70</v>
      </c>
      <c r="AF31" s="52" t="s">
        <v>20</v>
      </c>
      <c r="AG31" s="52" t="s">
        <v>70</v>
      </c>
    </row>
    <row r="32" spans="1:34">
      <c r="A32" s="155">
        <v>2</v>
      </c>
      <c r="B32" s="52" t="s">
        <v>151</v>
      </c>
      <c r="C32" s="54">
        <f>C9/C6</f>
        <v>1248</v>
      </c>
      <c r="D32" s="54">
        <f t="shared" ref="D32" si="20">D9/D6</f>
        <v>403.2</v>
      </c>
      <c r="E32" s="59"/>
      <c r="F32" s="67"/>
      <c r="G32" s="67"/>
      <c r="H32" s="67"/>
      <c r="I32" s="67"/>
      <c r="J32" s="67"/>
      <c r="K32" s="67"/>
      <c r="L32" s="67"/>
      <c r="AF32" s="52"/>
      <c r="AG32" s="52"/>
    </row>
    <row r="33" spans="1:33">
      <c r="A33" s="155">
        <v>3</v>
      </c>
      <c r="B33" s="57" t="s">
        <v>71</v>
      </c>
      <c r="C33" s="54">
        <f>材料成本!F19</f>
        <v>941.42053192188678</v>
      </c>
      <c r="D33" s="54">
        <f>材料成本!F20</f>
        <v>288.10691132212088</v>
      </c>
      <c r="E33" s="59"/>
      <c r="G33" s="67"/>
      <c r="H33" s="67"/>
      <c r="I33" s="67"/>
      <c r="J33" s="67"/>
      <c r="K33" s="67"/>
      <c r="L33" s="67"/>
      <c r="P33" s="52" t="s">
        <v>71</v>
      </c>
      <c r="AF33" s="52" t="s">
        <v>22</v>
      </c>
      <c r="AG33" s="52" t="s">
        <v>71</v>
      </c>
    </row>
    <row r="34" spans="1:33" ht="17.25" customHeight="1">
      <c r="A34" s="155">
        <v>4</v>
      </c>
      <c r="B34" s="52" t="s">
        <v>73</v>
      </c>
      <c r="C34" s="64">
        <f>C32-C33</f>
        <v>306.57946807811322</v>
      </c>
      <c r="D34" s="64">
        <f t="shared" ref="D34" si="21">D32-D33</f>
        <v>115.09308867787911</v>
      </c>
      <c r="E34" s="59"/>
      <c r="G34" s="67"/>
      <c r="H34" s="67"/>
      <c r="I34" s="67"/>
      <c r="J34" s="67"/>
      <c r="K34" s="67"/>
      <c r="L34" s="67"/>
      <c r="P34" s="52" t="s">
        <v>73</v>
      </c>
      <c r="AF34" s="52" t="s">
        <v>72</v>
      </c>
      <c r="AG34" s="52" t="s">
        <v>73</v>
      </c>
    </row>
    <row r="35" spans="1:33">
      <c r="A35" s="52" t="s">
        <v>69</v>
      </c>
      <c r="B35" s="55" t="s">
        <v>8</v>
      </c>
      <c r="C35" s="59"/>
      <c r="D35" s="59"/>
      <c r="E35" s="59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55" t="s">
        <v>8</v>
      </c>
      <c r="AF35" s="52" t="s">
        <v>75</v>
      </c>
      <c r="AG35" s="55" t="s">
        <v>8</v>
      </c>
    </row>
    <row r="36" spans="1:33">
      <c r="A36" s="155">
        <v>1</v>
      </c>
      <c r="B36" s="52" t="s">
        <v>76</v>
      </c>
      <c r="C36" s="58">
        <f>'2023年'!C36</f>
        <v>36.4</v>
      </c>
      <c r="D36" s="58">
        <f>'2023年'!D36</f>
        <v>11.76</v>
      </c>
      <c r="E36" s="63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52" t="s">
        <v>76</v>
      </c>
      <c r="AF36" s="52" t="s">
        <v>72</v>
      </c>
      <c r="AG36" s="52" t="s">
        <v>76</v>
      </c>
    </row>
    <row r="37" spans="1:33">
      <c r="A37" s="155">
        <v>2</v>
      </c>
      <c r="B37" s="52" t="s">
        <v>77</v>
      </c>
      <c r="C37" s="58">
        <f>'2023年'!C37</f>
        <v>14.299999999999999</v>
      </c>
      <c r="D37" s="58">
        <f>'2023年'!D37</f>
        <v>4.62</v>
      </c>
      <c r="E37" s="63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52" t="s">
        <v>77</v>
      </c>
      <c r="AF37" s="52" t="s">
        <v>25</v>
      </c>
      <c r="AG37" s="52" t="s">
        <v>77</v>
      </c>
    </row>
    <row r="38" spans="1:33">
      <c r="A38" s="155">
        <v>3</v>
      </c>
      <c r="B38" s="52" t="s">
        <v>78</v>
      </c>
      <c r="C38" s="58">
        <f>'2023年'!C38</f>
        <v>51.999999999999993</v>
      </c>
      <c r="D38" s="58">
        <f>'2023年'!D38</f>
        <v>16.799999999999997</v>
      </c>
      <c r="E38" s="63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52" t="s">
        <v>78</v>
      </c>
      <c r="AF38" s="52" t="s">
        <v>31</v>
      </c>
      <c r="AG38" s="52" t="s">
        <v>78</v>
      </c>
    </row>
    <row r="39" spans="1:33">
      <c r="A39" s="52" t="s">
        <v>75</v>
      </c>
      <c r="B39" s="55" t="s">
        <v>80</v>
      </c>
      <c r="C39" s="59"/>
      <c r="D39" s="59"/>
      <c r="E39" s="59"/>
      <c r="P39" s="55" t="s">
        <v>80</v>
      </c>
      <c r="AF39" s="52" t="s">
        <v>79</v>
      </c>
      <c r="AG39" s="55" t="s">
        <v>80</v>
      </c>
    </row>
    <row r="40" spans="1:33">
      <c r="A40" s="155">
        <v>1</v>
      </c>
      <c r="B40" s="52" t="s">
        <v>82</v>
      </c>
      <c r="C40" s="59">
        <f>C34-C36-C37-C38</f>
        <v>203.87946807811323</v>
      </c>
      <c r="D40" s="59">
        <f t="shared" ref="D40" si="22">D34-D36-D37-D38</f>
        <v>81.913088677879102</v>
      </c>
      <c r="E40" s="59"/>
      <c r="P40" s="52" t="s">
        <v>82</v>
      </c>
      <c r="AF40" s="52" t="s">
        <v>20</v>
      </c>
      <c r="AG40" s="52" t="s">
        <v>82</v>
      </c>
    </row>
    <row r="41" spans="1:33">
      <c r="A41" s="155">
        <v>2</v>
      </c>
      <c r="B41" s="52" t="s">
        <v>83</v>
      </c>
      <c r="C41" s="59"/>
      <c r="D41" s="59"/>
      <c r="E41" s="59"/>
      <c r="P41" s="52" t="s">
        <v>83</v>
      </c>
      <c r="AF41" s="52" t="s">
        <v>22</v>
      </c>
      <c r="AG41" s="52" t="s">
        <v>83</v>
      </c>
    </row>
    <row r="42" spans="1:33">
      <c r="A42" s="52" t="s">
        <v>79</v>
      </c>
      <c r="B42" s="55" t="s">
        <v>85</v>
      </c>
      <c r="C42" s="59"/>
      <c r="D42" s="59"/>
      <c r="E42" s="59"/>
      <c r="P42" s="55" t="s">
        <v>85</v>
      </c>
      <c r="AF42" s="52" t="s">
        <v>84</v>
      </c>
      <c r="AG42" s="55" t="s">
        <v>85</v>
      </c>
    </row>
    <row r="43" spans="1:33">
      <c r="A43" s="155">
        <v>1</v>
      </c>
      <c r="B43" s="60" t="s">
        <v>86</v>
      </c>
      <c r="C43" s="58">
        <f>'2023年'!C43</f>
        <v>39</v>
      </c>
      <c r="D43" s="58">
        <f>'2023年'!D43</f>
        <v>12.6</v>
      </c>
      <c r="E43" s="59"/>
      <c r="P43" s="52" t="s">
        <v>86</v>
      </c>
      <c r="AF43" s="52" t="s">
        <v>20</v>
      </c>
      <c r="AG43" s="52" t="s">
        <v>86</v>
      </c>
    </row>
    <row r="44" spans="1:33">
      <c r="A44" s="155">
        <v>2</v>
      </c>
      <c r="B44" s="60" t="s">
        <v>87</v>
      </c>
      <c r="C44" s="58">
        <f>'2023年'!C44</f>
        <v>9.1</v>
      </c>
      <c r="D44" s="58">
        <f>'2023年'!D44</f>
        <v>2.94</v>
      </c>
      <c r="E44" s="59"/>
      <c r="P44" s="52" t="s">
        <v>87</v>
      </c>
      <c r="AF44" s="52" t="s">
        <v>22</v>
      </c>
      <c r="AG44" s="52" t="s">
        <v>87</v>
      </c>
    </row>
    <row r="45" spans="1:33">
      <c r="A45" s="155">
        <v>3</v>
      </c>
      <c r="B45" s="60" t="s">
        <v>88</v>
      </c>
      <c r="C45" s="58">
        <f>'2023年'!C45</f>
        <v>20.8</v>
      </c>
      <c r="D45" s="58">
        <f>'2023年'!D45</f>
        <v>6.72</v>
      </c>
      <c r="E45" s="59"/>
      <c r="P45" s="52" t="s">
        <v>88</v>
      </c>
      <c r="AF45" s="52" t="s">
        <v>72</v>
      </c>
      <c r="AG45" s="52" t="s">
        <v>88</v>
      </c>
    </row>
    <row r="46" spans="1:33" s="47" customFormat="1">
      <c r="A46" s="155">
        <v>4</v>
      </c>
      <c r="B46" s="60" t="s">
        <v>89</v>
      </c>
      <c r="C46" s="65">
        <f>C21/C6</f>
        <v>7.166666666666667</v>
      </c>
      <c r="D46" s="65">
        <f t="shared" ref="D46" si="23">D21/D6</f>
        <v>7.166666666666667</v>
      </c>
      <c r="E46" s="65"/>
      <c r="P46" s="60" t="s">
        <v>91</v>
      </c>
      <c r="AF46" s="60" t="s">
        <v>28</v>
      </c>
      <c r="AG46" s="60" t="s">
        <v>91</v>
      </c>
    </row>
    <row r="47" spans="1:33" s="47" customFormat="1">
      <c r="A47" s="155">
        <v>5</v>
      </c>
      <c r="B47" s="60" t="s">
        <v>91</v>
      </c>
      <c r="C47" s="65">
        <f>'2023年'!C47</f>
        <v>27.689999999999998</v>
      </c>
      <c r="D47" s="65">
        <f>'2023年'!D47</f>
        <v>8.9459999999999997</v>
      </c>
      <c r="E47" s="65"/>
      <c r="P47" s="60" t="s">
        <v>91</v>
      </c>
      <c r="AF47" s="60" t="s">
        <v>28</v>
      </c>
      <c r="AG47" s="60" t="s">
        <v>91</v>
      </c>
    </row>
    <row r="48" spans="1:33">
      <c r="A48" s="52" t="s">
        <v>84</v>
      </c>
      <c r="B48" s="55" t="s">
        <v>102</v>
      </c>
      <c r="C48" s="59">
        <f>C40-C43-C44-C45-C47-C46</f>
        <v>100.12280141144656</v>
      </c>
      <c r="D48" s="59">
        <f t="shared" ref="D48" si="24">D40-D43-D44-D45-D47-D46</f>
        <v>43.540422011212449</v>
      </c>
      <c r="E48" s="59"/>
      <c r="P48" s="55" t="s">
        <v>102</v>
      </c>
      <c r="AF48" s="52" t="s">
        <v>101</v>
      </c>
      <c r="AG48" s="55" t="s">
        <v>102</v>
      </c>
    </row>
    <row r="51" spans="2:10">
      <c r="C51" s="66"/>
      <c r="D51" s="66"/>
    </row>
    <row r="54" spans="2:10">
      <c r="B54" s="67"/>
      <c r="C54" s="68"/>
      <c r="D54" s="68"/>
      <c r="E54" s="68"/>
      <c r="F54" s="67"/>
      <c r="G54" s="67"/>
      <c r="H54" s="67"/>
      <c r="I54" s="67"/>
      <c r="J54" s="67"/>
    </row>
    <row r="55" spans="2:10">
      <c r="B55" s="67"/>
      <c r="C55" s="68"/>
      <c r="D55" s="68"/>
      <c r="E55" s="68"/>
      <c r="F55" s="67"/>
      <c r="G55" s="67"/>
      <c r="H55" s="67"/>
      <c r="I55" s="67"/>
      <c r="J55" s="67"/>
    </row>
    <row r="56" spans="2:10">
      <c r="B56" s="67"/>
      <c r="C56" s="68"/>
      <c r="D56" s="68"/>
      <c r="E56" s="68"/>
      <c r="F56" s="67"/>
      <c r="G56" s="67"/>
      <c r="H56" s="67"/>
      <c r="I56" s="67"/>
      <c r="J56" s="67"/>
    </row>
    <row r="57" spans="2:10">
      <c r="B57" s="67"/>
      <c r="C57" s="68"/>
      <c r="D57" s="68"/>
      <c r="E57" s="68"/>
      <c r="F57" s="67"/>
      <c r="G57" s="67"/>
      <c r="H57" s="67"/>
      <c r="I57" s="67"/>
      <c r="J57" s="67"/>
    </row>
    <row r="58" spans="2:10">
      <c r="B58" s="67"/>
      <c r="C58" s="68"/>
      <c r="D58" s="68"/>
      <c r="E58" s="68"/>
      <c r="F58" s="67"/>
      <c r="G58" s="67"/>
      <c r="H58" s="67"/>
      <c r="I58" s="67"/>
      <c r="J58" s="67"/>
    </row>
    <row r="59" spans="2:10">
      <c r="B59" s="67"/>
      <c r="C59" s="68"/>
      <c r="D59" s="68"/>
      <c r="E59" s="68"/>
      <c r="F59" s="67"/>
      <c r="G59" s="67"/>
      <c r="H59" s="67"/>
      <c r="I59" s="67"/>
      <c r="J59" s="67"/>
    </row>
    <row r="60" spans="2:10">
      <c r="B60" s="67"/>
      <c r="C60" s="68"/>
      <c r="D60" s="68"/>
      <c r="E60" s="68"/>
      <c r="F60" s="67"/>
      <c r="G60" s="67"/>
      <c r="H60" s="67"/>
      <c r="I60" s="67"/>
      <c r="J60" s="67"/>
    </row>
    <row r="61" spans="2:10">
      <c r="B61" s="67"/>
      <c r="C61" s="68"/>
      <c r="D61" s="68"/>
      <c r="E61" s="68"/>
      <c r="F61" s="67"/>
      <c r="G61" s="67"/>
      <c r="H61" s="67"/>
      <c r="I61" s="67"/>
      <c r="J61" s="67"/>
    </row>
    <row r="62" spans="2:10">
      <c r="B62" s="67"/>
      <c r="C62" s="68"/>
      <c r="D62" s="68"/>
      <c r="E62" s="68"/>
      <c r="F62" s="67"/>
      <c r="G62" s="67"/>
      <c r="H62" s="67"/>
      <c r="I62" s="67"/>
      <c r="J62" s="67"/>
    </row>
    <row r="63" spans="2:10">
      <c r="B63" s="67"/>
      <c r="C63" s="68"/>
      <c r="D63" s="68"/>
      <c r="E63" s="68"/>
      <c r="F63" s="67"/>
      <c r="G63" s="67"/>
      <c r="H63" s="67"/>
      <c r="I63" s="67"/>
      <c r="J63" s="67"/>
    </row>
    <row r="64" spans="2:10">
      <c r="B64" s="67"/>
      <c r="C64" s="68"/>
      <c r="D64" s="68"/>
      <c r="E64" s="68"/>
      <c r="F64" s="67"/>
      <c r="G64" s="67"/>
      <c r="H64" s="67"/>
      <c r="I64" s="67"/>
      <c r="J64" s="67"/>
    </row>
    <row r="65" spans="2:10">
      <c r="B65" s="67"/>
      <c r="C65" s="68"/>
      <c r="D65" s="68"/>
      <c r="E65" s="68"/>
      <c r="F65" s="67"/>
      <c r="G65" s="67"/>
      <c r="H65" s="67"/>
      <c r="I65" s="67"/>
      <c r="J65" s="67"/>
    </row>
    <row r="66" spans="2:10">
      <c r="B66" s="67"/>
      <c r="C66" s="68"/>
      <c r="D66" s="68"/>
      <c r="E66" s="68"/>
      <c r="F66" s="67"/>
      <c r="G66" s="67"/>
      <c r="H66" s="67"/>
      <c r="I66" s="67"/>
      <c r="J66" s="67"/>
    </row>
    <row r="67" spans="2:10">
      <c r="B67" s="67"/>
      <c r="C67" s="68"/>
      <c r="D67" s="68"/>
      <c r="E67" s="68"/>
      <c r="F67" s="67"/>
    </row>
    <row r="68" spans="2:10">
      <c r="B68" s="67"/>
      <c r="C68" s="68"/>
      <c r="D68" s="68"/>
      <c r="E68" s="68"/>
      <c r="F68" s="67"/>
    </row>
    <row r="69" spans="2:10">
      <c r="B69" s="67"/>
      <c r="C69" s="68"/>
      <c r="D69" s="68"/>
      <c r="E69" s="68"/>
      <c r="F69" s="67"/>
    </row>
    <row r="70" spans="2:10">
      <c r="B70" s="67"/>
      <c r="C70" s="68"/>
      <c r="D70" s="68"/>
      <c r="E70" s="68"/>
      <c r="F70" s="67"/>
    </row>
    <row r="71" spans="2:10">
      <c r="B71" s="67"/>
      <c r="C71" s="68"/>
      <c r="D71" s="68"/>
      <c r="E71" s="68"/>
      <c r="F71" s="67"/>
    </row>
    <row r="72" spans="2:10">
      <c r="B72" s="67"/>
      <c r="C72" s="68"/>
      <c r="D72" s="68"/>
      <c r="E72" s="68"/>
      <c r="F72" s="67"/>
    </row>
    <row r="73" spans="2:10">
      <c r="B73" s="67"/>
      <c r="C73" s="68"/>
      <c r="D73" s="68"/>
      <c r="E73" s="68"/>
      <c r="F73" s="67"/>
    </row>
    <row r="74" spans="2:10">
      <c r="B74" s="67"/>
      <c r="C74" s="68"/>
      <c r="D74" s="68"/>
      <c r="E74" s="68"/>
      <c r="F74" s="67"/>
    </row>
  </sheetData>
  <mergeCells count="8">
    <mergeCell ref="A1:B1"/>
    <mergeCell ref="C1:E1"/>
    <mergeCell ref="A2:B2"/>
    <mergeCell ref="C2:E2"/>
    <mergeCell ref="A3:B3"/>
    <mergeCell ref="E3:E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workbookViewId="0">
      <pane xSplit="2" ySplit="7" topLeftCell="C8" activePane="bottomRight" state="frozen"/>
      <selection pane="topRight"/>
      <selection pane="bottomLeft"/>
      <selection pane="bottomRight" activeCell="D8" sqref="D8"/>
    </sheetView>
  </sheetViews>
  <sheetFormatPr defaultColWidth="9" defaultRowHeight="16.5"/>
  <cols>
    <col min="1" max="1" width="5.125" style="48" customWidth="1"/>
    <col min="2" max="2" width="17.5" style="48" customWidth="1"/>
    <col min="3" max="3" width="13.25" style="49" customWidth="1"/>
    <col min="4" max="4" width="14" style="49" bestFit="1" customWidth="1"/>
    <col min="5" max="5" width="18.75" style="49" customWidth="1"/>
    <col min="6" max="6" width="12.375" style="48" customWidth="1"/>
    <col min="7" max="7" width="10.125" style="48" customWidth="1"/>
    <col min="8" max="14" width="9" style="48" customWidth="1"/>
    <col min="15" max="31" width="9" style="48"/>
    <col min="32" max="32" width="4.375" style="48" customWidth="1"/>
    <col min="33" max="33" width="13.875" style="48" customWidth="1"/>
    <col min="34" max="16384" width="9" style="48"/>
  </cols>
  <sheetData>
    <row r="1" spans="1:34">
      <c r="A1" s="225" t="s">
        <v>142</v>
      </c>
      <c r="B1" s="225"/>
      <c r="C1" s="229" t="s">
        <v>235</v>
      </c>
      <c r="D1" s="230"/>
      <c r="E1" s="231"/>
    </row>
    <row r="2" spans="1:34">
      <c r="A2" s="225" t="s">
        <v>143</v>
      </c>
      <c r="B2" s="225"/>
      <c r="C2" s="232" t="str">
        <f>'2023年'!C2:E2</f>
        <v>陕汽</v>
      </c>
      <c r="D2" s="232"/>
      <c r="E2" s="232"/>
    </row>
    <row r="3" spans="1:34">
      <c r="A3" s="225" t="s">
        <v>144</v>
      </c>
      <c r="B3" s="225"/>
      <c r="C3" s="156" t="str">
        <f>销量!C5</f>
        <v>正司机座椅总成</v>
      </c>
      <c r="D3" s="156" t="str">
        <f>销量!D5</f>
        <v>副司机座椅总成</v>
      </c>
      <c r="E3" s="226" t="s">
        <v>16</v>
      </c>
    </row>
    <row r="4" spans="1:34">
      <c r="A4" s="225" t="s">
        <v>145</v>
      </c>
      <c r="B4" s="225"/>
      <c r="C4" s="156" t="str">
        <f>销量!C6</f>
        <v>KZ14221510012</v>
      </c>
      <c r="D4" s="156" t="str">
        <f>销量!D6</f>
        <v>KZ14221510013</v>
      </c>
      <c r="E4" s="227"/>
    </row>
    <row r="5" spans="1:34">
      <c r="A5" s="225" t="s">
        <v>146</v>
      </c>
      <c r="B5" s="225"/>
      <c r="C5" s="51"/>
      <c r="D5" s="51"/>
      <c r="E5" s="228"/>
      <c r="AH5" s="48" t="s">
        <v>17</v>
      </c>
    </row>
    <row r="6" spans="1:34" ht="17.25">
      <c r="A6" s="52" t="s">
        <v>14</v>
      </c>
      <c r="B6" s="53" t="s">
        <v>147</v>
      </c>
      <c r="C6" s="22">
        <f>销量!C11</f>
        <v>8000</v>
      </c>
      <c r="D6" s="22">
        <f>销量!D11</f>
        <v>8000</v>
      </c>
      <c r="E6" s="54">
        <f t="shared" ref="E6:E15" si="0">SUM(C6:D6)</f>
        <v>16000</v>
      </c>
      <c r="P6" s="53" t="s">
        <v>3</v>
      </c>
      <c r="AF6" s="52" t="s">
        <v>14</v>
      </c>
      <c r="AG6" s="53" t="s">
        <v>3</v>
      </c>
      <c r="AH6" s="48" t="s">
        <v>18</v>
      </c>
    </row>
    <row r="7" spans="1:34">
      <c r="A7" s="155">
        <v>1</v>
      </c>
      <c r="B7" s="53" t="s">
        <v>19</v>
      </c>
      <c r="C7" s="54">
        <f>C6*销量!C8</f>
        <v>10400000</v>
      </c>
      <c r="D7" s="54">
        <f>D6*销量!D8</f>
        <v>3360000</v>
      </c>
      <c r="E7" s="54">
        <f t="shared" si="0"/>
        <v>13760000</v>
      </c>
      <c r="F7" s="49"/>
      <c r="P7" s="53" t="s">
        <v>19</v>
      </c>
      <c r="AF7" s="52" t="s">
        <v>20</v>
      </c>
      <c r="AG7" s="53" t="s">
        <v>19</v>
      </c>
      <c r="AH7" s="48" t="s">
        <v>18</v>
      </c>
    </row>
    <row r="8" spans="1:34">
      <c r="A8" s="155">
        <v>2</v>
      </c>
      <c r="B8" s="155" t="s">
        <v>21</v>
      </c>
      <c r="C8" s="54">
        <f>C7*(1-销量!$L$8)</f>
        <v>815360.00000000023</v>
      </c>
      <c r="D8" s="54">
        <f>D7*(1-销量!$L$8)</f>
        <v>263424.00000000006</v>
      </c>
      <c r="E8" s="54">
        <f t="shared" si="0"/>
        <v>1078784.0000000002</v>
      </c>
      <c r="F8" s="69"/>
      <c r="P8" s="155" t="s">
        <v>23</v>
      </c>
      <c r="AF8" s="52" t="s">
        <v>22</v>
      </c>
      <c r="AG8" s="155" t="s">
        <v>23</v>
      </c>
      <c r="AH8" s="48" t="s">
        <v>18</v>
      </c>
    </row>
    <row r="9" spans="1:34">
      <c r="A9" s="155">
        <v>3</v>
      </c>
      <c r="B9" s="53" t="s">
        <v>24</v>
      </c>
      <c r="C9" s="54">
        <f>+C7-C8</f>
        <v>9584640</v>
      </c>
      <c r="D9" s="54">
        <f t="shared" ref="D9" si="1">+D7-D8</f>
        <v>3096576</v>
      </c>
      <c r="E9" s="54">
        <f t="shared" si="0"/>
        <v>12681216</v>
      </c>
      <c r="P9" s="53" t="s">
        <v>24</v>
      </c>
      <c r="AF9" s="52" t="s">
        <v>25</v>
      </c>
      <c r="AG9" s="53" t="s">
        <v>24</v>
      </c>
      <c r="AH9" s="48" t="s">
        <v>26</v>
      </c>
    </row>
    <row r="10" spans="1:34">
      <c r="A10" s="155">
        <v>4</v>
      </c>
      <c r="B10" s="52" t="s">
        <v>27</v>
      </c>
      <c r="C10" s="54">
        <f>C6*材料成本!G19</f>
        <v>7230109.6851600902</v>
      </c>
      <c r="D10" s="54">
        <f>D6*材料成本!G20</f>
        <v>2212661.0789538883</v>
      </c>
      <c r="E10" s="54">
        <f t="shared" si="0"/>
        <v>9442770.7641139776</v>
      </c>
      <c r="P10" s="52" t="s">
        <v>27</v>
      </c>
      <c r="AF10" s="52" t="s">
        <v>28</v>
      </c>
      <c r="AG10" s="52" t="s">
        <v>27</v>
      </c>
      <c r="AH10" s="48" t="s">
        <v>29</v>
      </c>
    </row>
    <row r="11" spans="1:34">
      <c r="A11" s="155">
        <v>5</v>
      </c>
      <c r="B11" s="52" t="s">
        <v>30</v>
      </c>
      <c r="C11" s="54">
        <f>+C6*C36</f>
        <v>291200</v>
      </c>
      <c r="D11" s="54">
        <f t="shared" ref="D11" si="2">+D6*D36</f>
        <v>94080</v>
      </c>
      <c r="E11" s="54">
        <f t="shared" si="0"/>
        <v>385280</v>
      </c>
      <c r="P11" s="52" t="s">
        <v>30</v>
      </c>
      <c r="AF11" s="52" t="s">
        <v>31</v>
      </c>
      <c r="AG11" s="52" t="s">
        <v>30</v>
      </c>
    </row>
    <row r="12" spans="1:34">
      <c r="A12" s="155">
        <v>6</v>
      </c>
      <c r="B12" s="52" t="s">
        <v>32</v>
      </c>
      <c r="C12" s="54">
        <f>+C6*C37</f>
        <v>114399.99999999999</v>
      </c>
      <c r="D12" s="54">
        <f t="shared" ref="D12" si="3">+D6*D37</f>
        <v>36960</v>
      </c>
      <c r="E12" s="54">
        <f t="shared" si="0"/>
        <v>151360</v>
      </c>
      <c r="P12" s="52" t="s">
        <v>32</v>
      </c>
      <c r="AF12" s="52" t="s">
        <v>33</v>
      </c>
      <c r="AG12" s="52" t="s">
        <v>32</v>
      </c>
    </row>
    <row r="13" spans="1:34">
      <c r="A13" s="155">
        <v>7</v>
      </c>
      <c r="B13" s="52" t="s">
        <v>34</v>
      </c>
      <c r="C13" s="54">
        <f>+C6*C38</f>
        <v>415999.99999999994</v>
      </c>
      <c r="D13" s="54">
        <f t="shared" ref="D13" si="4">+D6*D38</f>
        <v>134399.99999999997</v>
      </c>
      <c r="E13" s="54">
        <f t="shared" si="0"/>
        <v>550399.99999999988</v>
      </c>
      <c r="P13" s="52" t="s">
        <v>34</v>
      </c>
      <c r="AF13" s="52" t="s">
        <v>35</v>
      </c>
      <c r="AG13" s="52" t="s">
        <v>34</v>
      </c>
      <c r="AH13" s="48" t="s">
        <v>18</v>
      </c>
    </row>
    <row r="14" spans="1:34">
      <c r="A14" s="155">
        <v>8</v>
      </c>
      <c r="B14" s="55" t="s">
        <v>36</v>
      </c>
      <c r="C14" s="54">
        <f>SUM(C11:C13)</f>
        <v>821600</v>
      </c>
      <c r="D14" s="54">
        <f t="shared" ref="D14" si="5">SUM(D11:D13)</f>
        <v>265440</v>
      </c>
      <c r="E14" s="54">
        <f t="shared" si="0"/>
        <v>1087040</v>
      </c>
      <c r="P14" s="55" t="s">
        <v>36</v>
      </c>
      <c r="AF14" s="52" t="s">
        <v>37</v>
      </c>
      <c r="AG14" s="55" t="s">
        <v>36</v>
      </c>
    </row>
    <row r="15" spans="1:34">
      <c r="A15" s="155">
        <v>9</v>
      </c>
      <c r="B15" s="55" t="s">
        <v>38</v>
      </c>
      <c r="C15" s="54">
        <f>+C9-C10-C14</f>
        <v>1532930.3148399098</v>
      </c>
      <c r="D15" s="54">
        <f t="shared" ref="D15" si="6">+D9-D10-D14</f>
        <v>618474.92104611173</v>
      </c>
      <c r="E15" s="54">
        <f t="shared" si="0"/>
        <v>2151405.2358860215</v>
      </c>
      <c r="P15" s="55" t="s">
        <v>38</v>
      </c>
      <c r="AF15" s="52" t="s">
        <v>39</v>
      </c>
      <c r="AG15" s="55" t="s">
        <v>38</v>
      </c>
    </row>
    <row r="16" spans="1:34">
      <c r="A16" s="155">
        <v>10</v>
      </c>
      <c r="B16" s="52" t="s">
        <v>40</v>
      </c>
      <c r="C16" s="56">
        <f>+C15/C9</f>
        <v>0.15993613895147962</v>
      </c>
      <c r="D16" s="56">
        <f t="shared" ref="D16" si="7">+D15/D9</f>
        <v>0.19972864255426373</v>
      </c>
      <c r="E16" s="56">
        <f t="shared" ref="E16" si="8">+E15/E9</f>
        <v>0.16965291308704319</v>
      </c>
      <c r="P16" s="52" t="s">
        <v>40</v>
      </c>
      <c r="AF16" s="52" t="s">
        <v>41</v>
      </c>
      <c r="AG16" s="52" t="s">
        <v>40</v>
      </c>
    </row>
    <row r="17" spans="1:34">
      <c r="A17" s="155">
        <v>11</v>
      </c>
      <c r="B17" s="52" t="s">
        <v>42</v>
      </c>
      <c r="C17" s="54">
        <f>C6*C43+C18</f>
        <v>328625</v>
      </c>
      <c r="D17" s="54">
        <f t="shared" ref="D17" si="9">D6*D43+D18</f>
        <v>117425</v>
      </c>
      <c r="E17" s="54">
        <f>SUM(C17:D17)</f>
        <v>446050</v>
      </c>
      <c r="F17" s="69"/>
      <c r="P17" s="52" t="s">
        <v>42</v>
      </c>
      <c r="AF17" s="52" t="s">
        <v>43</v>
      </c>
      <c r="AG17" s="52" t="s">
        <v>42</v>
      </c>
    </row>
    <row r="18" spans="1:34" s="46" customFormat="1">
      <c r="A18" s="155">
        <v>12</v>
      </c>
      <c r="B18" s="57" t="s">
        <v>148</v>
      </c>
      <c r="C18" s="58">
        <f>$E$18/$E$6*C6</f>
        <v>16625</v>
      </c>
      <c r="D18" s="58">
        <f>$E$18/$E$6*D6</f>
        <v>16625</v>
      </c>
      <c r="E18" s="58">
        <f>项目投资!D26</f>
        <v>33250</v>
      </c>
      <c r="F18" s="70" t="s">
        <v>149</v>
      </c>
      <c r="G18" s="70"/>
      <c r="H18" s="70"/>
    </row>
    <row r="19" spans="1:34">
      <c r="A19" s="155">
        <v>13</v>
      </c>
      <c r="B19" s="52" t="s">
        <v>44</v>
      </c>
      <c r="C19" s="54">
        <f>C6*C44</f>
        <v>72800</v>
      </c>
      <c r="D19" s="54">
        <f t="shared" ref="D19" si="10">D6*D44</f>
        <v>23520</v>
      </c>
      <c r="E19" s="54">
        <f>SUM(C19:D19)</f>
        <v>96320</v>
      </c>
      <c r="F19" s="46"/>
      <c r="P19" s="52" t="s">
        <v>44</v>
      </c>
      <c r="AF19" s="52" t="s">
        <v>45</v>
      </c>
      <c r="AG19" s="52" t="s">
        <v>44</v>
      </c>
      <c r="AH19" s="48" t="s">
        <v>18</v>
      </c>
    </row>
    <row r="20" spans="1:34">
      <c r="A20" s="155">
        <v>14</v>
      </c>
      <c r="B20" s="52" t="s">
        <v>46</v>
      </c>
      <c r="C20" s="54">
        <f>C6*C45</f>
        <v>166400</v>
      </c>
      <c r="D20" s="54">
        <f t="shared" ref="D20" si="11">D6*D45</f>
        <v>53760</v>
      </c>
      <c r="E20" s="54">
        <f>SUM(C20:D20)</f>
        <v>220160</v>
      </c>
      <c r="P20" s="52" t="s">
        <v>46</v>
      </c>
      <c r="AF20" s="52" t="s">
        <v>47</v>
      </c>
      <c r="AG20" s="52" t="s">
        <v>46</v>
      </c>
    </row>
    <row r="21" spans="1:34">
      <c r="A21" s="155">
        <v>15</v>
      </c>
      <c r="B21" s="52" t="s">
        <v>48</v>
      </c>
      <c r="C21" s="59">
        <f>$E$21/$E$6*C6</f>
        <v>43000</v>
      </c>
      <c r="D21" s="59">
        <f>$E$21/$E$6*D6</f>
        <v>43000</v>
      </c>
      <c r="E21" s="54">
        <f>项目投资!D27</f>
        <v>86000</v>
      </c>
      <c r="P21" s="52" t="s">
        <v>48</v>
      </c>
      <c r="AF21" s="52"/>
      <c r="AG21" s="52"/>
    </row>
    <row r="22" spans="1:34">
      <c r="A22" s="155">
        <v>16</v>
      </c>
      <c r="B22" s="52" t="s">
        <v>49</v>
      </c>
      <c r="C22" s="54">
        <f>C6*C47</f>
        <v>221519.99999999997</v>
      </c>
      <c r="D22" s="54">
        <f t="shared" ref="D22" si="12">D6*D47</f>
        <v>71568</v>
      </c>
      <c r="E22" s="54">
        <f>SUM(C22:D22)</f>
        <v>293088</v>
      </c>
      <c r="P22" s="52" t="s">
        <v>49</v>
      </c>
      <c r="AF22" s="52" t="s">
        <v>50</v>
      </c>
      <c r="AG22" s="52" t="s">
        <v>49</v>
      </c>
    </row>
    <row r="23" spans="1:34">
      <c r="A23" s="155">
        <v>17</v>
      </c>
      <c r="B23" s="55" t="s">
        <v>51</v>
      </c>
      <c r="C23" s="59">
        <f>+C22+C21+C20+C19+C17</f>
        <v>832345</v>
      </c>
      <c r="D23" s="59">
        <f t="shared" ref="D23" si="13">+D22+D21+D20+D19+D17</f>
        <v>309273</v>
      </c>
      <c r="E23" s="59">
        <f t="shared" ref="E23" si="14">+E22+E21+E20+E19+E17</f>
        <v>1141618</v>
      </c>
      <c r="P23" s="55" t="s">
        <v>51</v>
      </c>
      <c r="AF23" s="52" t="s">
        <v>52</v>
      </c>
      <c r="AG23" s="55" t="s">
        <v>51</v>
      </c>
    </row>
    <row r="24" spans="1:34">
      <c r="A24" s="155">
        <v>18</v>
      </c>
      <c r="B24" s="60" t="s">
        <v>53</v>
      </c>
      <c r="C24" s="59">
        <f>+C15-C23</f>
        <v>700585.31483990978</v>
      </c>
      <c r="D24" s="59">
        <f t="shared" ref="D24" si="15">+D15-D23</f>
        <v>309201.92104611173</v>
      </c>
      <c r="E24" s="59">
        <f t="shared" ref="E24" si="16">+E15-E23</f>
        <v>1009787.2358860215</v>
      </c>
      <c r="G24" s="71"/>
      <c r="P24" s="52" t="s">
        <v>53</v>
      </c>
      <c r="AF24" s="52" t="s">
        <v>54</v>
      </c>
      <c r="AG24" s="52" t="s">
        <v>53</v>
      </c>
    </row>
    <row r="25" spans="1:34">
      <c r="A25" s="155">
        <v>19</v>
      </c>
      <c r="B25" s="52" t="s">
        <v>244</v>
      </c>
      <c r="C25" s="59">
        <f>IF(C24&lt;0,0,C24*0.15)</f>
        <v>105087.79722598646</v>
      </c>
      <c r="D25" s="59">
        <f>IF(D24&lt;0,0,D24*0.15)</f>
        <v>46380.288156916758</v>
      </c>
      <c r="E25" s="59">
        <f>IF(E24&lt;0,0,E24*0.15)</f>
        <v>151468.08538290323</v>
      </c>
      <c r="F25" s="67"/>
      <c r="G25" s="67"/>
      <c r="H25" s="67"/>
      <c r="P25" s="52" t="s">
        <v>55</v>
      </c>
      <c r="AF25" s="52" t="s">
        <v>56</v>
      </c>
      <c r="AG25" s="52" t="s">
        <v>55</v>
      </c>
    </row>
    <row r="26" spans="1:34">
      <c r="A26" s="155">
        <v>20</v>
      </c>
      <c r="B26" s="52" t="s">
        <v>57</v>
      </c>
      <c r="C26" s="59">
        <f t="shared" ref="C26:D26" si="17">C24-C25</f>
        <v>595497.51761392329</v>
      </c>
      <c r="D26" s="59">
        <f t="shared" si="17"/>
        <v>262821.632889195</v>
      </c>
      <c r="E26" s="54">
        <f>E24-E25</f>
        <v>858319.15050311829</v>
      </c>
      <c r="F26" s="179"/>
      <c r="G26" s="67"/>
      <c r="H26" s="67"/>
      <c r="P26" s="52" t="s">
        <v>57</v>
      </c>
      <c r="AF26" s="52" t="s">
        <v>58</v>
      </c>
      <c r="AG26" s="52" t="s">
        <v>57</v>
      </c>
    </row>
    <row r="27" spans="1:34">
      <c r="A27" s="155">
        <v>21</v>
      </c>
      <c r="B27" s="52" t="s">
        <v>61</v>
      </c>
      <c r="C27" s="61">
        <f t="shared" ref="C27:E27" si="18">C26/C7</f>
        <v>5.7259376693646467E-2</v>
      </c>
      <c r="D27" s="61">
        <f t="shared" ref="D27" si="19">D26/D7</f>
        <v>7.8220724074165179E-2</v>
      </c>
      <c r="E27" s="61">
        <f t="shared" si="18"/>
        <v>6.2377845240052202E-2</v>
      </c>
      <c r="F27" s="177"/>
      <c r="G27" s="67"/>
      <c r="H27" s="67"/>
      <c r="P27" s="52" t="s">
        <v>61</v>
      </c>
      <c r="AF27" s="52" t="s">
        <v>60</v>
      </c>
      <c r="AG27" s="52" t="s">
        <v>61</v>
      </c>
    </row>
    <row r="28" spans="1:34">
      <c r="F28" s="67"/>
      <c r="G28" s="67"/>
      <c r="H28" s="67"/>
      <c r="P28" s="52"/>
    </row>
    <row r="29" spans="1:34">
      <c r="A29" s="48" t="s">
        <v>62</v>
      </c>
      <c r="E29" s="49" t="s">
        <v>150</v>
      </c>
      <c r="F29" s="67"/>
      <c r="G29" s="67"/>
      <c r="H29" s="67"/>
      <c r="P29" s="52"/>
      <c r="AF29" s="48" t="s">
        <v>62</v>
      </c>
    </row>
    <row r="30" spans="1:34">
      <c r="A30" s="52" t="s">
        <v>67</v>
      </c>
      <c r="B30" s="55" t="s">
        <v>68</v>
      </c>
      <c r="C30" s="59"/>
      <c r="D30" s="59"/>
      <c r="E30" s="59"/>
      <c r="F30" s="67"/>
      <c r="G30" s="67"/>
      <c r="H30" s="67"/>
      <c r="J30" s="67"/>
      <c r="P30" s="55" t="s">
        <v>68</v>
      </c>
      <c r="AF30" s="52" t="s">
        <v>69</v>
      </c>
      <c r="AG30" s="55" t="s">
        <v>68</v>
      </c>
    </row>
    <row r="31" spans="1:34">
      <c r="A31" s="155">
        <v>1</v>
      </c>
      <c r="B31" s="57" t="s">
        <v>70</v>
      </c>
      <c r="C31" s="63">
        <f>销量!C8</f>
        <v>1300</v>
      </c>
      <c r="D31" s="63">
        <f>销量!D8</f>
        <v>420</v>
      </c>
      <c r="E31" s="59"/>
      <c r="F31" s="67"/>
      <c r="G31" s="67"/>
      <c r="H31" s="67"/>
      <c r="J31" s="67"/>
      <c r="P31" s="52" t="s">
        <v>70</v>
      </c>
      <c r="AF31" s="52" t="s">
        <v>20</v>
      </c>
      <c r="AG31" s="52" t="s">
        <v>70</v>
      </c>
    </row>
    <row r="32" spans="1:34">
      <c r="A32" s="155">
        <v>2</v>
      </c>
      <c r="B32" s="52" t="s">
        <v>151</v>
      </c>
      <c r="C32" s="54">
        <f>C9/C6</f>
        <v>1198.08</v>
      </c>
      <c r="D32" s="54">
        <f t="shared" ref="D32" si="20">D9/D6</f>
        <v>387.072</v>
      </c>
      <c r="E32" s="59"/>
      <c r="F32" s="67"/>
      <c r="G32" s="67"/>
      <c r="H32" s="67"/>
      <c r="I32" s="67"/>
      <c r="J32" s="67"/>
      <c r="K32" s="67"/>
      <c r="L32" s="67"/>
      <c r="AF32" s="52"/>
      <c r="AG32" s="52"/>
    </row>
    <row r="33" spans="1:33">
      <c r="A33" s="155">
        <v>3</v>
      </c>
      <c r="B33" s="57" t="s">
        <v>71</v>
      </c>
      <c r="C33" s="54">
        <f>材料成本!G19</f>
        <v>903.76371064501132</v>
      </c>
      <c r="D33" s="54">
        <f>材料成本!G20</f>
        <v>276.58263486923602</v>
      </c>
      <c r="E33" s="59"/>
      <c r="G33" s="67"/>
      <c r="H33" s="67"/>
      <c r="I33" s="67"/>
      <c r="J33" s="67"/>
      <c r="K33" s="67"/>
      <c r="L33" s="67"/>
      <c r="P33" s="52" t="s">
        <v>71</v>
      </c>
      <c r="AF33" s="52" t="s">
        <v>22</v>
      </c>
      <c r="AG33" s="52" t="s">
        <v>71</v>
      </c>
    </row>
    <row r="34" spans="1:33" ht="17.25" customHeight="1">
      <c r="A34" s="155">
        <v>4</v>
      </c>
      <c r="B34" s="52" t="s">
        <v>73</v>
      </c>
      <c r="C34" s="64">
        <f>C32-C33</f>
        <v>294.31628935498861</v>
      </c>
      <c r="D34" s="64">
        <f t="shared" ref="D34" si="21">D32-D33</f>
        <v>110.48936513076399</v>
      </c>
      <c r="E34" s="59"/>
      <c r="G34" s="67"/>
      <c r="H34" s="67"/>
      <c r="I34" s="67"/>
      <c r="J34" s="67"/>
      <c r="K34" s="67"/>
      <c r="L34" s="67"/>
      <c r="P34" s="52" t="s">
        <v>73</v>
      </c>
      <c r="AF34" s="52" t="s">
        <v>72</v>
      </c>
      <c r="AG34" s="52" t="s">
        <v>73</v>
      </c>
    </row>
    <row r="35" spans="1:33">
      <c r="A35" s="52" t="s">
        <v>69</v>
      </c>
      <c r="B35" s="55" t="s">
        <v>8</v>
      </c>
      <c r="C35" s="59"/>
      <c r="D35" s="59"/>
      <c r="E35" s="59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55" t="s">
        <v>8</v>
      </c>
      <c r="AF35" s="52" t="s">
        <v>75</v>
      </c>
      <c r="AG35" s="55" t="s">
        <v>8</v>
      </c>
    </row>
    <row r="36" spans="1:33">
      <c r="A36" s="155">
        <v>1</v>
      </c>
      <c r="B36" s="52" t="s">
        <v>76</v>
      </c>
      <c r="C36" s="58">
        <f>'2023年'!C36</f>
        <v>36.4</v>
      </c>
      <c r="D36" s="58">
        <f>'2023年'!D36</f>
        <v>11.76</v>
      </c>
      <c r="E36" s="63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52" t="s">
        <v>76</v>
      </c>
      <c r="AF36" s="52" t="s">
        <v>72</v>
      </c>
      <c r="AG36" s="52" t="s">
        <v>76</v>
      </c>
    </row>
    <row r="37" spans="1:33">
      <c r="A37" s="155">
        <v>2</v>
      </c>
      <c r="B37" s="52" t="s">
        <v>77</v>
      </c>
      <c r="C37" s="58">
        <f>'2023年'!C37</f>
        <v>14.299999999999999</v>
      </c>
      <c r="D37" s="58">
        <f>'2023年'!D37</f>
        <v>4.62</v>
      </c>
      <c r="E37" s="63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52" t="s">
        <v>77</v>
      </c>
      <c r="AF37" s="52" t="s">
        <v>25</v>
      </c>
      <c r="AG37" s="52" t="s">
        <v>77</v>
      </c>
    </row>
    <row r="38" spans="1:33">
      <c r="A38" s="155">
        <v>3</v>
      </c>
      <c r="B38" s="52" t="s">
        <v>78</v>
      </c>
      <c r="C38" s="58">
        <f>'2023年'!C38</f>
        <v>51.999999999999993</v>
      </c>
      <c r="D38" s="58">
        <f>'2023年'!D38</f>
        <v>16.799999999999997</v>
      </c>
      <c r="E38" s="63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52" t="s">
        <v>78</v>
      </c>
      <c r="AF38" s="52" t="s">
        <v>31</v>
      </c>
      <c r="AG38" s="52" t="s">
        <v>78</v>
      </c>
    </row>
    <row r="39" spans="1:33">
      <c r="A39" s="52" t="s">
        <v>75</v>
      </c>
      <c r="B39" s="55" t="s">
        <v>80</v>
      </c>
      <c r="C39" s="59"/>
      <c r="D39" s="59"/>
      <c r="E39" s="59"/>
      <c r="P39" s="55" t="s">
        <v>80</v>
      </c>
      <c r="AF39" s="52" t="s">
        <v>79</v>
      </c>
      <c r="AG39" s="55" t="s">
        <v>80</v>
      </c>
    </row>
    <row r="40" spans="1:33">
      <c r="A40" s="155">
        <v>1</v>
      </c>
      <c r="B40" s="52" t="s">
        <v>82</v>
      </c>
      <c r="C40" s="59">
        <f>C34-C36-C37-C38</f>
        <v>191.61628935498862</v>
      </c>
      <c r="D40" s="59">
        <f t="shared" ref="D40" si="22">D34-D36-D37-D38</f>
        <v>77.309365130763979</v>
      </c>
      <c r="E40" s="59"/>
      <c r="P40" s="52" t="s">
        <v>82</v>
      </c>
      <c r="AF40" s="52" t="s">
        <v>20</v>
      </c>
      <c r="AG40" s="52" t="s">
        <v>82</v>
      </c>
    </row>
    <row r="41" spans="1:33">
      <c r="A41" s="155">
        <v>2</v>
      </c>
      <c r="B41" s="52" t="s">
        <v>83</v>
      </c>
      <c r="C41" s="59"/>
      <c r="D41" s="59"/>
      <c r="E41" s="59"/>
      <c r="P41" s="52" t="s">
        <v>83</v>
      </c>
      <c r="AF41" s="52" t="s">
        <v>22</v>
      </c>
      <c r="AG41" s="52" t="s">
        <v>83</v>
      </c>
    </row>
    <row r="42" spans="1:33">
      <c r="A42" s="52" t="s">
        <v>79</v>
      </c>
      <c r="B42" s="55" t="s">
        <v>85</v>
      </c>
      <c r="C42" s="59"/>
      <c r="D42" s="59"/>
      <c r="E42" s="59"/>
      <c r="P42" s="55" t="s">
        <v>85</v>
      </c>
      <c r="AF42" s="52" t="s">
        <v>84</v>
      </c>
      <c r="AG42" s="55" t="s">
        <v>85</v>
      </c>
    </row>
    <row r="43" spans="1:33">
      <c r="A43" s="155">
        <v>1</v>
      </c>
      <c r="B43" s="60" t="s">
        <v>86</v>
      </c>
      <c r="C43" s="58">
        <f>'2023年'!C43</f>
        <v>39</v>
      </c>
      <c r="D43" s="58">
        <f>'2023年'!D43</f>
        <v>12.6</v>
      </c>
      <c r="E43" s="59"/>
      <c r="P43" s="52" t="s">
        <v>86</v>
      </c>
      <c r="AF43" s="52" t="s">
        <v>20</v>
      </c>
      <c r="AG43" s="52" t="s">
        <v>86</v>
      </c>
    </row>
    <row r="44" spans="1:33">
      <c r="A44" s="155">
        <v>2</v>
      </c>
      <c r="B44" s="60" t="s">
        <v>87</v>
      </c>
      <c r="C44" s="58">
        <f>'2023年'!C44</f>
        <v>9.1</v>
      </c>
      <c r="D44" s="58">
        <f>'2023年'!D44</f>
        <v>2.94</v>
      </c>
      <c r="E44" s="59"/>
      <c r="P44" s="52" t="s">
        <v>87</v>
      </c>
      <c r="AF44" s="52" t="s">
        <v>22</v>
      </c>
      <c r="AG44" s="52" t="s">
        <v>87</v>
      </c>
    </row>
    <row r="45" spans="1:33">
      <c r="A45" s="155">
        <v>3</v>
      </c>
      <c r="B45" s="60" t="s">
        <v>88</v>
      </c>
      <c r="C45" s="58">
        <f>'2023年'!C45</f>
        <v>20.8</v>
      </c>
      <c r="D45" s="58">
        <f>'2023年'!D45</f>
        <v>6.72</v>
      </c>
      <c r="E45" s="59"/>
      <c r="P45" s="52" t="s">
        <v>88</v>
      </c>
      <c r="AF45" s="52" t="s">
        <v>72</v>
      </c>
      <c r="AG45" s="52" t="s">
        <v>88</v>
      </c>
    </row>
    <row r="46" spans="1:33" s="47" customFormat="1">
      <c r="A46" s="155">
        <v>4</v>
      </c>
      <c r="B46" s="60" t="s">
        <v>89</v>
      </c>
      <c r="C46" s="65">
        <f>C21/C6</f>
        <v>5.375</v>
      </c>
      <c r="D46" s="65">
        <f t="shared" ref="D46" si="23">D21/D6</f>
        <v>5.375</v>
      </c>
      <c r="E46" s="65"/>
      <c r="P46" s="60" t="s">
        <v>91</v>
      </c>
      <c r="AF46" s="60" t="s">
        <v>28</v>
      </c>
      <c r="AG46" s="60" t="s">
        <v>91</v>
      </c>
    </row>
    <row r="47" spans="1:33" s="47" customFormat="1">
      <c r="A47" s="155">
        <v>5</v>
      </c>
      <c r="B47" s="60" t="s">
        <v>91</v>
      </c>
      <c r="C47" s="65">
        <f>'2023年'!C47</f>
        <v>27.689999999999998</v>
      </c>
      <c r="D47" s="65">
        <f>'2023年'!D47</f>
        <v>8.9459999999999997</v>
      </c>
      <c r="E47" s="65"/>
      <c r="P47" s="60" t="s">
        <v>91</v>
      </c>
      <c r="AF47" s="60" t="s">
        <v>28</v>
      </c>
      <c r="AG47" s="60" t="s">
        <v>91</v>
      </c>
    </row>
    <row r="48" spans="1:33">
      <c r="A48" s="52" t="s">
        <v>84</v>
      </c>
      <c r="B48" s="55" t="s">
        <v>102</v>
      </c>
      <c r="C48" s="59">
        <f>C40-C43-C44-C45-C47-C46</f>
        <v>89.651289354988634</v>
      </c>
      <c r="D48" s="59">
        <f t="shared" ref="D48" si="24">D40-D43-D44-D45-D47-D46</f>
        <v>40.72836513076399</v>
      </c>
      <c r="E48" s="59"/>
      <c r="P48" s="55" t="s">
        <v>102</v>
      </c>
      <c r="AF48" s="52" t="s">
        <v>101</v>
      </c>
      <c r="AG48" s="55" t="s">
        <v>102</v>
      </c>
    </row>
    <row r="51" spans="2:10">
      <c r="C51" s="66"/>
      <c r="D51" s="66"/>
    </row>
    <row r="54" spans="2:10">
      <c r="B54" s="67"/>
      <c r="C54" s="68"/>
      <c r="D54" s="68"/>
      <c r="E54" s="68"/>
      <c r="F54" s="67"/>
      <c r="G54" s="67"/>
      <c r="H54" s="67"/>
      <c r="I54" s="67"/>
      <c r="J54" s="67"/>
    </row>
    <row r="55" spans="2:10">
      <c r="B55" s="67"/>
      <c r="C55" s="68"/>
      <c r="D55" s="68"/>
      <c r="E55" s="68"/>
      <c r="F55" s="67"/>
      <c r="G55" s="67"/>
      <c r="H55" s="67"/>
      <c r="I55" s="67"/>
      <c r="J55" s="67"/>
    </row>
    <row r="56" spans="2:10">
      <c r="B56" s="67"/>
      <c r="C56" s="68"/>
      <c r="D56" s="68"/>
      <c r="E56" s="68"/>
      <c r="F56" s="67"/>
      <c r="G56" s="67"/>
      <c r="H56" s="67"/>
      <c r="I56" s="67"/>
      <c r="J56" s="67"/>
    </row>
    <row r="57" spans="2:10">
      <c r="B57" s="67"/>
      <c r="C57" s="68"/>
      <c r="D57" s="68"/>
      <c r="E57" s="68"/>
      <c r="F57" s="67"/>
      <c r="G57" s="67"/>
      <c r="H57" s="67"/>
      <c r="I57" s="67"/>
      <c r="J57" s="67"/>
    </row>
    <row r="58" spans="2:10">
      <c r="B58" s="67"/>
      <c r="C58" s="68"/>
      <c r="D58" s="68"/>
      <c r="E58" s="68"/>
      <c r="F58" s="67"/>
      <c r="G58" s="67"/>
      <c r="H58" s="67"/>
      <c r="I58" s="67"/>
      <c r="J58" s="67"/>
    </row>
    <row r="59" spans="2:10">
      <c r="B59" s="67"/>
      <c r="C59" s="68"/>
      <c r="D59" s="68"/>
      <c r="E59" s="68"/>
      <c r="F59" s="67"/>
      <c r="G59" s="67"/>
      <c r="H59" s="67"/>
      <c r="I59" s="67"/>
      <c r="J59" s="67"/>
    </row>
    <row r="60" spans="2:10">
      <c r="B60" s="67"/>
      <c r="C60" s="68"/>
      <c r="D60" s="68"/>
      <c r="E60" s="68"/>
      <c r="F60" s="67"/>
      <c r="G60" s="67"/>
      <c r="H60" s="67"/>
      <c r="I60" s="67"/>
      <c r="J60" s="67"/>
    </row>
    <row r="61" spans="2:10">
      <c r="B61" s="67"/>
      <c r="C61" s="68"/>
      <c r="D61" s="68"/>
      <c r="E61" s="68"/>
      <c r="F61" s="67"/>
      <c r="G61" s="67"/>
      <c r="H61" s="67"/>
      <c r="I61" s="67"/>
      <c r="J61" s="67"/>
    </row>
    <row r="62" spans="2:10">
      <c r="B62" s="67"/>
      <c r="C62" s="68"/>
      <c r="D62" s="68"/>
      <c r="E62" s="68"/>
      <c r="F62" s="67"/>
      <c r="G62" s="67"/>
      <c r="H62" s="67"/>
      <c r="I62" s="67"/>
      <c r="J62" s="67"/>
    </row>
    <row r="63" spans="2:10">
      <c r="B63" s="67"/>
      <c r="C63" s="68"/>
      <c r="D63" s="68"/>
      <c r="E63" s="68"/>
      <c r="F63" s="67"/>
      <c r="G63" s="67"/>
      <c r="H63" s="67"/>
      <c r="I63" s="67"/>
      <c r="J63" s="67"/>
    </row>
    <row r="64" spans="2:10">
      <c r="B64" s="67"/>
      <c r="C64" s="68"/>
      <c r="D64" s="68"/>
      <c r="E64" s="68"/>
      <c r="F64" s="67"/>
      <c r="G64" s="67"/>
      <c r="H64" s="67"/>
      <c r="I64" s="67"/>
      <c r="J64" s="67"/>
    </row>
    <row r="65" spans="2:10">
      <c r="B65" s="67"/>
      <c r="C65" s="68"/>
      <c r="D65" s="68"/>
      <c r="E65" s="68"/>
      <c r="F65" s="67"/>
      <c r="G65" s="67"/>
      <c r="H65" s="67"/>
      <c r="I65" s="67"/>
      <c r="J65" s="67"/>
    </row>
    <row r="66" spans="2:10">
      <c r="B66" s="67"/>
      <c r="C66" s="68"/>
      <c r="D66" s="68"/>
      <c r="E66" s="68"/>
      <c r="F66" s="67"/>
      <c r="G66" s="67"/>
      <c r="H66" s="67"/>
      <c r="I66" s="67"/>
      <c r="J66" s="67"/>
    </row>
    <row r="67" spans="2:10">
      <c r="B67" s="67"/>
      <c r="C67" s="68"/>
      <c r="D67" s="68"/>
      <c r="E67" s="68"/>
      <c r="F67" s="67"/>
    </row>
    <row r="68" spans="2:10">
      <c r="B68" s="67"/>
      <c r="C68" s="68"/>
      <c r="D68" s="68"/>
      <c r="E68" s="68"/>
      <c r="F68" s="67"/>
    </row>
    <row r="69" spans="2:10">
      <c r="B69" s="67"/>
      <c r="C69" s="68"/>
      <c r="D69" s="68"/>
      <c r="E69" s="68"/>
      <c r="F69" s="67"/>
    </row>
    <row r="70" spans="2:10">
      <c r="B70" s="67"/>
      <c r="C70" s="68"/>
      <c r="D70" s="68"/>
      <c r="E70" s="68"/>
      <c r="F70" s="67"/>
    </row>
    <row r="71" spans="2:10">
      <c r="B71" s="67"/>
      <c r="C71" s="68"/>
      <c r="D71" s="68"/>
      <c r="E71" s="68"/>
      <c r="F71" s="67"/>
    </row>
    <row r="72" spans="2:10">
      <c r="B72" s="67"/>
      <c r="C72" s="68"/>
      <c r="D72" s="68"/>
      <c r="E72" s="68"/>
      <c r="F72" s="67"/>
    </row>
    <row r="73" spans="2:10">
      <c r="B73" s="67"/>
      <c r="C73" s="68"/>
      <c r="D73" s="68"/>
      <c r="E73" s="68"/>
      <c r="F73" s="67"/>
    </row>
    <row r="74" spans="2:10">
      <c r="B74" s="67"/>
      <c r="C74" s="68"/>
      <c r="D74" s="68"/>
      <c r="E74" s="68"/>
      <c r="F74" s="67"/>
    </row>
  </sheetData>
  <mergeCells count="8">
    <mergeCell ref="A1:B1"/>
    <mergeCell ref="C1:E1"/>
    <mergeCell ref="A2:B2"/>
    <mergeCell ref="C2:E2"/>
    <mergeCell ref="A3:B3"/>
    <mergeCell ref="E3:E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4"/>
  <sheetViews>
    <sheetView workbookViewId="0">
      <pane xSplit="2" ySplit="7" topLeftCell="C8" activePane="bottomRight" state="frozen"/>
      <selection pane="topRight"/>
      <selection pane="bottomLeft"/>
      <selection pane="bottomRight" activeCell="D8" sqref="D8"/>
    </sheetView>
  </sheetViews>
  <sheetFormatPr defaultColWidth="9" defaultRowHeight="16.5"/>
  <cols>
    <col min="1" max="1" width="5.125" style="48" customWidth="1"/>
    <col min="2" max="2" width="17.5" style="48" customWidth="1"/>
    <col min="3" max="3" width="13.25" style="49" customWidth="1"/>
    <col min="4" max="4" width="14" style="49" bestFit="1" customWidth="1"/>
    <col min="5" max="5" width="18.75" style="49" customWidth="1"/>
    <col min="6" max="6" width="12.375" style="48" customWidth="1"/>
    <col min="7" max="7" width="10.125" style="48" customWidth="1"/>
    <col min="8" max="13" width="9" style="48" customWidth="1"/>
    <col min="14" max="26" width="9" style="48"/>
    <col min="27" max="27" width="4.375" style="48" customWidth="1"/>
    <col min="28" max="28" width="13.875" style="48" customWidth="1"/>
    <col min="29" max="16384" width="9" style="48"/>
  </cols>
  <sheetData>
    <row r="1" spans="1:29">
      <c r="A1" s="225" t="s">
        <v>142</v>
      </c>
      <c r="B1" s="225"/>
      <c r="C1" s="229" t="s">
        <v>236</v>
      </c>
      <c r="D1" s="230"/>
      <c r="E1" s="231"/>
    </row>
    <row r="2" spans="1:29">
      <c r="A2" s="225" t="s">
        <v>143</v>
      </c>
      <c r="B2" s="225"/>
      <c r="C2" s="233" t="str">
        <f>'2023年'!C2:E2</f>
        <v>陕汽</v>
      </c>
      <c r="D2" s="234"/>
      <c r="E2" s="235"/>
    </row>
    <row r="3" spans="1:29">
      <c r="A3" s="225" t="s">
        <v>144</v>
      </c>
      <c r="B3" s="225"/>
      <c r="C3" s="156" t="str">
        <f>销量!C5</f>
        <v>正司机座椅总成</v>
      </c>
      <c r="D3" s="156" t="str">
        <f>销量!D5</f>
        <v>副司机座椅总成</v>
      </c>
      <c r="E3" s="226" t="s">
        <v>16</v>
      </c>
    </row>
    <row r="4" spans="1:29" ht="16.5" customHeight="1">
      <c r="A4" s="225" t="s">
        <v>145</v>
      </c>
      <c r="B4" s="225"/>
      <c r="C4" s="156" t="str">
        <f>销量!C6</f>
        <v>KZ14221510012</v>
      </c>
      <c r="D4" s="156" t="str">
        <f>销量!D6</f>
        <v>KZ14221510013</v>
      </c>
      <c r="E4" s="227"/>
    </row>
    <row r="5" spans="1:29">
      <c r="A5" s="225" t="s">
        <v>146</v>
      </c>
      <c r="B5" s="225"/>
      <c r="C5" s="51"/>
      <c r="D5" s="51"/>
      <c r="E5" s="228"/>
      <c r="AC5" s="48" t="s">
        <v>17</v>
      </c>
    </row>
    <row r="6" spans="1:29" ht="17.25">
      <c r="A6" s="52" t="s">
        <v>14</v>
      </c>
      <c r="B6" s="53" t="s">
        <v>147</v>
      </c>
      <c r="C6" s="22">
        <f>销量!C12</f>
        <v>6000</v>
      </c>
      <c r="D6" s="22">
        <f>销量!D12</f>
        <v>6000</v>
      </c>
      <c r="E6" s="54">
        <f t="shared" ref="E6:E15" si="0">SUM(C6:D6)</f>
        <v>12000</v>
      </c>
      <c r="AA6" s="52" t="s">
        <v>14</v>
      </c>
      <c r="AB6" s="53" t="s">
        <v>3</v>
      </c>
      <c r="AC6" s="48" t="s">
        <v>18</v>
      </c>
    </row>
    <row r="7" spans="1:29">
      <c r="A7" s="155">
        <v>1</v>
      </c>
      <c r="B7" s="53" t="s">
        <v>19</v>
      </c>
      <c r="C7" s="54">
        <f>C6*销量!C8</f>
        <v>7800000</v>
      </c>
      <c r="D7" s="54">
        <f>D6*销量!D8</f>
        <v>2520000</v>
      </c>
      <c r="E7" s="54">
        <f t="shared" si="0"/>
        <v>10320000</v>
      </c>
      <c r="F7" s="49"/>
      <c r="AA7" s="52" t="s">
        <v>20</v>
      </c>
      <c r="AB7" s="53" t="s">
        <v>19</v>
      </c>
      <c r="AC7" s="48" t="s">
        <v>18</v>
      </c>
    </row>
    <row r="8" spans="1:29">
      <c r="A8" s="155">
        <v>2</v>
      </c>
      <c r="B8" s="155" t="s">
        <v>21</v>
      </c>
      <c r="C8" s="54">
        <f>C7*(1-销量!$L$9)</f>
        <v>899059.20000000112</v>
      </c>
      <c r="D8" s="54">
        <f>D7*(1-销量!$L$9)</f>
        <v>290465.28000000038</v>
      </c>
      <c r="E8" s="54">
        <f t="shared" si="0"/>
        <v>1189524.4800000014</v>
      </c>
      <c r="F8" s="69"/>
      <c r="AA8" s="52" t="s">
        <v>22</v>
      </c>
      <c r="AB8" s="155" t="s">
        <v>23</v>
      </c>
      <c r="AC8" s="48" t="s">
        <v>18</v>
      </c>
    </row>
    <row r="9" spans="1:29">
      <c r="A9" s="155">
        <v>3</v>
      </c>
      <c r="B9" s="53" t="s">
        <v>24</v>
      </c>
      <c r="C9" s="54">
        <f>+C7-C8</f>
        <v>6900940.7999999989</v>
      </c>
      <c r="D9" s="54">
        <f t="shared" ref="D9" si="1">+D7-D8</f>
        <v>2229534.7199999997</v>
      </c>
      <c r="E9" s="54">
        <f t="shared" si="0"/>
        <v>9130475.5199999996</v>
      </c>
      <c r="AA9" s="52" t="s">
        <v>25</v>
      </c>
      <c r="AB9" s="53" t="s">
        <v>24</v>
      </c>
      <c r="AC9" s="48" t="s">
        <v>26</v>
      </c>
    </row>
    <row r="10" spans="1:29">
      <c r="A10" s="155">
        <v>4</v>
      </c>
      <c r="B10" s="52" t="s">
        <v>27</v>
      </c>
      <c r="C10" s="54">
        <f>C6*材料成本!H19</f>
        <v>5205678.973315265</v>
      </c>
      <c r="D10" s="54">
        <f>D6*材料成本!H20</f>
        <v>1593115.9768467995</v>
      </c>
      <c r="E10" s="54">
        <f t="shared" si="0"/>
        <v>6798794.9501620643</v>
      </c>
      <c r="AA10" s="52" t="s">
        <v>28</v>
      </c>
      <c r="AB10" s="52" t="s">
        <v>27</v>
      </c>
      <c r="AC10" s="48" t="s">
        <v>29</v>
      </c>
    </row>
    <row r="11" spans="1:29">
      <c r="A11" s="155">
        <v>5</v>
      </c>
      <c r="B11" s="52" t="s">
        <v>30</v>
      </c>
      <c r="C11" s="54">
        <f>+C6*C36</f>
        <v>218400</v>
      </c>
      <c r="D11" s="54">
        <f t="shared" ref="D11" si="2">+D6*D36</f>
        <v>70560</v>
      </c>
      <c r="E11" s="54">
        <f t="shared" si="0"/>
        <v>288960</v>
      </c>
      <c r="AA11" s="52" t="s">
        <v>31</v>
      </c>
      <c r="AB11" s="52" t="s">
        <v>30</v>
      </c>
    </row>
    <row r="12" spans="1:29">
      <c r="A12" s="155">
        <v>6</v>
      </c>
      <c r="B12" s="52" t="s">
        <v>32</v>
      </c>
      <c r="C12" s="54">
        <f>+C6*C37</f>
        <v>85800</v>
      </c>
      <c r="D12" s="54">
        <f t="shared" ref="D12" si="3">+D6*D37</f>
        <v>27720</v>
      </c>
      <c r="E12" s="54">
        <f t="shared" si="0"/>
        <v>113520</v>
      </c>
      <c r="AA12" s="52" t="s">
        <v>33</v>
      </c>
      <c r="AB12" s="52" t="s">
        <v>32</v>
      </c>
    </row>
    <row r="13" spans="1:29">
      <c r="A13" s="155">
        <v>7</v>
      </c>
      <c r="B13" s="52" t="s">
        <v>34</v>
      </c>
      <c r="C13" s="54">
        <f>+C6*C38</f>
        <v>311999.99999999994</v>
      </c>
      <c r="D13" s="54">
        <f t="shared" ref="D13" si="4">+D6*D38</f>
        <v>100799.99999999999</v>
      </c>
      <c r="E13" s="54">
        <f t="shared" si="0"/>
        <v>412799.99999999994</v>
      </c>
      <c r="AA13" s="52" t="s">
        <v>35</v>
      </c>
      <c r="AB13" s="52" t="s">
        <v>34</v>
      </c>
      <c r="AC13" s="48" t="s">
        <v>18</v>
      </c>
    </row>
    <row r="14" spans="1:29">
      <c r="A14" s="155">
        <v>8</v>
      </c>
      <c r="B14" s="55" t="s">
        <v>36</v>
      </c>
      <c r="C14" s="54">
        <f>SUM(C11:C13)</f>
        <v>616200</v>
      </c>
      <c r="D14" s="54">
        <f t="shared" ref="D14" si="5">SUM(D11:D13)</f>
        <v>199080</v>
      </c>
      <c r="E14" s="54">
        <f t="shared" si="0"/>
        <v>815280</v>
      </c>
      <c r="AA14" s="52" t="s">
        <v>37</v>
      </c>
      <c r="AB14" s="55" t="s">
        <v>36</v>
      </c>
    </row>
    <row r="15" spans="1:29">
      <c r="A15" s="155">
        <v>9</v>
      </c>
      <c r="B15" s="55" t="s">
        <v>38</v>
      </c>
      <c r="C15" s="54">
        <f>+C9-C10-C14</f>
        <v>1079061.8266847339</v>
      </c>
      <c r="D15" s="54">
        <f t="shared" ref="D15" si="6">+D9-D10-D14</f>
        <v>437338.74315320025</v>
      </c>
      <c r="E15" s="54">
        <f t="shared" si="0"/>
        <v>1516400.5698379341</v>
      </c>
      <c r="AA15" s="52" t="s">
        <v>39</v>
      </c>
      <c r="AB15" s="55" t="s">
        <v>38</v>
      </c>
    </row>
    <row r="16" spans="1:29">
      <c r="A16" s="155">
        <v>10</v>
      </c>
      <c r="B16" s="52" t="s">
        <v>40</v>
      </c>
      <c r="C16" s="56">
        <f>+C15/C9</f>
        <v>0.1563644520301832</v>
      </c>
      <c r="D16" s="56">
        <f t="shared" ref="D16" si="7">+D15/D9</f>
        <v>0.19615695563296737</v>
      </c>
      <c r="E16" s="56">
        <f t="shared" ref="E16" si="8">+E15/E9</f>
        <v>0.16608122616574675</v>
      </c>
      <c r="AA16" s="52" t="s">
        <v>41</v>
      </c>
      <c r="AB16" s="52" t="s">
        <v>40</v>
      </c>
    </row>
    <row r="17" spans="1:29">
      <c r="A17" s="155">
        <v>11</v>
      </c>
      <c r="B17" s="52" t="s">
        <v>42</v>
      </c>
      <c r="C17" s="54">
        <f>C6*C43+C18</f>
        <v>250625</v>
      </c>
      <c r="D17" s="54">
        <f t="shared" ref="D17" si="9">D6*D43+D18</f>
        <v>92225</v>
      </c>
      <c r="E17" s="54">
        <f>SUM(C17:D17)</f>
        <v>342850</v>
      </c>
      <c r="F17" s="69"/>
      <c r="AA17" s="52" t="s">
        <v>43</v>
      </c>
      <c r="AB17" s="52" t="s">
        <v>42</v>
      </c>
    </row>
    <row r="18" spans="1:29" s="46" customFormat="1">
      <c r="A18" s="155">
        <v>12</v>
      </c>
      <c r="B18" s="57" t="s">
        <v>148</v>
      </c>
      <c r="C18" s="58">
        <f>$E$18/$E$6*C6</f>
        <v>16625</v>
      </c>
      <c r="D18" s="58">
        <f>$E$18/$E$6*D6</f>
        <v>16625</v>
      </c>
      <c r="E18" s="58">
        <f>项目投资!D26</f>
        <v>33250</v>
      </c>
      <c r="F18" s="70" t="s">
        <v>149</v>
      </c>
      <c r="G18" s="70"/>
      <c r="H18" s="70"/>
    </row>
    <row r="19" spans="1:29">
      <c r="A19" s="155">
        <v>13</v>
      </c>
      <c r="B19" s="52" t="s">
        <v>44</v>
      </c>
      <c r="C19" s="54">
        <f>C6*C44</f>
        <v>54600</v>
      </c>
      <c r="D19" s="54">
        <f t="shared" ref="D19" si="10">D6*D44</f>
        <v>17640</v>
      </c>
      <c r="E19" s="54">
        <f>SUM(C19:D19)</f>
        <v>72240</v>
      </c>
      <c r="F19" s="46"/>
      <c r="AA19" s="52" t="s">
        <v>45</v>
      </c>
      <c r="AB19" s="52" t="s">
        <v>44</v>
      </c>
      <c r="AC19" s="48" t="s">
        <v>18</v>
      </c>
    </row>
    <row r="20" spans="1:29">
      <c r="A20" s="155">
        <v>14</v>
      </c>
      <c r="B20" s="52" t="s">
        <v>46</v>
      </c>
      <c r="C20" s="54">
        <f>C6*C45</f>
        <v>124800</v>
      </c>
      <c r="D20" s="54">
        <f t="shared" ref="D20" si="11">D6*D45</f>
        <v>40320</v>
      </c>
      <c r="E20" s="54">
        <f>SUM(C20:D20)</f>
        <v>165120</v>
      </c>
      <c r="AA20" s="52" t="s">
        <v>47</v>
      </c>
      <c r="AB20" s="52" t="s">
        <v>46</v>
      </c>
    </row>
    <row r="21" spans="1:29">
      <c r="A21" s="155">
        <v>15</v>
      </c>
      <c r="B21" s="52" t="s">
        <v>48</v>
      </c>
      <c r="C21" s="59">
        <f>$E$21/$E$6*C6</f>
        <v>43000</v>
      </c>
      <c r="D21" s="59">
        <f>$E$21/$E$6*D6</f>
        <v>43000</v>
      </c>
      <c r="E21" s="54">
        <f>项目投资!D27</f>
        <v>86000</v>
      </c>
      <c r="AA21" s="52"/>
      <c r="AB21" s="52"/>
    </row>
    <row r="22" spans="1:29">
      <c r="A22" s="155">
        <v>16</v>
      </c>
      <c r="B22" s="52" t="s">
        <v>49</v>
      </c>
      <c r="C22" s="54">
        <f>C6*C47</f>
        <v>166140</v>
      </c>
      <c r="D22" s="54">
        <f t="shared" ref="D22" si="12">D6*D47</f>
        <v>53676</v>
      </c>
      <c r="E22" s="54">
        <f>SUM(C22:D22)</f>
        <v>219816</v>
      </c>
      <c r="AA22" s="52" t="s">
        <v>50</v>
      </c>
      <c r="AB22" s="52" t="s">
        <v>49</v>
      </c>
    </row>
    <row r="23" spans="1:29">
      <c r="A23" s="155">
        <v>17</v>
      </c>
      <c r="B23" s="55" t="s">
        <v>51</v>
      </c>
      <c r="C23" s="59">
        <f>+C22+C21+C20+C19+C17</f>
        <v>639165</v>
      </c>
      <c r="D23" s="59">
        <f t="shared" ref="D23" si="13">+D22+D21+D20+D19+D17</f>
        <v>246861</v>
      </c>
      <c r="E23" s="59">
        <f t="shared" ref="E23" si="14">+E22+E21+E20+E19+E17</f>
        <v>886026</v>
      </c>
      <c r="AA23" s="52" t="s">
        <v>52</v>
      </c>
      <c r="AB23" s="55" t="s">
        <v>51</v>
      </c>
    </row>
    <row r="24" spans="1:29">
      <c r="A24" s="155">
        <v>18</v>
      </c>
      <c r="B24" s="60" t="s">
        <v>53</v>
      </c>
      <c r="C24" s="59">
        <f>+C15-C23</f>
        <v>439896.82668473385</v>
      </c>
      <c r="D24" s="59">
        <f t="shared" ref="D24:E24" si="15">+D15-D23</f>
        <v>190477.74315320025</v>
      </c>
      <c r="E24" s="59">
        <f t="shared" si="15"/>
        <v>630374.5698379341</v>
      </c>
      <c r="G24" s="71"/>
      <c r="AA24" s="52" t="s">
        <v>54</v>
      </c>
      <c r="AB24" s="52" t="s">
        <v>53</v>
      </c>
    </row>
    <row r="25" spans="1:29">
      <c r="A25" s="155">
        <v>19</v>
      </c>
      <c r="B25" s="52" t="s">
        <v>244</v>
      </c>
      <c r="C25" s="59">
        <f>IF(C24&lt;0,0,C24*0.15)</f>
        <v>65984.524002710081</v>
      </c>
      <c r="D25" s="59">
        <f>IF(D24&lt;0,0,D24*0.15)</f>
        <v>28571.661472980039</v>
      </c>
      <c r="E25" s="59">
        <f>IF(E24&lt;0,0,E24*0.15)</f>
        <v>94556.185475690116</v>
      </c>
      <c r="F25" s="67"/>
      <c r="G25" s="67"/>
      <c r="H25" s="67"/>
      <c r="AA25" s="52" t="s">
        <v>56</v>
      </c>
      <c r="AB25" s="52" t="s">
        <v>55</v>
      </c>
    </row>
    <row r="26" spans="1:29">
      <c r="A26" s="155">
        <v>20</v>
      </c>
      <c r="B26" s="52" t="s">
        <v>57</v>
      </c>
      <c r="C26" s="59">
        <f t="shared" ref="C26:E26" si="16">C24-C25</f>
        <v>373912.30268202379</v>
      </c>
      <c r="D26" s="59">
        <f t="shared" si="16"/>
        <v>161906.0816802202</v>
      </c>
      <c r="E26" s="59">
        <f t="shared" si="16"/>
        <v>535818.38436224405</v>
      </c>
      <c r="F26" s="67"/>
      <c r="G26" s="67"/>
      <c r="H26" s="67"/>
      <c r="AA26" s="52" t="s">
        <v>58</v>
      </c>
      <c r="AB26" s="52" t="s">
        <v>57</v>
      </c>
    </row>
    <row r="27" spans="1:29">
      <c r="A27" s="155">
        <v>21</v>
      </c>
      <c r="B27" s="52" t="s">
        <v>61</v>
      </c>
      <c r="C27" s="61">
        <f t="shared" ref="C27:E27" si="17">C26/C7</f>
        <v>4.7937474702823564E-2</v>
      </c>
      <c r="D27" s="61">
        <f t="shared" ref="D27" si="18">D26/D7</f>
        <v>6.4248445111198496E-2</v>
      </c>
      <c r="E27" s="61">
        <f t="shared" si="17"/>
        <v>5.1920386081612792E-2</v>
      </c>
      <c r="F27" s="67"/>
      <c r="G27" s="67"/>
      <c r="H27" s="67"/>
      <c r="AA27" s="52" t="s">
        <v>60</v>
      </c>
      <c r="AB27" s="52" t="s">
        <v>61</v>
      </c>
    </row>
    <row r="28" spans="1:29">
      <c r="F28" s="67"/>
      <c r="G28" s="67"/>
      <c r="H28" s="67"/>
    </row>
    <row r="29" spans="1:29">
      <c r="A29" s="48" t="s">
        <v>62</v>
      </c>
      <c r="E29" s="49" t="s">
        <v>150</v>
      </c>
      <c r="F29" s="67"/>
      <c r="G29" s="67"/>
      <c r="H29" s="67"/>
      <c r="AA29" s="48" t="s">
        <v>62</v>
      </c>
    </row>
    <row r="30" spans="1:29">
      <c r="A30" s="52" t="s">
        <v>67</v>
      </c>
      <c r="B30" s="55" t="s">
        <v>68</v>
      </c>
      <c r="C30" s="59"/>
      <c r="D30" s="59"/>
      <c r="E30" s="59"/>
      <c r="F30" s="67"/>
      <c r="G30" s="67"/>
      <c r="H30" s="67"/>
      <c r="J30" s="67"/>
      <c r="AA30" s="52" t="s">
        <v>69</v>
      </c>
      <c r="AB30" s="55" t="s">
        <v>68</v>
      </c>
    </row>
    <row r="31" spans="1:29">
      <c r="A31" s="155">
        <v>1</v>
      </c>
      <c r="B31" s="57" t="s">
        <v>70</v>
      </c>
      <c r="C31" s="63">
        <f>销量!C8</f>
        <v>1300</v>
      </c>
      <c r="D31" s="63">
        <f>销量!D8</f>
        <v>420</v>
      </c>
      <c r="E31" s="59"/>
      <c r="F31" s="67"/>
      <c r="G31" s="67"/>
      <c r="H31" s="67"/>
      <c r="J31" s="67"/>
      <c r="AA31" s="52" t="s">
        <v>20</v>
      </c>
      <c r="AB31" s="52" t="s">
        <v>70</v>
      </c>
    </row>
    <row r="32" spans="1:29">
      <c r="A32" s="155">
        <v>2</v>
      </c>
      <c r="B32" s="52" t="s">
        <v>151</v>
      </c>
      <c r="C32" s="54">
        <f>C9/C6</f>
        <v>1150.1567999999997</v>
      </c>
      <c r="D32" s="54">
        <f t="shared" ref="D32" si="19">D9/D6</f>
        <v>371.58911999999998</v>
      </c>
      <c r="E32" s="59"/>
      <c r="F32" s="67"/>
      <c r="G32" s="67"/>
      <c r="H32" s="67"/>
      <c r="I32" s="67"/>
      <c r="J32" s="67"/>
      <c r="K32" s="67"/>
      <c r="L32" s="67"/>
      <c r="AA32" s="52"/>
      <c r="AB32" s="52"/>
    </row>
    <row r="33" spans="1:28">
      <c r="A33" s="155">
        <v>3</v>
      </c>
      <c r="B33" s="57" t="s">
        <v>71</v>
      </c>
      <c r="C33" s="54">
        <f>材料成本!H19</f>
        <v>867.61316221921084</v>
      </c>
      <c r="D33" s="54">
        <f>材料成本!H20</f>
        <v>265.51932947446659</v>
      </c>
      <c r="E33" s="59"/>
      <c r="G33" s="67"/>
      <c r="H33" s="67"/>
      <c r="I33" s="67"/>
      <c r="J33" s="67"/>
      <c r="K33" s="67"/>
      <c r="L33" s="67"/>
      <c r="AA33" s="52" t="s">
        <v>22</v>
      </c>
      <c r="AB33" s="52" t="s">
        <v>71</v>
      </c>
    </row>
    <row r="34" spans="1:28" ht="17.25" customHeight="1">
      <c r="A34" s="155">
        <v>4</v>
      </c>
      <c r="B34" s="52" t="s">
        <v>73</v>
      </c>
      <c r="C34" s="64">
        <f>C32-C33</f>
        <v>282.54363778078891</v>
      </c>
      <c r="D34" s="64">
        <f t="shared" ref="D34" si="20">D32-D33</f>
        <v>106.06979052553339</v>
      </c>
      <c r="E34" s="59"/>
      <c r="G34" s="67"/>
      <c r="H34" s="67"/>
      <c r="I34" s="67"/>
      <c r="J34" s="67"/>
      <c r="K34" s="67"/>
      <c r="L34" s="67"/>
      <c r="AA34" s="52" t="s">
        <v>72</v>
      </c>
      <c r="AB34" s="52" t="s">
        <v>73</v>
      </c>
    </row>
    <row r="35" spans="1:28">
      <c r="A35" s="52" t="s">
        <v>69</v>
      </c>
      <c r="B35" s="55" t="s">
        <v>8</v>
      </c>
      <c r="C35" s="59"/>
      <c r="D35" s="59"/>
      <c r="E35" s="59"/>
      <c r="F35" s="67"/>
      <c r="G35" s="67"/>
      <c r="H35" s="67"/>
      <c r="I35" s="67"/>
      <c r="J35" s="67"/>
      <c r="K35" s="67"/>
      <c r="L35" s="67"/>
      <c r="M35" s="67"/>
      <c r="AA35" s="52" t="s">
        <v>75</v>
      </c>
      <c r="AB35" s="55" t="s">
        <v>8</v>
      </c>
    </row>
    <row r="36" spans="1:28">
      <c r="A36" s="155">
        <v>1</v>
      </c>
      <c r="B36" s="52" t="s">
        <v>76</v>
      </c>
      <c r="C36" s="58">
        <f>'2023年'!C36</f>
        <v>36.4</v>
      </c>
      <c r="D36" s="58">
        <f>'2023年'!D36</f>
        <v>11.76</v>
      </c>
      <c r="E36" s="63"/>
      <c r="F36" s="67"/>
      <c r="G36" s="67"/>
      <c r="H36" s="67"/>
      <c r="I36" s="67"/>
      <c r="J36" s="67"/>
      <c r="K36" s="67"/>
      <c r="L36" s="67"/>
      <c r="M36" s="67"/>
      <c r="AA36" s="52" t="s">
        <v>72</v>
      </c>
      <c r="AB36" s="52" t="s">
        <v>76</v>
      </c>
    </row>
    <row r="37" spans="1:28">
      <c r="A37" s="155">
        <v>2</v>
      </c>
      <c r="B37" s="52" t="s">
        <v>77</v>
      </c>
      <c r="C37" s="58">
        <f>'2023年'!C37</f>
        <v>14.299999999999999</v>
      </c>
      <c r="D37" s="58">
        <f>'2023年'!D37</f>
        <v>4.62</v>
      </c>
      <c r="E37" s="63"/>
      <c r="F37" s="67"/>
      <c r="G37" s="67"/>
      <c r="H37" s="67"/>
      <c r="I37" s="67"/>
      <c r="J37" s="67"/>
      <c r="K37" s="67"/>
      <c r="L37" s="67"/>
      <c r="M37" s="67"/>
      <c r="AA37" s="52" t="s">
        <v>25</v>
      </c>
      <c r="AB37" s="52" t="s">
        <v>77</v>
      </c>
    </row>
    <row r="38" spans="1:28">
      <c r="A38" s="155">
        <v>3</v>
      </c>
      <c r="B38" s="52" t="s">
        <v>78</v>
      </c>
      <c r="C38" s="58">
        <f>'2023年'!C38</f>
        <v>51.999999999999993</v>
      </c>
      <c r="D38" s="58">
        <f>'2023年'!D38</f>
        <v>16.799999999999997</v>
      </c>
      <c r="E38" s="63"/>
      <c r="F38" s="67"/>
      <c r="G38" s="67"/>
      <c r="H38" s="67"/>
      <c r="I38" s="67"/>
      <c r="J38" s="67"/>
      <c r="K38" s="67"/>
      <c r="L38" s="67"/>
      <c r="M38" s="67"/>
      <c r="AA38" s="52" t="s">
        <v>31</v>
      </c>
      <c r="AB38" s="52" t="s">
        <v>78</v>
      </c>
    </row>
    <row r="39" spans="1:28">
      <c r="A39" s="52" t="s">
        <v>75</v>
      </c>
      <c r="B39" s="55" t="s">
        <v>80</v>
      </c>
      <c r="C39" s="59"/>
      <c r="D39" s="59"/>
      <c r="E39" s="59"/>
      <c r="AA39" s="52" t="s">
        <v>79</v>
      </c>
      <c r="AB39" s="55" t="s">
        <v>80</v>
      </c>
    </row>
    <row r="40" spans="1:28">
      <c r="A40" s="155">
        <v>1</v>
      </c>
      <c r="B40" s="52" t="s">
        <v>82</v>
      </c>
      <c r="C40" s="59">
        <f>C34-C36-C37-C38</f>
        <v>179.8436377807889</v>
      </c>
      <c r="D40" s="59">
        <f t="shared" ref="D40" si="21">D34-D36-D37-D38</f>
        <v>72.889790525533385</v>
      </c>
      <c r="E40" s="59"/>
      <c r="AA40" s="52" t="s">
        <v>20</v>
      </c>
      <c r="AB40" s="52" t="s">
        <v>82</v>
      </c>
    </row>
    <row r="41" spans="1:28">
      <c r="A41" s="155">
        <v>2</v>
      </c>
      <c r="B41" s="52" t="s">
        <v>83</v>
      </c>
      <c r="C41" s="59"/>
      <c r="D41" s="59"/>
      <c r="E41" s="59"/>
      <c r="AA41" s="52" t="s">
        <v>22</v>
      </c>
      <c r="AB41" s="52" t="s">
        <v>83</v>
      </c>
    </row>
    <row r="42" spans="1:28">
      <c r="A42" s="52" t="s">
        <v>79</v>
      </c>
      <c r="B42" s="55" t="s">
        <v>85</v>
      </c>
      <c r="C42" s="59"/>
      <c r="D42" s="59"/>
      <c r="E42" s="59"/>
      <c r="AA42" s="52" t="s">
        <v>84</v>
      </c>
      <c r="AB42" s="55" t="s">
        <v>85</v>
      </c>
    </row>
    <row r="43" spans="1:28">
      <c r="A43" s="155">
        <v>1</v>
      </c>
      <c r="B43" s="60" t="s">
        <v>86</v>
      </c>
      <c r="C43" s="58">
        <f>'2023年'!C43</f>
        <v>39</v>
      </c>
      <c r="D43" s="58">
        <f>'2023年'!D43</f>
        <v>12.6</v>
      </c>
      <c r="E43" s="59"/>
      <c r="AA43" s="52" t="s">
        <v>20</v>
      </c>
      <c r="AB43" s="52" t="s">
        <v>86</v>
      </c>
    </row>
    <row r="44" spans="1:28">
      <c r="A44" s="155">
        <v>2</v>
      </c>
      <c r="B44" s="60" t="s">
        <v>87</v>
      </c>
      <c r="C44" s="58">
        <f>'2023年'!C44</f>
        <v>9.1</v>
      </c>
      <c r="D44" s="58">
        <f>'2023年'!D44</f>
        <v>2.94</v>
      </c>
      <c r="E44" s="59"/>
      <c r="AA44" s="52" t="s">
        <v>22</v>
      </c>
      <c r="AB44" s="52" t="s">
        <v>87</v>
      </c>
    </row>
    <row r="45" spans="1:28">
      <c r="A45" s="155">
        <v>3</v>
      </c>
      <c r="B45" s="60" t="s">
        <v>88</v>
      </c>
      <c r="C45" s="58">
        <f>'2023年'!C45</f>
        <v>20.8</v>
      </c>
      <c r="D45" s="58">
        <f>'2023年'!D45</f>
        <v>6.72</v>
      </c>
      <c r="E45" s="59"/>
      <c r="AA45" s="52" t="s">
        <v>72</v>
      </c>
      <c r="AB45" s="52" t="s">
        <v>88</v>
      </c>
    </row>
    <row r="46" spans="1:28" s="47" customFormat="1">
      <c r="A46" s="155">
        <v>4</v>
      </c>
      <c r="B46" s="60" t="s">
        <v>89</v>
      </c>
      <c r="C46" s="65">
        <f>C21/C6</f>
        <v>7.166666666666667</v>
      </c>
      <c r="D46" s="65">
        <f t="shared" ref="D46" si="22">D21/D6</f>
        <v>7.166666666666667</v>
      </c>
      <c r="E46" s="65"/>
      <c r="AA46" s="60" t="s">
        <v>28</v>
      </c>
      <c r="AB46" s="60" t="s">
        <v>91</v>
      </c>
    </row>
    <row r="47" spans="1:28" s="47" customFormat="1">
      <c r="A47" s="155">
        <v>5</v>
      </c>
      <c r="B47" s="60" t="s">
        <v>91</v>
      </c>
      <c r="C47" s="65">
        <f>'2023年'!C47</f>
        <v>27.689999999999998</v>
      </c>
      <c r="D47" s="65">
        <f>'2023年'!D47</f>
        <v>8.9459999999999997</v>
      </c>
      <c r="E47" s="65"/>
      <c r="AA47" s="60" t="s">
        <v>28</v>
      </c>
      <c r="AB47" s="60" t="s">
        <v>91</v>
      </c>
    </row>
    <row r="48" spans="1:28">
      <c r="A48" s="52" t="s">
        <v>84</v>
      </c>
      <c r="B48" s="55" t="s">
        <v>102</v>
      </c>
      <c r="C48" s="59">
        <f>C40-C43-C44-C45-C47-C46</f>
        <v>76.086971114122235</v>
      </c>
      <c r="D48" s="59">
        <f t="shared" ref="D48" si="23">D40-D43-D44-D45-D47-D46</f>
        <v>34.517123858866725</v>
      </c>
      <c r="E48" s="59"/>
      <c r="AA48" s="52" t="s">
        <v>101</v>
      </c>
      <c r="AB48" s="55" t="s">
        <v>102</v>
      </c>
    </row>
    <row r="51" spans="2:10">
      <c r="C51" s="66"/>
      <c r="D51" s="66"/>
    </row>
    <row r="54" spans="2:10">
      <c r="B54" s="67"/>
      <c r="C54" s="68"/>
      <c r="D54" s="68"/>
      <c r="E54" s="68"/>
      <c r="F54" s="67"/>
      <c r="G54" s="67"/>
      <c r="H54" s="67"/>
      <c r="I54" s="67"/>
      <c r="J54" s="67"/>
    </row>
    <row r="55" spans="2:10">
      <c r="B55" s="67"/>
      <c r="C55" s="68"/>
      <c r="D55" s="68"/>
      <c r="E55" s="68"/>
      <c r="F55" s="67"/>
      <c r="G55" s="67"/>
      <c r="H55" s="67"/>
      <c r="I55" s="67"/>
      <c r="J55" s="67"/>
    </row>
    <row r="56" spans="2:10">
      <c r="B56" s="67"/>
      <c r="C56" s="68"/>
      <c r="D56" s="68"/>
      <c r="E56" s="68"/>
      <c r="F56" s="67"/>
      <c r="G56" s="67"/>
      <c r="H56" s="67"/>
      <c r="I56" s="67"/>
      <c r="J56" s="67"/>
    </row>
    <row r="57" spans="2:10">
      <c r="B57" s="67"/>
      <c r="C57" s="68"/>
      <c r="D57" s="68"/>
      <c r="E57" s="68"/>
      <c r="F57" s="67"/>
      <c r="G57" s="67"/>
      <c r="H57" s="67"/>
      <c r="I57" s="67"/>
      <c r="J57" s="67"/>
    </row>
    <row r="58" spans="2:10">
      <c r="B58" s="67"/>
      <c r="C58" s="68"/>
      <c r="D58" s="68"/>
      <c r="E58" s="68"/>
      <c r="F58" s="67"/>
      <c r="G58" s="67"/>
      <c r="H58" s="67"/>
      <c r="I58" s="67"/>
      <c r="J58" s="67"/>
    </row>
    <row r="59" spans="2:10">
      <c r="B59" s="67"/>
      <c r="C59" s="68"/>
      <c r="D59" s="68"/>
      <c r="E59" s="68"/>
      <c r="F59" s="67"/>
      <c r="G59" s="67"/>
      <c r="H59" s="67"/>
      <c r="I59" s="67"/>
      <c r="J59" s="67"/>
    </row>
    <row r="60" spans="2:10">
      <c r="B60" s="67"/>
      <c r="C60" s="68"/>
      <c r="D60" s="68"/>
      <c r="E60" s="68"/>
      <c r="F60" s="67"/>
      <c r="G60" s="67"/>
      <c r="H60" s="67"/>
      <c r="I60" s="67"/>
      <c r="J60" s="67"/>
    </row>
    <row r="61" spans="2:10">
      <c r="B61" s="67"/>
      <c r="C61" s="68"/>
      <c r="D61" s="68"/>
      <c r="E61" s="68"/>
      <c r="F61" s="67"/>
      <c r="G61" s="67"/>
      <c r="H61" s="67"/>
      <c r="I61" s="67"/>
      <c r="J61" s="67"/>
    </row>
    <row r="62" spans="2:10">
      <c r="B62" s="67"/>
      <c r="C62" s="68"/>
      <c r="D62" s="68"/>
      <c r="E62" s="68"/>
      <c r="F62" s="67"/>
      <c r="G62" s="67"/>
      <c r="H62" s="67"/>
      <c r="I62" s="67"/>
      <c r="J62" s="67"/>
    </row>
    <row r="63" spans="2:10">
      <c r="B63" s="67"/>
      <c r="C63" s="68"/>
      <c r="D63" s="68"/>
      <c r="E63" s="68"/>
      <c r="F63" s="67"/>
      <c r="G63" s="67"/>
      <c r="H63" s="67"/>
      <c r="I63" s="67"/>
      <c r="J63" s="67"/>
    </row>
    <row r="64" spans="2:10">
      <c r="B64" s="67"/>
      <c r="C64" s="68"/>
      <c r="D64" s="68"/>
      <c r="E64" s="68"/>
      <c r="F64" s="67"/>
      <c r="G64" s="67"/>
      <c r="H64" s="67"/>
      <c r="I64" s="67"/>
      <c r="J64" s="67"/>
    </row>
    <row r="65" spans="2:10">
      <c r="B65" s="67"/>
      <c r="C65" s="68"/>
      <c r="D65" s="68"/>
      <c r="E65" s="68"/>
      <c r="F65" s="67"/>
      <c r="G65" s="67"/>
      <c r="H65" s="67"/>
      <c r="I65" s="67"/>
      <c r="J65" s="67"/>
    </row>
    <row r="66" spans="2:10">
      <c r="B66" s="67"/>
      <c r="C66" s="68"/>
      <c r="D66" s="68"/>
      <c r="E66" s="68"/>
      <c r="F66" s="67"/>
      <c r="G66" s="67"/>
      <c r="H66" s="67"/>
      <c r="I66" s="67"/>
      <c r="J66" s="67"/>
    </row>
    <row r="67" spans="2:10">
      <c r="B67" s="67"/>
      <c r="C67" s="68"/>
      <c r="D67" s="68"/>
      <c r="E67" s="68"/>
      <c r="F67" s="67"/>
    </row>
    <row r="68" spans="2:10">
      <c r="B68" s="67"/>
      <c r="C68" s="68"/>
      <c r="D68" s="68"/>
      <c r="E68" s="68"/>
      <c r="F68" s="67"/>
    </row>
    <row r="69" spans="2:10">
      <c r="B69" s="67"/>
      <c r="C69" s="68"/>
      <c r="D69" s="68"/>
      <c r="E69" s="68"/>
      <c r="F69" s="67"/>
    </row>
    <row r="70" spans="2:10">
      <c r="B70" s="67"/>
      <c r="C70" s="68"/>
      <c r="D70" s="68"/>
      <c r="E70" s="68"/>
      <c r="F70" s="67"/>
    </row>
    <row r="71" spans="2:10">
      <c r="B71" s="67"/>
      <c r="C71" s="68"/>
      <c r="D71" s="68"/>
      <c r="E71" s="68"/>
      <c r="F71" s="67"/>
    </row>
    <row r="72" spans="2:10">
      <c r="B72" s="67"/>
      <c r="C72" s="68"/>
      <c r="D72" s="68"/>
      <c r="E72" s="68"/>
      <c r="F72" s="67"/>
    </row>
    <row r="73" spans="2:10">
      <c r="B73" s="67"/>
      <c r="C73" s="68"/>
      <c r="D73" s="68"/>
      <c r="E73" s="68"/>
      <c r="F73" s="67"/>
    </row>
    <row r="74" spans="2:10">
      <c r="B74" s="67"/>
      <c r="C74" s="68"/>
      <c r="D74" s="68"/>
      <c r="E74" s="68"/>
      <c r="F74" s="67"/>
    </row>
  </sheetData>
  <mergeCells count="8">
    <mergeCell ref="E3:E5"/>
    <mergeCell ref="C2:E2"/>
    <mergeCell ref="C1:E1"/>
    <mergeCell ref="A1:B1"/>
    <mergeCell ref="A2:B2"/>
    <mergeCell ref="A3:B3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workbookViewId="0">
      <pane xSplit="2" ySplit="7" topLeftCell="C14" activePane="bottomRight" state="frozen"/>
      <selection pane="topRight"/>
      <selection pane="bottomLeft"/>
      <selection pane="bottomRight" activeCell="D18" sqref="D18"/>
    </sheetView>
  </sheetViews>
  <sheetFormatPr defaultColWidth="9" defaultRowHeight="16.5"/>
  <cols>
    <col min="1" max="1" width="5.125" style="48" customWidth="1"/>
    <col min="2" max="2" width="17.5" style="48" customWidth="1"/>
    <col min="3" max="3" width="13.25" style="49" customWidth="1"/>
    <col min="4" max="4" width="14" style="49" bestFit="1" customWidth="1"/>
    <col min="5" max="5" width="18.75" style="49" customWidth="1"/>
    <col min="6" max="6" width="12.375" style="48" customWidth="1"/>
    <col min="7" max="7" width="10.125" style="48" customWidth="1"/>
    <col min="8" max="14" width="9" style="48" customWidth="1"/>
    <col min="15" max="31" width="9" style="48"/>
    <col min="32" max="32" width="4.375" style="48" customWidth="1"/>
    <col min="33" max="33" width="13.875" style="48" customWidth="1"/>
    <col min="34" max="16384" width="9" style="48"/>
  </cols>
  <sheetData>
    <row r="1" spans="1:34">
      <c r="A1" s="225" t="s">
        <v>142</v>
      </c>
      <c r="B1" s="225"/>
      <c r="C1" s="229" t="s">
        <v>237</v>
      </c>
      <c r="D1" s="230"/>
      <c r="E1" s="231"/>
    </row>
    <row r="2" spans="1:34">
      <c r="A2" s="225" t="s">
        <v>143</v>
      </c>
      <c r="B2" s="225"/>
      <c r="C2" s="232" t="str">
        <f>'2023年'!C2:E2</f>
        <v>陕汽</v>
      </c>
      <c r="D2" s="232"/>
      <c r="E2" s="232"/>
    </row>
    <row r="3" spans="1:34">
      <c r="A3" s="225" t="s">
        <v>144</v>
      </c>
      <c r="B3" s="225"/>
      <c r="C3" s="156" t="str">
        <f>销量!C5</f>
        <v>正司机座椅总成</v>
      </c>
      <c r="D3" s="156" t="str">
        <f>销量!D5</f>
        <v>副司机座椅总成</v>
      </c>
      <c r="E3" s="226" t="s">
        <v>16</v>
      </c>
    </row>
    <row r="4" spans="1:34">
      <c r="A4" s="225" t="s">
        <v>145</v>
      </c>
      <c r="B4" s="225"/>
      <c r="C4" s="156" t="str">
        <f>销量!C6</f>
        <v>KZ14221510012</v>
      </c>
      <c r="D4" s="156" t="str">
        <f>销量!D6</f>
        <v>KZ14221510013</v>
      </c>
      <c r="E4" s="227"/>
    </row>
    <row r="5" spans="1:34">
      <c r="A5" s="225" t="s">
        <v>146</v>
      </c>
      <c r="B5" s="225"/>
      <c r="C5" s="51"/>
      <c r="D5" s="51"/>
      <c r="E5" s="228"/>
      <c r="AH5" s="48" t="s">
        <v>17</v>
      </c>
    </row>
    <row r="6" spans="1:34" ht="17.25">
      <c r="A6" s="52" t="s">
        <v>14</v>
      </c>
      <c r="B6" s="53" t="s">
        <v>147</v>
      </c>
      <c r="C6" s="22">
        <f>销量!C13</f>
        <v>4000</v>
      </c>
      <c r="D6" s="22">
        <f>销量!D13</f>
        <v>4000</v>
      </c>
      <c r="E6" s="54">
        <f t="shared" ref="E6:E15" si="0">SUM(C6:D6)</f>
        <v>8000</v>
      </c>
      <c r="P6" s="53" t="s">
        <v>3</v>
      </c>
      <c r="AF6" s="52" t="s">
        <v>14</v>
      </c>
      <c r="AG6" s="53" t="s">
        <v>3</v>
      </c>
      <c r="AH6" s="48" t="s">
        <v>18</v>
      </c>
    </row>
    <row r="7" spans="1:34">
      <c r="A7" s="155">
        <v>1</v>
      </c>
      <c r="B7" s="53" t="s">
        <v>19</v>
      </c>
      <c r="C7" s="54">
        <f>C6*销量!C8</f>
        <v>5200000</v>
      </c>
      <c r="D7" s="54">
        <f>D6*销量!D8</f>
        <v>1680000</v>
      </c>
      <c r="E7" s="54">
        <f t="shared" si="0"/>
        <v>6880000</v>
      </c>
      <c r="F7" s="49"/>
      <c r="P7" s="53" t="s">
        <v>19</v>
      </c>
      <c r="AF7" s="52" t="s">
        <v>20</v>
      </c>
      <c r="AG7" s="53" t="s">
        <v>19</v>
      </c>
      <c r="AH7" s="48" t="s">
        <v>18</v>
      </c>
    </row>
    <row r="8" spans="1:34">
      <c r="A8" s="155">
        <v>2</v>
      </c>
      <c r="B8" s="155" t="s">
        <v>21</v>
      </c>
      <c r="C8" s="54">
        <f>C7*(1-销量!$L$10)</f>
        <v>783397.88800000073</v>
      </c>
      <c r="D8" s="54">
        <f>D7*(1-销量!$L$10)</f>
        <v>253097.77920000022</v>
      </c>
      <c r="E8" s="54">
        <f t="shared" si="0"/>
        <v>1036495.667200001</v>
      </c>
      <c r="F8" s="69"/>
      <c r="P8" s="155" t="s">
        <v>23</v>
      </c>
      <c r="AF8" s="52" t="s">
        <v>22</v>
      </c>
      <c r="AG8" s="155" t="s">
        <v>23</v>
      </c>
      <c r="AH8" s="48" t="s">
        <v>18</v>
      </c>
    </row>
    <row r="9" spans="1:34">
      <c r="A9" s="155">
        <v>3</v>
      </c>
      <c r="B9" s="53" t="s">
        <v>24</v>
      </c>
      <c r="C9" s="54">
        <f>+C7-C8</f>
        <v>4416602.1119999997</v>
      </c>
      <c r="D9" s="54">
        <f t="shared" ref="D9" si="1">+D7-D8</f>
        <v>1426902.2207999998</v>
      </c>
      <c r="E9" s="54">
        <f t="shared" si="0"/>
        <v>5843504.332799999</v>
      </c>
      <c r="P9" s="53" t="s">
        <v>24</v>
      </c>
      <c r="AF9" s="52" t="s">
        <v>25</v>
      </c>
      <c r="AG9" s="53" t="s">
        <v>24</v>
      </c>
      <c r="AH9" s="48" t="s">
        <v>26</v>
      </c>
    </row>
    <row r="10" spans="1:34">
      <c r="A10" s="155">
        <v>4</v>
      </c>
      <c r="B10" s="52" t="s">
        <v>27</v>
      </c>
      <c r="C10" s="54">
        <f>C6*材料成本!I19</f>
        <v>3331634.5429217694</v>
      </c>
      <c r="D10" s="54">
        <f>D6*材料成本!I20</f>
        <v>1019594.2251819517</v>
      </c>
      <c r="E10" s="54">
        <f t="shared" si="0"/>
        <v>4351228.7681037206</v>
      </c>
      <c r="P10" s="52" t="s">
        <v>27</v>
      </c>
      <c r="AF10" s="52" t="s">
        <v>28</v>
      </c>
      <c r="AG10" s="52" t="s">
        <v>27</v>
      </c>
      <c r="AH10" s="48" t="s">
        <v>29</v>
      </c>
    </row>
    <row r="11" spans="1:34">
      <c r="A11" s="155">
        <v>5</v>
      </c>
      <c r="B11" s="52" t="s">
        <v>30</v>
      </c>
      <c r="C11" s="54">
        <f>+C6*C36</f>
        <v>145600</v>
      </c>
      <c r="D11" s="54">
        <f t="shared" ref="D11" si="2">+D6*D36</f>
        <v>47040</v>
      </c>
      <c r="E11" s="54">
        <f t="shared" si="0"/>
        <v>192640</v>
      </c>
      <c r="P11" s="52" t="s">
        <v>30</v>
      </c>
      <c r="AF11" s="52" t="s">
        <v>31</v>
      </c>
      <c r="AG11" s="52" t="s">
        <v>30</v>
      </c>
    </row>
    <row r="12" spans="1:34">
      <c r="A12" s="155">
        <v>6</v>
      </c>
      <c r="B12" s="52" t="s">
        <v>32</v>
      </c>
      <c r="C12" s="54">
        <f>+C6*C37</f>
        <v>57199.999999999993</v>
      </c>
      <c r="D12" s="54">
        <f t="shared" ref="D12" si="3">+D6*D37</f>
        <v>18480</v>
      </c>
      <c r="E12" s="54">
        <f t="shared" si="0"/>
        <v>75680</v>
      </c>
      <c r="P12" s="52" t="s">
        <v>32</v>
      </c>
      <c r="AF12" s="52" t="s">
        <v>33</v>
      </c>
      <c r="AG12" s="52" t="s">
        <v>32</v>
      </c>
    </row>
    <row r="13" spans="1:34">
      <c r="A13" s="155">
        <v>7</v>
      </c>
      <c r="B13" s="52" t="s">
        <v>34</v>
      </c>
      <c r="C13" s="54">
        <f>+C6*C38</f>
        <v>207999.99999999997</v>
      </c>
      <c r="D13" s="54">
        <f t="shared" ref="D13" si="4">+D6*D38</f>
        <v>67199.999999999985</v>
      </c>
      <c r="E13" s="54">
        <f t="shared" si="0"/>
        <v>275199.99999999994</v>
      </c>
      <c r="P13" s="52" t="s">
        <v>34</v>
      </c>
      <c r="AF13" s="52" t="s">
        <v>35</v>
      </c>
      <c r="AG13" s="52" t="s">
        <v>34</v>
      </c>
      <c r="AH13" s="48" t="s">
        <v>18</v>
      </c>
    </row>
    <row r="14" spans="1:34">
      <c r="A14" s="155">
        <v>8</v>
      </c>
      <c r="B14" s="55" t="s">
        <v>36</v>
      </c>
      <c r="C14" s="54">
        <f>SUM(C11:C13)</f>
        <v>410800</v>
      </c>
      <c r="D14" s="54">
        <f t="shared" ref="D14" si="5">SUM(D11:D13)</f>
        <v>132720</v>
      </c>
      <c r="E14" s="54">
        <f t="shared" si="0"/>
        <v>543520</v>
      </c>
      <c r="P14" s="55" t="s">
        <v>36</v>
      </c>
      <c r="AF14" s="52" t="s">
        <v>37</v>
      </c>
      <c r="AG14" s="55" t="s">
        <v>36</v>
      </c>
    </row>
    <row r="15" spans="1:34">
      <c r="A15" s="155">
        <v>9</v>
      </c>
      <c r="B15" s="55" t="s">
        <v>38</v>
      </c>
      <c r="C15" s="54">
        <f>+C9-C10-C14</f>
        <v>674167.5690782303</v>
      </c>
      <c r="D15" s="54">
        <f t="shared" ref="D15" si="6">+D9-D10-D14</f>
        <v>274587.99561804812</v>
      </c>
      <c r="E15" s="54">
        <f t="shared" si="0"/>
        <v>948755.56469627842</v>
      </c>
      <c r="P15" s="55" t="s">
        <v>38</v>
      </c>
      <c r="AF15" s="52" t="s">
        <v>39</v>
      </c>
      <c r="AG15" s="55" t="s">
        <v>38</v>
      </c>
    </row>
    <row r="16" spans="1:34">
      <c r="A16" s="155">
        <v>10</v>
      </c>
      <c r="B16" s="52" t="s">
        <v>40</v>
      </c>
      <c r="C16" s="56">
        <f>+C15/C9</f>
        <v>0.15264394482049967</v>
      </c>
      <c r="D16" s="56">
        <f t="shared" ref="D16" si="7">+D15/D9</f>
        <v>0.1924364484232837</v>
      </c>
      <c r="E16" s="56">
        <f t="shared" ref="E16" si="8">+E15/E9</f>
        <v>0.16236071895606324</v>
      </c>
      <c r="P16" s="52" t="s">
        <v>40</v>
      </c>
      <c r="AF16" s="52" t="s">
        <v>41</v>
      </c>
      <c r="AG16" s="52" t="s">
        <v>40</v>
      </c>
    </row>
    <row r="17" spans="1:34">
      <c r="A17" s="155">
        <v>11</v>
      </c>
      <c r="B17" s="52" t="s">
        <v>42</v>
      </c>
      <c r="C17" s="54">
        <f>C6*C43+C18</f>
        <v>172625</v>
      </c>
      <c r="D17" s="54">
        <f t="shared" ref="D17" si="9">D6*D43+D18</f>
        <v>67025</v>
      </c>
      <c r="E17" s="54">
        <f>SUM(C17:D17)</f>
        <v>239650</v>
      </c>
      <c r="F17" s="69"/>
      <c r="P17" s="52" t="s">
        <v>42</v>
      </c>
      <c r="AF17" s="52" t="s">
        <v>43</v>
      </c>
      <c r="AG17" s="52" t="s">
        <v>42</v>
      </c>
    </row>
    <row r="18" spans="1:34" s="46" customFormat="1">
      <c r="A18" s="155">
        <v>12</v>
      </c>
      <c r="B18" s="57" t="s">
        <v>148</v>
      </c>
      <c r="C18" s="58">
        <f>$E$18/$E$6*C6</f>
        <v>16625</v>
      </c>
      <c r="D18" s="58">
        <f>$E$18/$E$6*D6</f>
        <v>16625</v>
      </c>
      <c r="E18" s="58">
        <f>项目投资!D26</f>
        <v>33250</v>
      </c>
      <c r="F18" s="70" t="s">
        <v>149</v>
      </c>
      <c r="G18" s="70"/>
      <c r="H18" s="70"/>
    </row>
    <row r="19" spans="1:34">
      <c r="A19" s="155">
        <v>13</v>
      </c>
      <c r="B19" s="52" t="s">
        <v>44</v>
      </c>
      <c r="C19" s="54">
        <f>C6*C44</f>
        <v>36400</v>
      </c>
      <c r="D19" s="54">
        <f t="shared" ref="D19" si="10">D6*D44</f>
        <v>11760</v>
      </c>
      <c r="E19" s="54">
        <f>SUM(C19:D19)</f>
        <v>48160</v>
      </c>
      <c r="F19" s="46"/>
      <c r="P19" s="52" t="s">
        <v>44</v>
      </c>
      <c r="AF19" s="52" t="s">
        <v>45</v>
      </c>
      <c r="AG19" s="52" t="s">
        <v>44</v>
      </c>
      <c r="AH19" s="48" t="s">
        <v>18</v>
      </c>
    </row>
    <row r="20" spans="1:34">
      <c r="A20" s="155">
        <v>14</v>
      </c>
      <c r="B20" s="52" t="s">
        <v>46</v>
      </c>
      <c r="C20" s="54">
        <f>C6*C45</f>
        <v>83200</v>
      </c>
      <c r="D20" s="54">
        <f t="shared" ref="D20" si="11">D6*D45</f>
        <v>26880</v>
      </c>
      <c r="E20" s="54">
        <f>SUM(C20:D20)</f>
        <v>110080</v>
      </c>
      <c r="P20" s="52" t="s">
        <v>46</v>
      </c>
      <c r="AF20" s="52" t="s">
        <v>47</v>
      </c>
      <c r="AG20" s="52" t="s">
        <v>46</v>
      </c>
    </row>
    <row r="21" spans="1:34">
      <c r="A21" s="155">
        <v>15</v>
      </c>
      <c r="B21" s="52" t="s">
        <v>48</v>
      </c>
      <c r="C21" s="59">
        <f>$E$21/$E$6*C6</f>
        <v>43000</v>
      </c>
      <c r="D21" s="59">
        <f>$E$21/$E$6*D6</f>
        <v>43000</v>
      </c>
      <c r="E21" s="54">
        <f>项目投资!D27</f>
        <v>86000</v>
      </c>
      <c r="P21" s="52" t="s">
        <v>48</v>
      </c>
      <c r="AF21" s="52"/>
      <c r="AG21" s="52"/>
    </row>
    <row r="22" spans="1:34">
      <c r="A22" s="155">
        <v>16</v>
      </c>
      <c r="B22" s="52" t="s">
        <v>49</v>
      </c>
      <c r="C22" s="54">
        <f>C6*C47</f>
        <v>110759.99999999999</v>
      </c>
      <c r="D22" s="54">
        <f t="shared" ref="D22" si="12">D6*D47</f>
        <v>35784</v>
      </c>
      <c r="E22" s="54">
        <f>SUM(C22:D22)</f>
        <v>146544</v>
      </c>
      <c r="P22" s="52" t="s">
        <v>49</v>
      </c>
      <c r="AF22" s="52" t="s">
        <v>50</v>
      </c>
      <c r="AG22" s="52" t="s">
        <v>49</v>
      </c>
    </row>
    <row r="23" spans="1:34">
      <c r="A23" s="155">
        <v>17</v>
      </c>
      <c r="B23" s="55" t="s">
        <v>51</v>
      </c>
      <c r="C23" s="59">
        <f>+C22+C21+C20+C19+C17</f>
        <v>445985</v>
      </c>
      <c r="D23" s="59">
        <f t="shared" ref="D23" si="13">+D22+D21+D20+D19+D17</f>
        <v>184449</v>
      </c>
      <c r="E23" s="59">
        <f t="shared" ref="E23" si="14">+E22+E21+E20+E19+E17</f>
        <v>630434</v>
      </c>
      <c r="P23" s="55" t="s">
        <v>51</v>
      </c>
      <c r="AF23" s="52" t="s">
        <v>52</v>
      </c>
      <c r="AG23" s="55" t="s">
        <v>51</v>
      </c>
    </row>
    <row r="24" spans="1:34">
      <c r="A24" s="155">
        <v>18</v>
      </c>
      <c r="B24" s="60" t="s">
        <v>53</v>
      </c>
      <c r="C24" s="59">
        <f>+C15-C23</f>
        <v>228182.5690782303</v>
      </c>
      <c r="D24" s="59">
        <f t="shared" ref="D24" si="15">+D15-D23</f>
        <v>90138.995618048124</v>
      </c>
      <c r="E24" s="59">
        <f t="shared" ref="E24" si="16">+E15-E23</f>
        <v>318321.56469627842</v>
      </c>
      <c r="G24" s="71"/>
      <c r="P24" s="52" t="s">
        <v>53</v>
      </c>
      <c r="AF24" s="52" t="s">
        <v>54</v>
      </c>
      <c r="AG24" s="52" t="s">
        <v>53</v>
      </c>
    </row>
    <row r="25" spans="1:34">
      <c r="A25" s="155">
        <v>19</v>
      </c>
      <c r="B25" s="52" t="s">
        <v>244</v>
      </c>
      <c r="C25" s="59">
        <f>IF(C24&lt;0,0,C24*0.15)</f>
        <v>34227.385361734545</v>
      </c>
      <c r="D25" s="59">
        <f>IF(D24&lt;0,0,D24*0.15)</f>
        <v>13520.849342707219</v>
      </c>
      <c r="E25" s="59">
        <f>IF(E24&lt;0,0,E24*0.15)</f>
        <v>47748.234704441762</v>
      </c>
      <c r="F25" s="67"/>
      <c r="G25" s="67"/>
      <c r="H25" s="67"/>
      <c r="P25" s="52" t="s">
        <v>55</v>
      </c>
      <c r="AF25" s="52" t="s">
        <v>56</v>
      </c>
      <c r="AG25" s="52" t="s">
        <v>55</v>
      </c>
    </row>
    <row r="26" spans="1:34">
      <c r="A26" s="155">
        <v>20</v>
      </c>
      <c r="B26" s="52" t="s">
        <v>57</v>
      </c>
      <c r="C26" s="59">
        <f t="shared" ref="C26:E26" si="17">C24-C25</f>
        <v>193955.18371649575</v>
      </c>
      <c r="D26" s="59">
        <f t="shared" si="17"/>
        <v>76618.1462753409</v>
      </c>
      <c r="E26" s="59">
        <f t="shared" si="17"/>
        <v>270573.32999183668</v>
      </c>
      <c r="F26" s="67"/>
      <c r="G26" s="67"/>
      <c r="H26" s="67"/>
      <c r="P26" s="52" t="s">
        <v>57</v>
      </c>
      <c r="AF26" s="52" t="s">
        <v>58</v>
      </c>
      <c r="AG26" s="52" t="s">
        <v>57</v>
      </c>
    </row>
    <row r="27" spans="1:34">
      <c r="A27" s="155">
        <v>21</v>
      </c>
      <c r="B27" s="52" t="s">
        <v>61</v>
      </c>
      <c r="C27" s="61">
        <f t="shared" ref="C27:E27" si="18">C26/C7</f>
        <v>3.7299073791633802E-2</v>
      </c>
      <c r="D27" s="61">
        <f t="shared" ref="D27" si="19">D26/D7</f>
        <v>4.5606039449607678E-2</v>
      </c>
      <c r="E27" s="61">
        <f t="shared" si="18"/>
        <v>3.9327518894162306E-2</v>
      </c>
      <c r="F27" s="67"/>
      <c r="G27" s="67"/>
      <c r="H27" s="67"/>
      <c r="P27" s="52" t="s">
        <v>61</v>
      </c>
      <c r="AF27" s="52" t="s">
        <v>60</v>
      </c>
      <c r="AG27" s="52" t="s">
        <v>61</v>
      </c>
    </row>
    <row r="28" spans="1:34">
      <c r="F28" s="67"/>
      <c r="G28" s="67"/>
      <c r="H28" s="67"/>
      <c r="P28" s="52"/>
    </row>
    <row r="29" spans="1:34">
      <c r="A29" s="48" t="s">
        <v>62</v>
      </c>
      <c r="E29" s="49" t="s">
        <v>150</v>
      </c>
      <c r="F29" s="67"/>
      <c r="G29" s="67"/>
      <c r="H29" s="67"/>
      <c r="P29" s="52"/>
      <c r="AF29" s="48" t="s">
        <v>62</v>
      </c>
    </row>
    <row r="30" spans="1:34">
      <c r="A30" s="52" t="s">
        <v>67</v>
      </c>
      <c r="B30" s="55" t="s">
        <v>68</v>
      </c>
      <c r="C30" s="59"/>
      <c r="D30" s="59"/>
      <c r="E30" s="59"/>
      <c r="F30" s="67"/>
      <c r="G30" s="67"/>
      <c r="H30" s="67"/>
      <c r="J30" s="67"/>
      <c r="P30" s="55" t="s">
        <v>68</v>
      </c>
      <c r="AF30" s="52" t="s">
        <v>69</v>
      </c>
      <c r="AG30" s="55" t="s">
        <v>68</v>
      </c>
    </row>
    <row r="31" spans="1:34">
      <c r="A31" s="155">
        <v>1</v>
      </c>
      <c r="B31" s="57" t="s">
        <v>70</v>
      </c>
      <c r="C31" s="63">
        <f>销量!C8</f>
        <v>1300</v>
      </c>
      <c r="D31" s="63">
        <f>销量!D8</f>
        <v>420</v>
      </c>
      <c r="E31" s="59"/>
      <c r="F31" s="67"/>
      <c r="G31" s="67"/>
      <c r="H31" s="67"/>
      <c r="J31" s="67"/>
      <c r="P31" s="52" t="s">
        <v>70</v>
      </c>
      <c r="AF31" s="52" t="s">
        <v>20</v>
      </c>
      <c r="AG31" s="52" t="s">
        <v>70</v>
      </c>
    </row>
    <row r="32" spans="1:34">
      <c r="A32" s="155">
        <v>2</v>
      </c>
      <c r="B32" s="52" t="s">
        <v>151</v>
      </c>
      <c r="C32" s="54">
        <f>C9/C6</f>
        <v>1104.1505279999999</v>
      </c>
      <c r="D32" s="54">
        <f t="shared" ref="D32" si="20">D9/D6</f>
        <v>356.72555519999992</v>
      </c>
      <c r="E32" s="59"/>
      <c r="F32" s="67"/>
      <c r="G32" s="67"/>
      <c r="H32" s="67"/>
      <c r="I32" s="67"/>
      <c r="J32" s="67"/>
      <c r="K32" s="67"/>
      <c r="L32" s="67"/>
      <c r="AF32" s="52"/>
      <c r="AG32" s="52"/>
    </row>
    <row r="33" spans="1:33">
      <c r="A33" s="155">
        <v>3</v>
      </c>
      <c r="B33" s="57" t="s">
        <v>71</v>
      </c>
      <c r="C33" s="54">
        <f>材料成本!I19</f>
        <v>832.90863573044237</v>
      </c>
      <c r="D33" s="54">
        <f>材料成本!I20</f>
        <v>254.89855629548791</v>
      </c>
      <c r="E33" s="59"/>
      <c r="G33" s="67"/>
      <c r="H33" s="67"/>
      <c r="I33" s="67"/>
      <c r="J33" s="67"/>
      <c r="K33" s="67"/>
      <c r="L33" s="67"/>
      <c r="P33" s="52" t="s">
        <v>71</v>
      </c>
      <c r="AF33" s="52" t="s">
        <v>22</v>
      </c>
      <c r="AG33" s="52" t="s">
        <v>71</v>
      </c>
    </row>
    <row r="34" spans="1:33" ht="17.25" customHeight="1">
      <c r="A34" s="155">
        <v>4</v>
      </c>
      <c r="B34" s="52" t="s">
        <v>73</v>
      </c>
      <c r="C34" s="64">
        <f>C32-C33</f>
        <v>271.24189226955752</v>
      </c>
      <c r="D34" s="64">
        <f t="shared" ref="D34" si="21">D32-D33</f>
        <v>101.82699890451201</v>
      </c>
      <c r="E34" s="59"/>
      <c r="G34" s="67"/>
      <c r="H34" s="67"/>
      <c r="I34" s="67"/>
      <c r="J34" s="67"/>
      <c r="K34" s="67"/>
      <c r="L34" s="67"/>
      <c r="P34" s="52" t="s">
        <v>73</v>
      </c>
      <c r="AF34" s="52" t="s">
        <v>72</v>
      </c>
      <c r="AG34" s="52" t="s">
        <v>73</v>
      </c>
    </row>
    <row r="35" spans="1:33">
      <c r="A35" s="52" t="s">
        <v>69</v>
      </c>
      <c r="B35" s="55" t="s">
        <v>8</v>
      </c>
      <c r="C35" s="59"/>
      <c r="D35" s="59"/>
      <c r="E35" s="59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55" t="s">
        <v>8</v>
      </c>
      <c r="AF35" s="52" t="s">
        <v>75</v>
      </c>
      <c r="AG35" s="55" t="s">
        <v>8</v>
      </c>
    </row>
    <row r="36" spans="1:33">
      <c r="A36" s="155">
        <v>1</v>
      </c>
      <c r="B36" s="52" t="s">
        <v>76</v>
      </c>
      <c r="C36" s="58">
        <f>'2023年'!C36</f>
        <v>36.4</v>
      </c>
      <c r="D36" s="58">
        <f>'2023年'!D36</f>
        <v>11.76</v>
      </c>
      <c r="E36" s="63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52" t="s">
        <v>76</v>
      </c>
      <c r="AF36" s="52" t="s">
        <v>72</v>
      </c>
      <c r="AG36" s="52" t="s">
        <v>76</v>
      </c>
    </row>
    <row r="37" spans="1:33">
      <c r="A37" s="155">
        <v>2</v>
      </c>
      <c r="B37" s="52" t="s">
        <v>77</v>
      </c>
      <c r="C37" s="58">
        <f>'2023年'!C37</f>
        <v>14.299999999999999</v>
      </c>
      <c r="D37" s="58">
        <f>'2023年'!D37</f>
        <v>4.62</v>
      </c>
      <c r="E37" s="63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52" t="s">
        <v>77</v>
      </c>
      <c r="AF37" s="52" t="s">
        <v>25</v>
      </c>
      <c r="AG37" s="52" t="s">
        <v>77</v>
      </c>
    </row>
    <row r="38" spans="1:33">
      <c r="A38" s="155">
        <v>3</v>
      </c>
      <c r="B38" s="52" t="s">
        <v>78</v>
      </c>
      <c r="C38" s="58">
        <f>'2023年'!C38</f>
        <v>51.999999999999993</v>
      </c>
      <c r="D38" s="58">
        <f>'2023年'!D38</f>
        <v>16.799999999999997</v>
      </c>
      <c r="E38" s="63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52" t="s">
        <v>78</v>
      </c>
      <c r="AF38" s="52" t="s">
        <v>31</v>
      </c>
      <c r="AG38" s="52" t="s">
        <v>78</v>
      </c>
    </row>
    <row r="39" spans="1:33">
      <c r="A39" s="52" t="s">
        <v>75</v>
      </c>
      <c r="B39" s="55" t="s">
        <v>80</v>
      </c>
      <c r="C39" s="59"/>
      <c r="D39" s="59"/>
      <c r="E39" s="59"/>
      <c r="P39" s="55" t="s">
        <v>80</v>
      </c>
      <c r="AF39" s="52" t="s">
        <v>79</v>
      </c>
      <c r="AG39" s="55" t="s">
        <v>80</v>
      </c>
    </row>
    <row r="40" spans="1:33">
      <c r="A40" s="155">
        <v>1</v>
      </c>
      <c r="B40" s="52" t="s">
        <v>82</v>
      </c>
      <c r="C40" s="59">
        <f>C34-C36-C37-C38</f>
        <v>168.54189226955751</v>
      </c>
      <c r="D40" s="59">
        <f t="shared" ref="D40" si="22">D34-D36-D37-D38</f>
        <v>68.646998904512003</v>
      </c>
      <c r="E40" s="59"/>
      <c r="P40" s="52" t="s">
        <v>82</v>
      </c>
      <c r="AF40" s="52" t="s">
        <v>20</v>
      </c>
      <c r="AG40" s="52" t="s">
        <v>82</v>
      </c>
    </row>
    <row r="41" spans="1:33">
      <c r="A41" s="155">
        <v>2</v>
      </c>
      <c r="B41" s="52" t="s">
        <v>83</v>
      </c>
      <c r="C41" s="59"/>
      <c r="D41" s="59"/>
      <c r="E41" s="59"/>
      <c r="P41" s="52" t="s">
        <v>83</v>
      </c>
      <c r="AF41" s="52" t="s">
        <v>22</v>
      </c>
      <c r="AG41" s="52" t="s">
        <v>83</v>
      </c>
    </row>
    <row r="42" spans="1:33">
      <c r="A42" s="52" t="s">
        <v>79</v>
      </c>
      <c r="B42" s="55" t="s">
        <v>85</v>
      </c>
      <c r="C42" s="59"/>
      <c r="D42" s="59"/>
      <c r="E42" s="59"/>
      <c r="P42" s="55" t="s">
        <v>85</v>
      </c>
      <c r="AF42" s="52" t="s">
        <v>84</v>
      </c>
      <c r="AG42" s="55" t="s">
        <v>85</v>
      </c>
    </row>
    <row r="43" spans="1:33">
      <c r="A43" s="155">
        <v>1</v>
      </c>
      <c r="B43" s="60" t="s">
        <v>86</v>
      </c>
      <c r="C43" s="58">
        <f>'2023年'!C43</f>
        <v>39</v>
      </c>
      <c r="D43" s="58">
        <f>'2023年'!D43</f>
        <v>12.6</v>
      </c>
      <c r="E43" s="59"/>
      <c r="P43" s="52" t="s">
        <v>86</v>
      </c>
      <c r="AF43" s="52" t="s">
        <v>20</v>
      </c>
      <c r="AG43" s="52" t="s">
        <v>86</v>
      </c>
    </row>
    <row r="44" spans="1:33">
      <c r="A44" s="155">
        <v>2</v>
      </c>
      <c r="B44" s="60" t="s">
        <v>87</v>
      </c>
      <c r="C44" s="58">
        <f>'2023年'!C44</f>
        <v>9.1</v>
      </c>
      <c r="D44" s="58">
        <f>'2023年'!D44</f>
        <v>2.94</v>
      </c>
      <c r="E44" s="59"/>
      <c r="P44" s="52" t="s">
        <v>87</v>
      </c>
      <c r="AF44" s="52" t="s">
        <v>22</v>
      </c>
      <c r="AG44" s="52" t="s">
        <v>87</v>
      </c>
    </row>
    <row r="45" spans="1:33">
      <c r="A45" s="155">
        <v>3</v>
      </c>
      <c r="B45" s="60" t="s">
        <v>88</v>
      </c>
      <c r="C45" s="58">
        <f>'2023年'!C45</f>
        <v>20.8</v>
      </c>
      <c r="D45" s="58">
        <f>'2023年'!D45</f>
        <v>6.72</v>
      </c>
      <c r="E45" s="59"/>
      <c r="P45" s="52" t="s">
        <v>88</v>
      </c>
      <c r="AF45" s="52" t="s">
        <v>72</v>
      </c>
      <c r="AG45" s="52" t="s">
        <v>88</v>
      </c>
    </row>
    <row r="46" spans="1:33" s="47" customFormat="1">
      <c r="A46" s="155">
        <v>4</v>
      </c>
      <c r="B46" s="60" t="s">
        <v>89</v>
      </c>
      <c r="C46" s="65">
        <f>C21/C6</f>
        <v>10.75</v>
      </c>
      <c r="D46" s="65">
        <f t="shared" ref="D46" si="23">D21/D6</f>
        <v>10.75</v>
      </c>
      <c r="E46" s="65"/>
      <c r="P46" s="60" t="s">
        <v>91</v>
      </c>
      <c r="AF46" s="60" t="s">
        <v>28</v>
      </c>
      <c r="AG46" s="60" t="s">
        <v>91</v>
      </c>
    </row>
    <row r="47" spans="1:33" s="47" customFormat="1">
      <c r="A47" s="155">
        <v>5</v>
      </c>
      <c r="B47" s="60" t="s">
        <v>91</v>
      </c>
      <c r="C47" s="65">
        <f>'2023年'!C47</f>
        <v>27.689999999999998</v>
      </c>
      <c r="D47" s="65">
        <f>'2023年'!D47</f>
        <v>8.9459999999999997</v>
      </c>
      <c r="E47" s="65"/>
      <c r="P47" s="60" t="s">
        <v>91</v>
      </c>
      <c r="AF47" s="60" t="s">
        <v>28</v>
      </c>
      <c r="AG47" s="60" t="s">
        <v>91</v>
      </c>
    </row>
    <row r="48" spans="1:33">
      <c r="A48" s="52" t="s">
        <v>84</v>
      </c>
      <c r="B48" s="55" t="s">
        <v>102</v>
      </c>
      <c r="C48" s="59">
        <f>C40-C43-C44-C45-C47-C46</f>
        <v>61.201892269557518</v>
      </c>
      <c r="D48" s="59">
        <f t="shared" ref="D48" si="24">D40-D43-D44-D45-D47-D46</f>
        <v>26.690998904512007</v>
      </c>
      <c r="E48" s="59"/>
      <c r="P48" s="55" t="s">
        <v>102</v>
      </c>
      <c r="AF48" s="52" t="s">
        <v>101</v>
      </c>
      <c r="AG48" s="55" t="s">
        <v>102</v>
      </c>
    </row>
    <row r="51" spans="2:10">
      <c r="C51" s="66"/>
      <c r="D51" s="66"/>
    </row>
    <row r="54" spans="2:10">
      <c r="B54" s="67"/>
      <c r="C54" s="68"/>
      <c r="D54" s="68"/>
      <c r="E54" s="68"/>
      <c r="F54" s="67"/>
      <c r="G54" s="67"/>
      <c r="H54" s="67"/>
      <c r="I54" s="67"/>
      <c r="J54" s="67"/>
    </row>
    <row r="55" spans="2:10">
      <c r="B55" s="67"/>
      <c r="C55" s="68"/>
      <c r="D55" s="68"/>
      <c r="E55" s="68"/>
      <c r="F55" s="67"/>
      <c r="G55" s="67"/>
      <c r="H55" s="67"/>
      <c r="I55" s="67"/>
      <c r="J55" s="67"/>
    </row>
    <row r="56" spans="2:10">
      <c r="B56" s="67"/>
      <c r="C56" s="68"/>
      <c r="D56" s="68"/>
      <c r="E56" s="68"/>
      <c r="F56" s="67"/>
      <c r="G56" s="67"/>
      <c r="H56" s="67"/>
      <c r="I56" s="67"/>
      <c r="J56" s="67"/>
    </row>
    <row r="57" spans="2:10">
      <c r="B57" s="67"/>
      <c r="C57" s="68"/>
      <c r="D57" s="68"/>
      <c r="E57" s="68"/>
      <c r="F57" s="67"/>
      <c r="G57" s="67"/>
      <c r="H57" s="67"/>
      <c r="I57" s="67"/>
      <c r="J57" s="67"/>
    </row>
    <row r="58" spans="2:10">
      <c r="B58" s="67"/>
      <c r="C58" s="68"/>
      <c r="D58" s="68"/>
      <c r="E58" s="68"/>
      <c r="F58" s="67"/>
      <c r="G58" s="67"/>
      <c r="H58" s="67"/>
      <c r="I58" s="67"/>
      <c r="J58" s="67"/>
    </row>
    <row r="59" spans="2:10">
      <c r="B59" s="67"/>
      <c r="C59" s="68"/>
      <c r="D59" s="68"/>
      <c r="E59" s="68"/>
      <c r="F59" s="67"/>
      <c r="G59" s="67"/>
      <c r="H59" s="67"/>
      <c r="I59" s="67"/>
      <c r="J59" s="67"/>
    </row>
    <row r="60" spans="2:10">
      <c r="B60" s="67"/>
      <c r="C60" s="68"/>
      <c r="D60" s="68"/>
      <c r="E60" s="68"/>
      <c r="F60" s="67"/>
      <c r="G60" s="67"/>
      <c r="H60" s="67"/>
      <c r="I60" s="67"/>
      <c r="J60" s="67"/>
    </row>
    <row r="61" spans="2:10">
      <c r="B61" s="67"/>
      <c r="C61" s="68"/>
      <c r="D61" s="68"/>
      <c r="E61" s="68"/>
      <c r="F61" s="67"/>
      <c r="G61" s="67"/>
      <c r="H61" s="67"/>
      <c r="I61" s="67"/>
      <c r="J61" s="67"/>
    </row>
    <row r="62" spans="2:10">
      <c r="B62" s="67"/>
      <c r="C62" s="68"/>
      <c r="D62" s="68"/>
      <c r="E62" s="68"/>
      <c r="F62" s="67"/>
      <c r="G62" s="67"/>
      <c r="H62" s="67"/>
      <c r="I62" s="67"/>
      <c r="J62" s="67"/>
    </row>
    <row r="63" spans="2:10">
      <c r="B63" s="67"/>
      <c r="C63" s="68"/>
      <c r="D63" s="68"/>
      <c r="E63" s="68"/>
      <c r="F63" s="67"/>
      <c r="G63" s="67"/>
      <c r="H63" s="67"/>
      <c r="I63" s="67"/>
      <c r="J63" s="67"/>
    </row>
    <row r="64" spans="2:10">
      <c r="B64" s="67"/>
      <c r="C64" s="68"/>
      <c r="D64" s="68"/>
      <c r="E64" s="68"/>
      <c r="F64" s="67"/>
      <c r="G64" s="67"/>
      <c r="H64" s="67"/>
      <c r="I64" s="67"/>
      <c r="J64" s="67"/>
    </row>
    <row r="65" spans="2:10">
      <c r="B65" s="67"/>
      <c r="C65" s="68"/>
      <c r="D65" s="68"/>
      <c r="E65" s="68"/>
      <c r="F65" s="67"/>
      <c r="G65" s="67"/>
      <c r="H65" s="67"/>
      <c r="I65" s="67"/>
      <c r="J65" s="67"/>
    </row>
    <row r="66" spans="2:10">
      <c r="B66" s="67"/>
      <c r="C66" s="68"/>
      <c r="D66" s="68"/>
      <c r="E66" s="68"/>
      <c r="F66" s="67"/>
      <c r="G66" s="67"/>
      <c r="H66" s="67"/>
      <c r="I66" s="67"/>
      <c r="J66" s="67"/>
    </row>
    <row r="67" spans="2:10">
      <c r="B67" s="67"/>
      <c r="C67" s="68"/>
      <c r="D67" s="68"/>
      <c r="E67" s="68"/>
      <c r="F67" s="67"/>
    </row>
    <row r="68" spans="2:10">
      <c r="B68" s="67"/>
      <c r="C68" s="68"/>
      <c r="D68" s="68"/>
      <c r="E68" s="68"/>
      <c r="F68" s="67"/>
    </row>
    <row r="69" spans="2:10">
      <c r="B69" s="67"/>
      <c r="C69" s="68"/>
      <c r="D69" s="68"/>
      <c r="E69" s="68"/>
      <c r="F69" s="67"/>
    </row>
    <row r="70" spans="2:10">
      <c r="B70" s="67"/>
      <c r="C70" s="68"/>
      <c r="D70" s="68"/>
      <c r="E70" s="68"/>
      <c r="F70" s="67"/>
    </row>
    <row r="71" spans="2:10">
      <c r="B71" s="67"/>
      <c r="C71" s="68"/>
      <c r="D71" s="68"/>
      <c r="E71" s="68"/>
      <c r="F71" s="67"/>
    </row>
    <row r="72" spans="2:10">
      <c r="B72" s="67"/>
      <c r="C72" s="68"/>
      <c r="D72" s="68"/>
      <c r="E72" s="68"/>
      <c r="F72" s="67"/>
    </row>
    <row r="73" spans="2:10">
      <c r="B73" s="67"/>
      <c r="C73" s="68"/>
      <c r="D73" s="68"/>
      <c r="E73" s="68"/>
      <c r="F73" s="67"/>
    </row>
    <row r="74" spans="2:10">
      <c r="B74" s="67"/>
      <c r="C74" s="68"/>
      <c r="D74" s="68"/>
      <c r="E74" s="68"/>
      <c r="F74" s="67"/>
    </row>
  </sheetData>
  <mergeCells count="8">
    <mergeCell ref="A1:B1"/>
    <mergeCell ref="C1:E1"/>
    <mergeCell ref="A2:B2"/>
    <mergeCell ref="C2:E2"/>
    <mergeCell ref="A3:B3"/>
    <mergeCell ref="E3:E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pane xSplit="6" ySplit="2" topLeftCell="G9" activePane="bottomRight" state="frozen"/>
      <selection pane="topRight"/>
      <selection pane="bottomLeft"/>
      <selection pane="bottomRight" activeCell="H20" sqref="H20"/>
    </sheetView>
  </sheetViews>
  <sheetFormatPr defaultColWidth="9" defaultRowHeight="13.5"/>
  <cols>
    <col min="1" max="1" width="20.625" customWidth="1"/>
    <col min="2" max="2" width="14.25" style="26" customWidth="1"/>
    <col min="3" max="3" width="13.125" customWidth="1"/>
    <col min="4" max="6" width="14.5" customWidth="1"/>
    <col min="7" max="7" width="13.75" customWidth="1"/>
    <col min="8" max="8" width="14.875" customWidth="1"/>
    <col min="9" max="9" width="13.5" customWidth="1"/>
    <col min="10" max="10" width="10.75" customWidth="1"/>
    <col min="24" max="24" width="11.125" customWidth="1"/>
  </cols>
  <sheetData>
    <row r="1" spans="1:8" ht="20.25">
      <c r="A1" s="246" t="s">
        <v>152</v>
      </c>
      <c r="B1" s="246"/>
      <c r="C1" s="246"/>
      <c r="E1" s="247" t="s">
        <v>260</v>
      </c>
      <c r="F1" s="248"/>
      <c r="G1" s="248"/>
      <c r="H1" s="249"/>
    </row>
    <row r="2" spans="1:8" ht="23.45" customHeight="1">
      <c r="A2" s="27" t="s">
        <v>1</v>
      </c>
      <c r="B2" s="28" t="s">
        <v>153</v>
      </c>
      <c r="C2" s="29" t="s">
        <v>154</v>
      </c>
      <c r="E2" s="1" t="s">
        <v>155</v>
      </c>
      <c r="F2" s="1" t="s">
        <v>1</v>
      </c>
      <c r="G2" s="30" t="s">
        <v>156</v>
      </c>
      <c r="H2" s="1" t="s">
        <v>154</v>
      </c>
    </row>
    <row r="3" spans="1:8" ht="15.75" customHeight="1">
      <c r="A3" s="31" t="s">
        <v>157</v>
      </c>
      <c r="B3" s="32"/>
      <c r="C3" s="33"/>
      <c r="E3" s="240" t="s">
        <v>158</v>
      </c>
      <c r="F3" s="2" t="s">
        <v>159</v>
      </c>
      <c r="G3" s="34"/>
      <c r="H3" s="2"/>
    </row>
    <row r="4" spans="1:8" ht="15.75" customHeight="1">
      <c r="A4" s="31" t="s">
        <v>160</v>
      </c>
      <c r="B4" s="32"/>
      <c r="C4" s="35"/>
      <c r="E4" s="241"/>
      <c r="F4" s="2" t="s">
        <v>161</v>
      </c>
      <c r="G4" s="164">
        <v>4</v>
      </c>
      <c r="H4" s="190"/>
    </row>
    <row r="5" spans="1:8" ht="15.75" customHeight="1">
      <c r="A5" s="31" t="s">
        <v>162</v>
      </c>
      <c r="B5" s="36">
        <f>SUM(G3:G4)</f>
        <v>4</v>
      </c>
      <c r="C5" s="33"/>
      <c r="E5" s="242" t="s">
        <v>163</v>
      </c>
      <c r="F5" s="37" t="s">
        <v>164</v>
      </c>
      <c r="G5" s="164" t="s">
        <v>261</v>
      </c>
      <c r="H5" s="195"/>
    </row>
    <row r="6" spans="1:8" ht="15.75" customHeight="1">
      <c r="A6" s="31" t="s">
        <v>165</v>
      </c>
      <c r="B6" s="32"/>
      <c r="C6" s="33"/>
      <c r="E6" s="243"/>
      <c r="F6" s="37" t="s">
        <v>166</v>
      </c>
      <c r="G6" s="164"/>
      <c r="H6" s="195"/>
    </row>
    <row r="7" spans="1:8" ht="15.75" customHeight="1">
      <c r="A7" s="38" t="s">
        <v>167</v>
      </c>
      <c r="B7" s="36">
        <f>SUM(B3:B6)</f>
        <v>4</v>
      </c>
      <c r="C7" s="33"/>
      <c r="E7" s="243"/>
      <c r="F7" s="37" t="s">
        <v>168</v>
      </c>
      <c r="G7" s="164"/>
      <c r="H7" s="195"/>
    </row>
    <row r="8" spans="1:8" ht="15.75" customHeight="1">
      <c r="A8" s="39" t="s">
        <v>169</v>
      </c>
      <c r="B8" s="36">
        <f>SUM(G5:G12)</f>
        <v>13.5</v>
      </c>
      <c r="C8" s="40"/>
      <c r="E8" s="243"/>
      <c r="F8" s="37" t="s">
        <v>170</v>
      </c>
      <c r="G8" s="164"/>
      <c r="H8" s="195"/>
    </row>
    <row r="9" spans="1:8" ht="15.75" customHeight="1">
      <c r="A9" s="31" t="s">
        <v>171</v>
      </c>
      <c r="B9" s="36">
        <f>SUM(G13:G21)</f>
        <v>43</v>
      </c>
      <c r="C9" s="33"/>
      <c r="E9" s="243"/>
      <c r="F9" s="2" t="s">
        <v>172</v>
      </c>
      <c r="G9" s="164">
        <v>6.5</v>
      </c>
      <c r="H9" s="195"/>
    </row>
    <row r="10" spans="1:8" ht="15.75" customHeight="1">
      <c r="A10" s="35" t="s">
        <v>16</v>
      </c>
      <c r="B10" s="36">
        <f>B7+B8+B9</f>
        <v>60.5</v>
      </c>
      <c r="C10" s="33"/>
      <c r="E10" s="243"/>
      <c r="F10" s="2" t="s">
        <v>173</v>
      </c>
      <c r="G10" s="202">
        <v>3</v>
      </c>
      <c r="H10" s="195"/>
    </row>
    <row r="11" spans="1:8" ht="15.75" customHeight="1">
      <c r="E11" s="243"/>
      <c r="F11" s="2" t="s">
        <v>174</v>
      </c>
      <c r="G11" s="202">
        <v>4</v>
      </c>
      <c r="H11" s="195"/>
    </row>
    <row r="12" spans="1:8" ht="15.75" customHeight="1">
      <c r="E12" s="244"/>
      <c r="F12" s="2" t="s">
        <v>175</v>
      </c>
      <c r="G12" s="164"/>
      <c r="H12" s="195"/>
    </row>
    <row r="13" spans="1:8" ht="15.75" customHeight="1">
      <c r="E13" s="240" t="s">
        <v>48</v>
      </c>
      <c r="F13" s="2" t="s">
        <v>176</v>
      </c>
      <c r="G13" s="164">
        <v>10</v>
      </c>
      <c r="H13" s="195"/>
    </row>
    <row r="14" spans="1:8" ht="15.75" customHeight="1">
      <c r="E14" s="241"/>
      <c r="F14" s="2" t="s">
        <v>177</v>
      </c>
      <c r="G14" s="164">
        <v>3</v>
      </c>
      <c r="H14" s="190"/>
    </row>
    <row r="15" spans="1:8" ht="15.75" customHeight="1">
      <c r="E15" s="241"/>
      <c r="F15" s="2" t="s">
        <v>178</v>
      </c>
      <c r="G15" s="164"/>
      <c r="H15" s="190"/>
    </row>
    <row r="16" spans="1:8" ht="15.75" customHeight="1">
      <c r="E16" s="241"/>
      <c r="F16" s="2" t="s">
        <v>179</v>
      </c>
      <c r="G16" s="164">
        <v>5</v>
      </c>
      <c r="H16" s="190"/>
    </row>
    <row r="17" spans="1:10" ht="15.75" customHeight="1">
      <c r="E17" s="241"/>
      <c r="F17" s="2" t="s">
        <v>180</v>
      </c>
      <c r="G17" s="164">
        <v>1</v>
      </c>
      <c r="H17" s="190"/>
    </row>
    <row r="18" spans="1:10" ht="15.75" customHeight="1">
      <c r="E18" s="241"/>
      <c r="F18" s="2" t="s">
        <v>181</v>
      </c>
      <c r="G18" s="164">
        <v>16</v>
      </c>
      <c r="H18" s="196"/>
    </row>
    <row r="19" spans="1:10" ht="15.75" customHeight="1">
      <c r="E19" s="241"/>
      <c r="F19" s="2" t="s">
        <v>182</v>
      </c>
      <c r="G19" s="203">
        <v>5</v>
      </c>
      <c r="H19" s="197"/>
    </row>
    <row r="20" spans="1:10" ht="15.75" customHeight="1">
      <c r="E20" s="241"/>
      <c r="F20" s="2" t="s">
        <v>183</v>
      </c>
      <c r="G20" s="164">
        <v>3</v>
      </c>
      <c r="H20" s="190"/>
    </row>
    <row r="21" spans="1:10" ht="15.75" customHeight="1">
      <c r="E21" s="245"/>
      <c r="F21" s="2" t="s">
        <v>130</v>
      </c>
      <c r="G21" s="164"/>
      <c r="H21" s="182"/>
    </row>
    <row r="22" spans="1:10" ht="15.75" customHeight="1">
      <c r="E22" s="1" t="s">
        <v>16</v>
      </c>
      <c r="F22" s="2"/>
      <c r="G22" s="30">
        <f>SUM(G3:G21)</f>
        <v>60.5</v>
      </c>
      <c r="H22" s="2"/>
    </row>
    <row r="23" spans="1:10" ht="30.75" customHeight="1">
      <c r="E23" s="236" t="s">
        <v>184</v>
      </c>
      <c r="F23" s="236"/>
      <c r="G23" s="236"/>
      <c r="H23" s="236"/>
    </row>
    <row r="25" spans="1:10" ht="17.25">
      <c r="A25" s="18" t="s">
        <v>1</v>
      </c>
      <c r="B25" s="18" t="s">
        <v>153</v>
      </c>
      <c r="C25" s="18" t="s">
        <v>185</v>
      </c>
      <c r="D25" s="165" t="s">
        <v>258</v>
      </c>
      <c r="E25" s="199" t="s">
        <v>186</v>
      </c>
      <c r="F25" s="199" t="s">
        <v>187</v>
      </c>
      <c r="G25" s="199" t="s">
        <v>232</v>
      </c>
      <c r="H25" s="199" t="s">
        <v>259</v>
      </c>
      <c r="I25" s="21" t="s">
        <v>16</v>
      </c>
      <c r="J25" s="44" t="s">
        <v>188</v>
      </c>
    </row>
    <row r="26" spans="1:10" ht="16.5">
      <c r="A26" s="41" t="s">
        <v>148</v>
      </c>
      <c r="B26" s="42">
        <f>(B5+B8)*10000</f>
        <v>175000</v>
      </c>
      <c r="C26" s="43">
        <v>0.05</v>
      </c>
      <c r="D26" s="12">
        <f>B26*(1-C26)/5</f>
        <v>33250</v>
      </c>
      <c r="E26" s="12">
        <f t="shared" ref="E26:H27" si="0">D26</f>
        <v>33250</v>
      </c>
      <c r="F26" s="12">
        <f t="shared" si="0"/>
        <v>33250</v>
      </c>
      <c r="G26" s="12">
        <f t="shared" si="0"/>
        <v>33250</v>
      </c>
      <c r="H26" s="12">
        <f>G26</f>
        <v>33250</v>
      </c>
      <c r="I26" s="12">
        <f>SUM(D26:H26)</f>
        <v>166250</v>
      </c>
      <c r="J26" s="12">
        <f>B26*0.05</f>
        <v>8750</v>
      </c>
    </row>
    <row r="27" spans="1:10" ht="16.5">
      <c r="A27" s="41" t="s">
        <v>189</v>
      </c>
      <c r="B27" s="42">
        <f>B9*10000</f>
        <v>430000</v>
      </c>
      <c r="C27" s="12"/>
      <c r="D27" s="12">
        <f>B27/5</f>
        <v>86000</v>
      </c>
      <c r="E27" s="12">
        <f t="shared" si="0"/>
        <v>86000</v>
      </c>
      <c r="F27" s="12">
        <f t="shared" si="0"/>
        <v>86000</v>
      </c>
      <c r="G27" s="12">
        <f t="shared" si="0"/>
        <v>86000</v>
      </c>
      <c r="H27" s="12">
        <f t="shared" si="0"/>
        <v>86000</v>
      </c>
      <c r="I27" s="12">
        <f>SUM(D27:H27)</f>
        <v>430000</v>
      </c>
      <c r="J27" s="12"/>
    </row>
    <row r="28" spans="1:10" ht="16.5">
      <c r="A28" s="237" t="s">
        <v>110</v>
      </c>
      <c r="B28" s="238"/>
      <c r="C28" s="239"/>
      <c r="D28" s="12">
        <f>SUM(D26:D27)</f>
        <v>119250</v>
      </c>
      <c r="E28" s="12">
        <f t="shared" ref="E28:H28" si="1">SUM(E26:E27)</f>
        <v>119250</v>
      </c>
      <c r="F28" s="12">
        <f t="shared" si="1"/>
        <v>119250</v>
      </c>
      <c r="G28" s="12">
        <f t="shared" si="1"/>
        <v>119250</v>
      </c>
      <c r="H28" s="12">
        <f t="shared" si="1"/>
        <v>119250</v>
      </c>
      <c r="I28" s="45"/>
      <c r="J28" s="45"/>
    </row>
    <row r="40" spans="9:9">
      <c r="I40" s="189"/>
    </row>
    <row r="41" spans="9:9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3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7</vt:i4>
      </vt:variant>
    </vt:vector>
  </HeadingPairs>
  <TitlesOfParts>
    <vt:vector size="21" baseType="lpstr">
      <vt:lpstr>假设条件</vt:lpstr>
      <vt:lpstr>损益表</vt:lpstr>
      <vt:lpstr>现金</vt:lpstr>
      <vt:lpstr>2023年</vt:lpstr>
      <vt:lpstr>2024年</vt:lpstr>
      <vt:lpstr>2025年</vt:lpstr>
      <vt:lpstr>2026年</vt:lpstr>
      <vt:lpstr>2027年</vt:lpstr>
      <vt:lpstr>项目投资</vt:lpstr>
      <vt:lpstr>销量</vt:lpstr>
      <vt:lpstr>材料成本</vt:lpstr>
      <vt:lpstr>其他</vt:lpstr>
      <vt:lpstr>标准成本</vt:lpstr>
      <vt:lpstr>附加值</vt:lpstr>
      <vt:lpstr>'2023年'!Print_Area</vt:lpstr>
      <vt:lpstr>'2024年'!Print_Area</vt:lpstr>
      <vt:lpstr>'2025年'!Print_Area</vt:lpstr>
      <vt:lpstr>'2026年'!Print_Area</vt:lpstr>
      <vt:lpstr>'2027年'!Print_Area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zzf</cp:lastModifiedBy>
  <dcterms:created xsi:type="dcterms:W3CDTF">2006-09-13T11:21:00Z</dcterms:created>
  <dcterms:modified xsi:type="dcterms:W3CDTF">2022-11-22T03:24:30Z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