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黄骅恒伟\2022.11.30\"/>
    </mc:Choice>
  </mc:AlternateContent>
  <bookViews>
    <workbookView xWindow="-105" yWindow="-105" windowWidth="23250" windowHeight="12720"/>
  </bookViews>
  <sheets>
    <sheet name="物料及工装采购价格审批表 （恒伟五金K1)" sheetId="2" r:id="rId1"/>
    <sheet name="K1靠背成本核算" sheetId="3" r:id="rId2"/>
  </sheets>
  <externalReferences>
    <externalReference r:id="rId3"/>
  </externalReferences>
  <definedNames>
    <definedName name="_xlnm._FilterDatabase" localSheetId="0" hidden="1">'物料及工装采购价格审批表 （恒伟五金K1)'!$A$3:$M$26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2" i="2" l="1"/>
  <c r="R21" i="2"/>
  <c r="R20" i="2"/>
  <c r="R19" i="2"/>
  <c r="R18" i="2"/>
  <c r="R17" i="2"/>
  <c r="R16" i="2"/>
  <c r="R15" i="2"/>
  <c r="R14" i="2"/>
  <c r="R12" i="2"/>
  <c r="R11" i="2"/>
  <c r="R10" i="2"/>
  <c r="R9" i="2"/>
  <c r="R8" i="2"/>
  <c r="R7" i="2"/>
  <c r="R6" i="2"/>
  <c r="R5" i="2"/>
  <c r="R4" i="2"/>
  <c r="M13" i="2" l="1"/>
  <c r="R13" i="2" s="1"/>
  <c r="S5" i="2"/>
  <c r="S6" i="2"/>
  <c r="S7" i="2"/>
  <c r="S8" i="2"/>
  <c r="S9" i="2"/>
  <c r="S10" i="2"/>
  <c r="S11" i="2"/>
  <c r="S12" i="2"/>
  <c r="S14" i="2"/>
  <c r="S15" i="2"/>
  <c r="S16" i="2"/>
  <c r="S17" i="2"/>
  <c r="S18" i="2"/>
  <c r="S19" i="2"/>
  <c r="S20" i="2"/>
  <c r="S21" i="2"/>
  <c r="S22" i="2"/>
  <c r="S4" i="2"/>
  <c r="S13" i="2"/>
  <c r="Q5" i="2"/>
  <c r="Q6" i="2"/>
  <c r="Q7" i="2"/>
  <c r="Q14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4" i="2"/>
  <c r="H14" i="2"/>
  <c r="H15" i="2"/>
  <c r="Q15" i="2" s="1"/>
  <c r="H16" i="2"/>
  <c r="Q16" i="2" s="1"/>
  <c r="H13" i="2"/>
  <c r="Q13" i="2" s="1"/>
  <c r="H12" i="2"/>
  <c r="Q12" i="2" s="1"/>
  <c r="V212" i="3" l="1"/>
  <c r="T212" i="3"/>
  <c r="T211" i="3"/>
  <c r="V211" i="3" s="1"/>
  <c r="V210" i="3"/>
  <c r="V209" i="3"/>
  <c r="J209" i="3"/>
  <c r="N209" i="3" s="1"/>
  <c r="P209" i="3" s="1"/>
  <c r="I209" i="3"/>
  <c r="V208" i="3"/>
  <c r="V207" i="3"/>
  <c r="N207" i="3"/>
  <c r="J207" i="3"/>
  <c r="I207" i="3"/>
  <c r="V206" i="3"/>
  <c r="V205" i="3"/>
  <c r="P205" i="3"/>
  <c r="J205" i="3"/>
  <c r="I205" i="3"/>
  <c r="N205" i="3" s="1"/>
  <c r="V204" i="3"/>
  <c r="I204" i="3"/>
  <c r="N204" i="3" s="1"/>
  <c r="P204" i="3" s="1"/>
  <c r="V203" i="3"/>
  <c r="N203" i="3"/>
  <c r="L203" i="3"/>
  <c r="Q203" i="3" s="1"/>
  <c r="I203" i="3"/>
  <c r="V202" i="3"/>
  <c r="Q202" i="3"/>
  <c r="L202" i="3"/>
  <c r="I202" i="3"/>
  <c r="N202" i="3" s="1"/>
  <c r="V201" i="3"/>
  <c r="V200" i="3"/>
  <c r="N200" i="3"/>
  <c r="P200" i="3" s="1"/>
  <c r="Q200" i="3" s="1"/>
  <c r="V199" i="3"/>
  <c r="V198" i="3"/>
  <c r="V197" i="3"/>
  <c r="Q197" i="3"/>
  <c r="I197" i="3"/>
  <c r="N197" i="3" s="1"/>
  <c r="P197" i="3" s="1"/>
  <c r="V196" i="3"/>
  <c r="V195" i="3"/>
  <c r="V194" i="3"/>
  <c r="N194" i="3"/>
  <c r="I194" i="3"/>
  <c r="V193" i="3"/>
  <c r="V192" i="3"/>
  <c r="N192" i="3"/>
  <c r="J192" i="3"/>
  <c r="I192" i="3"/>
  <c r="V191" i="3"/>
  <c r="V190" i="3"/>
  <c r="P190" i="3"/>
  <c r="J190" i="3"/>
  <c r="I190" i="3"/>
  <c r="N190" i="3" s="1"/>
  <c r="V189" i="3"/>
  <c r="V188" i="3"/>
  <c r="J188" i="3"/>
  <c r="N188" i="3" s="1"/>
  <c r="P188" i="3" s="1"/>
  <c r="I188" i="3"/>
  <c r="V187" i="3"/>
  <c r="V186" i="3"/>
  <c r="N186" i="3"/>
  <c r="I186" i="3"/>
  <c r="V185" i="3"/>
  <c r="V184" i="3"/>
  <c r="N184" i="3"/>
  <c r="J184" i="3"/>
  <c r="I184" i="3"/>
  <c r="V183" i="3"/>
  <c r="V182" i="3"/>
  <c r="N182" i="3"/>
  <c r="J182" i="3"/>
  <c r="I182" i="3"/>
  <c r="T180" i="3"/>
  <c r="V180" i="3" s="1"/>
  <c r="V179" i="3"/>
  <c r="T179" i="3"/>
  <c r="V178" i="3"/>
  <c r="V177" i="3"/>
  <c r="V176" i="3"/>
  <c r="P176" i="3"/>
  <c r="J176" i="3"/>
  <c r="I176" i="3"/>
  <c r="N176" i="3" s="1"/>
  <c r="V175" i="3"/>
  <c r="V174" i="3"/>
  <c r="J174" i="3"/>
  <c r="N174" i="3" s="1"/>
  <c r="P174" i="3" s="1"/>
  <c r="I174" i="3"/>
  <c r="V173" i="3"/>
  <c r="V172" i="3"/>
  <c r="N172" i="3"/>
  <c r="J172" i="3"/>
  <c r="I172" i="3"/>
  <c r="V171" i="3"/>
  <c r="V170" i="3"/>
  <c r="P170" i="3"/>
  <c r="J170" i="3"/>
  <c r="I170" i="3"/>
  <c r="N170" i="3" s="1"/>
  <c r="V169" i="3"/>
  <c r="P169" i="3"/>
  <c r="I169" i="3"/>
  <c r="N169" i="3" s="1"/>
  <c r="V168" i="3"/>
  <c r="N168" i="3"/>
  <c r="L168" i="3"/>
  <c r="Q168" i="3" s="1"/>
  <c r="I168" i="3"/>
  <c r="V167" i="3"/>
  <c r="L167" i="3"/>
  <c r="I167" i="3"/>
  <c r="N167" i="3" s="1"/>
  <c r="Q167" i="3" s="1"/>
  <c r="V166" i="3"/>
  <c r="V165" i="3"/>
  <c r="Q165" i="3"/>
  <c r="N165" i="3"/>
  <c r="P165" i="3" s="1"/>
  <c r="V164" i="3"/>
  <c r="V163" i="3"/>
  <c r="V162" i="3"/>
  <c r="I162" i="3"/>
  <c r="N162" i="3" s="1"/>
  <c r="P162" i="3" s="1"/>
  <c r="V161" i="3"/>
  <c r="V160" i="3"/>
  <c r="V159" i="3"/>
  <c r="N159" i="3"/>
  <c r="I159" i="3"/>
  <c r="V158" i="3"/>
  <c r="V157" i="3"/>
  <c r="N157" i="3"/>
  <c r="J157" i="3"/>
  <c r="I157" i="3"/>
  <c r="V156" i="3"/>
  <c r="V155" i="3"/>
  <c r="J155" i="3"/>
  <c r="I155" i="3"/>
  <c r="N155" i="3" s="1"/>
  <c r="V154" i="3"/>
  <c r="V153" i="3"/>
  <c r="Q153" i="3"/>
  <c r="J153" i="3"/>
  <c r="N153" i="3" s="1"/>
  <c r="P153" i="3" s="1"/>
  <c r="I153" i="3"/>
  <c r="V152" i="3"/>
  <c r="V151" i="3"/>
  <c r="N151" i="3"/>
  <c r="I151" i="3"/>
  <c r="V150" i="3"/>
  <c r="V149" i="3"/>
  <c r="N149" i="3"/>
  <c r="J149" i="3"/>
  <c r="I149" i="3"/>
  <c r="V148" i="3"/>
  <c r="V147" i="3"/>
  <c r="N147" i="3"/>
  <c r="J147" i="3"/>
  <c r="I147" i="3"/>
  <c r="T145" i="3"/>
  <c r="V145" i="3" s="1"/>
  <c r="V144" i="3"/>
  <c r="T143" i="3"/>
  <c r="V143" i="3" s="1"/>
  <c r="V142" i="3"/>
  <c r="V141" i="3"/>
  <c r="P141" i="3"/>
  <c r="Q141" i="3" s="1"/>
  <c r="N141" i="3"/>
  <c r="V140" i="3"/>
  <c r="V139" i="3"/>
  <c r="V138" i="3"/>
  <c r="P138" i="3"/>
  <c r="J138" i="3"/>
  <c r="I138" i="3"/>
  <c r="N138" i="3" s="1"/>
  <c r="V137" i="3"/>
  <c r="P137" i="3"/>
  <c r="J137" i="3"/>
  <c r="I137" i="3"/>
  <c r="N137" i="3" s="1"/>
  <c r="V136" i="3"/>
  <c r="P136" i="3"/>
  <c r="N136" i="3"/>
  <c r="L136" i="3"/>
  <c r="Q136" i="3" s="1"/>
  <c r="V135" i="3"/>
  <c r="N135" i="3"/>
  <c r="I135" i="3"/>
  <c r="V134" i="3"/>
  <c r="Q134" i="3"/>
  <c r="V133" i="3"/>
  <c r="V132" i="3"/>
  <c r="V131" i="3"/>
  <c r="N131" i="3"/>
  <c r="J131" i="3"/>
  <c r="I131" i="3"/>
  <c r="V130" i="3"/>
  <c r="V129" i="3"/>
  <c r="V128" i="3"/>
  <c r="Q128" i="3"/>
  <c r="N128" i="3"/>
  <c r="P128" i="3" s="1"/>
  <c r="V127" i="3"/>
  <c r="N127" i="3"/>
  <c r="P127" i="3" s="1"/>
  <c r="L127" i="3"/>
  <c r="V126" i="3"/>
  <c r="Q126" i="3"/>
  <c r="V125" i="3"/>
  <c r="P125" i="3"/>
  <c r="J125" i="3"/>
  <c r="I125" i="3"/>
  <c r="N125" i="3" s="1"/>
  <c r="V124" i="3"/>
  <c r="V123" i="3"/>
  <c r="V122" i="3"/>
  <c r="N122" i="3"/>
  <c r="J122" i="3"/>
  <c r="I122" i="3"/>
  <c r="V121" i="3"/>
  <c r="V120" i="3"/>
  <c r="V146" i="3" s="1"/>
  <c r="N120" i="3"/>
  <c r="T118" i="3"/>
  <c r="V118" i="3" s="1"/>
  <c r="V117" i="3"/>
  <c r="T116" i="3"/>
  <c r="V116" i="3" s="1"/>
  <c r="V115" i="3"/>
  <c r="V114" i="3"/>
  <c r="V113" i="3"/>
  <c r="N113" i="3"/>
  <c r="J113" i="3"/>
  <c r="I113" i="3"/>
  <c r="V112" i="3"/>
  <c r="N112" i="3"/>
  <c r="J112" i="3"/>
  <c r="I112" i="3"/>
  <c r="V111" i="3"/>
  <c r="N111" i="3"/>
  <c r="P111" i="3" s="1"/>
  <c r="L111" i="3"/>
  <c r="Q111" i="3" s="1"/>
  <c r="V110" i="3"/>
  <c r="I110" i="3"/>
  <c r="N110" i="3" s="1"/>
  <c r="P110" i="3" s="1"/>
  <c r="V109" i="3"/>
  <c r="Q109" i="3"/>
  <c r="V108" i="3"/>
  <c r="V107" i="3"/>
  <c r="V106" i="3"/>
  <c r="Q106" i="3"/>
  <c r="J106" i="3"/>
  <c r="N106" i="3" s="1"/>
  <c r="P106" i="3" s="1"/>
  <c r="I106" i="3"/>
  <c r="V105" i="3"/>
  <c r="V104" i="3"/>
  <c r="N104" i="3"/>
  <c r="V103" i="3"/>
  <c r="P103" i="3"/>
  <c r="N103" i="3"/>
  <c r="L103" i="3"/>
  <c r="Q103" i="3" s="1"/>
  <c r="V102" i="3"/>
  <c r="Q102" i="3"/>
  <c r="V101" i="3"/>
  <c r="J101" i="3"/>
  <c r="N101" i="3" s="1"/>
  <c r="P101" i="3" s="1"/>
  <c r="I101" i="3"/>
  <c r="V100" i="3"/>
  <c r="V99" i="3"/>
  <c r="V119" i="3" s="1"/>
  <c r="V98" i="3"/>
  <c r="J98" i="3"/>
  <c r="I98" i="3"/>
  <c r="N98" i="3" s="1"/>
  <c r="P98" i="3" s="1"/>
  <c r="V97" i="3"/>
  <c r="V96" i="3"/>
  <c r="P96" i="3"/>
  <c r="Q96" i="3" s="1"/>
  <c r="N96" i="3"/>
  <c r="T94" i="3"/>
  <c r="V94" i="3" s="1"/>
  <c r="T93" i="3"/>
  <c r="V93" i="3" s="1"/>
  <c r="V92" i="3"/>
  <c r="V91" i="3"/>
  <c r="P91" i="3"/>
  <c r="J91" i="3"/>
  <c r="I91" i="3"/>
  <c r="N91" i="3" s="1"/>
  <c r="V90" i="3"/>
  <c r="V89" i="3"/>
  <c r="J89" i="3"/>
  <c r="N89" i="3" s="1"/>
  <c r="P89" i="3" s="1"/>
  <c r="I89" i="3"/>
  <c r="V88" i="3"/>
  <c r="V87" i="3"/>
  <c r="N87" i="3"/>
  <c r="J87" i="3"/>
  <c r="I87" i="3"/>
  <c r="V86" i="3"/>
  <c r="N86" i="3"/>
  <c r="I86" i="3"/>
  <c r="V85" i="3"/>
  <c r="L85" i="3"/>
  <c r="I85" i="3"/>
  <c r="N85" i="3" s="1"/>
  <c r="Q85" i="3" s="1"/>
  <c r="V84" i="3"/>
  <c r="N84" i="3"/>
  <c r="Q84" i="3" s="1"/>
  <c r="L84" i="3"/>
  <c r="I84" i="3"/>
  <c r="V83" i="3"/>
  <c r="V82" i="3"/>
  <c r="P82" i="3"/>
  <c r="Q82" i="3" s="1"/>
  <c r="V81" i="3"/>
  <c r="V80" i="3"/>
  <c r="N80" i="3"/>
  <c r="P80" i="3" s="1"/>
  <c r="Q80" i="3" s="1"/>
  <c r="V79" i="3"/>
  <c r="V78" i="3"/>
  <c r="V77" i="3"/>
  <c r="Q77" i="3"/>
  <c r="I77" i="3"/>
  <c r="N77" i="3" s="1"/>
  <c r="P77" i="3" s="1"/>
  <c r="V76" i="3"/>
  <c r="V75" i="3"/>
  <c r="V74" i="3"/>
  <c r="N74" i="3"/>
  <c r="I74" i="3"/>
  <c r="V73" i="3"/>
  <c r="V72" i="3"/>
  <c r="N72" i="3"/>
  <c r="J72" i="3"/>
  <c r="I72" i="3"/>
  <c r="V71" i="3"/>
  <c r="V70" i="3"/>
  <c r="P70" i="3"/>
  <c r="J70" i="3"/>
  <c r="I70" i="3"/>
  <c r="N70" i="3" s="1"/>
  <c r="V69" i="3"/>
  <c r="V68" i="3"/>
  <c r="J68" i="3"/>
  <c r="N68" i="3" s="1"/>
  <c r="P68" i="3" s="1"/>
  <c r="I68" i="3"/>
  <c r="V67" i="3"/>
  <c r="V66" i="3"/>
  <c r="N66" i="3"/>
  <c r="I66" i="3"/>
  <c r="V65" i="3"/>
  <c r="V64" i="3"/>
  <c r="V95" i="3" s="1"/>
  <c r="N64" i="3"/>
  <c r="J64" i="3"/>
  <c r="I64" i="3"/>
  <c r="V63" i="3"/>
  <c r="V62" i="3"/>
  <c r="N62" i="3"/>
  <c r="J62" i="3"/>
  <c r="I62" i="3"/>
  <c r="V60" i="3"/>
  <c r="T60" i="3"/>
  <c r="V59" i="3"/>
  <c r="V58" i="3"/>
  <c r="T58" i="3"/>
  <c r="N58" i="3"/>
  <c r="Q58" i="3" s="1"/>
  <c r="L58" i="3"/>
  <c r="P57" i="3"/>
  <c r="Q57" i="3" s="1"/>
  <c r="N57" i="3"/>
  <c r="V56" i="3"/>
  <c r="N56" i="3"/>
  <c r="P56" i="3" s="1"/>
  <c r="Q56" i="3" s="1"/>
  <c r="V55" i="3"/>
  <c r="V54" i="3"/>
  <c r="P54" i="3"/>
  <c r="J54" i="3"/>
  <c r="I54" i="3"/>
  <c r="N54" i="3" s="1"/>
  <c r="V53" i="3"/>
  <c r="V52" i="3"/>
  <c r="V51" i="3"/>
  <c r="N51" i="3"/>
  <c r="J51" i="3"/>
  <c r="I51" i="3"/>
  <c r="V50" i="3"/>
  <c r="Q50" i="3"/>
  <c r="V49" i="3"/>
  <c r="V48" i="3"/>
  <c r="V47" i="3"/>
  <c r="P47" i="3"/>
  <c r="J47" i="3"/>
  <c r="I47" i="3"/>
  <c r="N47" i="3" s="1"/>
  <c r="V46" i="3"/>
  <c r="V45" i="3"/>
  <c r="V44" i="3"/>
  <c r="N44" i="3"/>
  <c r="J44" i="3"/>
  <c r="I44" i="3"/>
  <c r="V43" i="3"/>
  <c r="V42" i="3"/>
  <c r="P42" i="3"/>
  <c r="Q42" i="3" s="1"/>
  <c r="N42" i="3"/>
  <c r="V41" i="3"/>
  <c r="V40" i="3"/>
  <c r="V39" i="3"/>
  <c r="P39" i="3"/>
  <c r="Q39" i="3" s="1"/>
  <c r="N39" i="3"/>
  <c r="V38" i="3"/>
  <c r="Q38" i="3"/>
  <c r="N38" i="3"/>
  <c r="L38" i="3"/>
  <c r="V37" i="3"/>
  <c r="Q37" i="3"/>
  <c r="V36" i="3"/>
  <c r="J36" i="3"/>
  <c r="N36" i="3" s="1"/>
  <c r="I36" i="3"/>
  <c r="V35" i="3"/>
  <c r="V34" i="3"/>
  <c r="V33" i="3"/>
  <c r="J33" i="3"/>
  <c r="I33" i="3"/>
  <c r="V32" i="3"/>
  <c r="V31" i="3"/>
  <c r="I31" i="3"/>
  <c r="N31" i="3" s="1"/>
  <c r="P31" i="3" s="1"/>
  <c r="Q31" i="3" s="1"/>
  <c r="V29" i="3"/>
  <c r="T29" i="3"/>
  <c r="V28" i="3"/>
  <c r="V27" i="3"/>
  <c r="T27" i="3"/>
  <c r="V26" i="3"/>
  <c r="V25" i="3"/>
  <c r="V24" i="3"/>
  <c r="J24" i="3"/>
  <c r="I24" i="3"/>
  <c r="N24" i="3" s="1"/>
  <c r="V23" i="3"/>
  <c r="J23" i="3"/>
  <c r="I23" i="3"/>
  <c r="N23" i="3" s="1"/>
  <c r="V22" i="3"/>
  <c r="L22" i="3"/>
  <c r="I22" i="3"/>
  <c r="N22" i="3" s="1"/>
  <c r="P22" i="3" s="1"/>
  <c r="V21" i="3"/>
  <c r="I21" i="3"/>
  <c r="N21" i="3" s="1"/>
  <c r="V20" i="3"/>
  <c r="Q20" i="3"/>
  <c r="V19" i="3"/>
  <c r="V18" i="3"/>
  <c r="V17" i="3"/>
  <c r="J17" i="3"/>
  <c r="I17" i="3"/>
  <c r="N17" i="3" s="1"/>
  <c r="V16" i="3"/>
  <c r="V15" i="3"/>
  <c r="N15" i="3"/>
  <c r="P15" i="3" s="1"/>
  <c r="Q15" i="3" s="1"/>
  <c r="V14" i="3"/>
  <c r="V13" i="3"/>
  <c r="V12" i="3"/>
  <c r="N12" i="3"/>
  <c r="P12" i="3" s="1"/>
  <c r="Q12" i="3" s="1"/>
  <c r="V11" i="3"/>
  <c r="N11" i="3"/>
  <c r="P11" i="3" s="1"/>
  <c r="L11" i="3"/>
  <c r="Q11" i="3" s="1"/>
  <c r="I11" i="3"/>
  <c r="V10" i="3"/>
  <c r="Q10" i="3"/>
  <c r="V9" i="3"/>
  <c r="J9" i="3"/>
  <c r="N9" i="3" s="1"/>
  <c r="I9" i="3"/>
  <c r="V8" i="3"/>
  <c r="V7" i="3"/>
  <c r="V6" i="3"/>
  <c r="J6" i="3"/>
  <c r="I6" i="3"/>
  <c r="N6" i="3" s="1"/>
  <c r="V5" i="3"/>
  <c r="V4" i="3"/>
  <c r="V30" i="3" s="1"/>
  <c r="P4" i="3"/>
  <c r="Q4" i="3" s="1"/>
  <c r="N4" i="3"/>
  <c r="P6" i="3" l="1"/>
  <c r="Q6" i="3" s="1"/>
  <c r="P24" i="3"/>
  <c r="Q24" i="3" s="1"/>
  <c r="Q21" i="3"/>
  <c r="P21" i="3"/>
  <c r="Q22" i="3"/>
  <c r="P36" i="3"/>
  <c r="Q36" i="3" s="1"/>
  <c r="Q9" i="3"/>
  <c r="P9" i="3"/>
  <c r="P17" i="3"/>
  <c r="Q17" i="3" s="1"/>
  <c r="P23" i="3"/>
  <c r="Q23" i="3"/>
  <c r="P51" i="3"/>
  <c r="Q51" i="3"/>
  <c r="P66" i="3"/>
  <c r="Q66" i="3" s="1"/>
  <c r="P87" i="3"/>
  <c r="Q87" i="3"/>
  <c r="P131" i="3"/>
  <c r="Q131" i="3"/>
  <c r="P149" i="3"/>
  <c r="Q149" i="3" s="1"/>
  <c r="P182" i="3"/>
  <c r="Q182" i="3" s="1"/>
  <c r="Q213" i="3" s="1"/>
  <c r="P192" i="3"/>
  <c r="Q192" i="3"/>
  <c r="V61" i="3"/>
  <c r="N33" i="3"/>
  <c r="Q47" i="3"/>
  <c r="P64" i="3"/>
  <c r="Q64" i="3"/>
  <c r="Q68" i="3"/>
  <c r="Q70" i="3"/>
  <c r="P86" i="3"/>
  <c r="Q86" i="3"/>
  <c r="Q89" i="3"/>
  <c r="Q91" i="3"/>
  <c r="Q101" i="3"/>
  <c r="P112" i="3"/>
  <c r="Q112" i="3"/>
  <c r="P120" i="3"/>
  <c r="Q120" i="3"/>
  <c r="Q125" i="3"/>
  <c r="Q127" i="3"/>
  <c r="Q138" i="3"/>
  <c r="V181" i="3"/>
  <c r="P155" i="3"/>
  <c r="Q155" i="3" s="1"/>
  <c r="P159" i="3"/>
  <c r="Q159" i="3"/>
  <c r="Q169" i="3"/>
  <c r="Q170" i="3"/>
  <c r="Q174" i="3"/>
  <c r="Q176" i="3"/>
  <c r="P184" i="3"/>
  <c r="Q184" i="3"/>
  <c r="Q188" i="3"/>
  <c r="Q190" i="3"/>
  <c r="P207" i="3"/>
  <c r="Q207" i="3" s="1"/>
  <c r="P62" i="3"/>
  <c r="Q62" i="3"/>
  <c r="P72" i="3"/>
  <c r="Q72" i="3"/>
  <c r="Q98" i="3"/>
  <c r="Q119" i="3" s="1"/>
  <c r="P113" i="3"/>
  <c r="Q113" i="3"/>
  <c r="P172" i="3"/>
  <c r="Q172" i="3" s="1"/>
  <c r="P186" i="3"/>
  <c r="Q186" i="3"/>
  <c r="P44" i="3"/>
  <c r="Q44" i="3"/>
  <c r="Q54" i="3"/>
  <c r="P74" i="3"/>
  <c r="Q74" i="3"/>
  <c r="P104" i="3"/>
  <c r="Q104" i="3" s="1"/>
  <c r="Q110" i="3"/>
  <c r="P122" i="3"/>
  <c r="Q122" i="3" s="1"/>
  <c r="P135" i="3"/>
  <c r="Q135" i="3"/>
  <c r="Q137" i="3"/>
  <c r="P147" i="3"/>
  <c r="Q147" i="3"/>
  <c r="P151" i="3"/>
  <c r="Q151" i="3"/>
  <c r="P157" i="3"/>
  <c r="Q157" i="3" s="1"/>
  <c r="Q162" i="3"/>
  <c r="V213" i="3"/>
  <c r="P194" i="3"/>
  <c r="Q194" i="3"/>
  <c r="Q204" i="3"/>
  <c r="Q205" i="3"/>
  <c r="Q209" i="3"/>
  <c r="Z213" i="3" l="1"/>
  <c r="X182" i="3"/>
  <c r="Z182" i="3" s="1"/>
  <c r="W213" i="3"/>
  <c r="W119" i="3"/>
  <c r="Z119" i="3"/>
  <c r="X96" i="3"/>
  <c r="Z96" i="3" s="1"/>
  <c r="Q30" i="3"/>
  <c r="Q181" i="3"/>
  <c r="Q95" i="3"/>
  <c r="Q146" i="3"/>
  <c r="P33" i="3"/>
  <c r="Q33" i="3" s="1"/>
  <c r="Q61" i="3" s="1"/>
  <c r="X31" i="3" l="1"/>
  <c r="Z31" i="3" s="1"/>
  <c r="X61" i="3"/>
  <c r="X95" i="3"/>
  <c r="X62" i="3"/>
  <c r="Z62" i="3" s="1"/>
  <c r="X147" i="3"/>
  <c r="Z147" i="3" s="1"/>
  <c r="W181" i="3"/>
  <c r="Z181" i="3"/>
  <c r="X120" i="3"/>
  <c r="Z120" i="3" s="1"/>
  <c r="W146" i="3"/>
  <c r="Z146" i="3"/>
  <c r="X4" i="3"/>
  <c r="Z4" i="3" s="1"/>
  <c r="X30" i="3"/>
  <c r="I22" i="2" l="1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</calcChain>
</file>

<file path=xl/sharedStrings.xml><?xml version="1.0" encoding="utf-8"?>
<sst xmlns="http://schemas.openxmlformats.org/spreadsheetml/2006/main" count="774" uniqueCount="404">
  <si>
    <t>物料及工装采购价格审批表（未税、元）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</si>
  <si>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</si>
  <si>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</si>
  <si>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</si>
  <si>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</si>
  <si>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K3号</t>
    <phoneticPr fontId="4" type="noConversion"/>
  </si>
  <si>
    <t>单位</t>
    <phoneticPr fontId="5" type="noConversion"/>
  </si>
  <si>
    <t>厂家报价</t>
    <phoneticPr fontId="5" type="noConversion"/>
  </si>
  <si>
    <t>增值税率</t>
    <phoneticPr fontId="5" type="noConversion"/>
  </si>
  <si>
    <t>目标价格</t>
    <phoneticPr fontId="5" type="noConversion"/>
  </si>
  <si>
    <t>报批价格</t>
    <phoneticPr fontId="5" type="noConversion"/>
  </si>
  <si>
    <t>审批价格</t>
    <phoneticPr fontId="5" type="noConversion"/>
  </si>
  <si>
    <t>供应商</t>
    <phoneticPr fontId="5" type="noConversion"/>
  </si>
  <si>
    <t>备注</t>
    <phoneticPr fontId="5" type="noConversion"/>
  </si>
  <si>
    <t>SLT0000408</t>
  </si>
  <si>
    <t>K1单人背（带头枕）</t>
  </si>
  <si>
    <t>件</t>
    <phoneticPr fontId="4" type="noConversion"/>
  </si>
  <si>
    <t>黄骅市恒伟五金制品有限公司</t>
    <phoneticPr fontId="4" type="noConversion"/>
  </si>
  <si>
    <t>送至潍坊</t>
    <phoneticPr fontId="4" type="noConversion"/>
  </si>
  <si>
    <t>SLT0000551</t>
  </si>
  <si>
    <t>K1单人背（无头枕）</t>
  </si>
  <si>
    <t>SLT0000394</t>
  </si>
  <si>
    <t>K1双人左背</t>
  </si>
  <si>
    <t>SLT0000395</t>
  </si>
  <si>
    <t>双人右背（安全盒）</t>
  </si>
  <si>
    <t>SLT0000578</t>
  </si>
  <si>
    <t>双人右置左背</t>
  </si>
  <si>
    <t>SLT0000517</t>
  </si>
  <si>
    <t>新侧翻（三点式）</t>
  </si>
  <si>
    <t>SLT0000604</t>
  </si>
  <si>
    <t>新侧翻单头枕（三点式）</t>
  </si>
  <si>
    <t>SLT0000651</t>
  </si>
  <si>
    <t>第四排侧翻背（无头枕）</t>
  </si>
  <si>
    <t>SLT0000449</t>
  </si>
  <si>
    <t>四人连体左背（三点式）</t>
  </si>
  <si>
    <t>SLT0000462</t>
  </si>
  <si>
    <t>四人连体右背（三点式）</t>
  </si>
  <si>
    <t>SLT0000568</t>
  </si>
  <si>
    <t>四人连体左背（无头枕）</t>
  </si>
  <si>
    <t>SLT0000569</t>
  </si>
  <si>
    <t>四人连体右背（无头枕）</t>
  </si>
  <si>
    <t>SLT0000558</t>
  </si>
  <si>
    <t>二排双人连体背（无头枕带扶手）</t>
  </si>
  <si>
    <t>SLT0000638</t>
  </si>
  <si>
    <t>二排双人连体背（带头枕带扶手三点式）</t>
  </si>
  <si>
    <t>SLT0000552</t>
  </si>
  <si>
    <t>第一排四人三人连体背</t>
  </si>
  <si>
    <t>SLT0000630</t>
  </si>
  <si>
    <t>第三排三人连体背</t>
  </si>
  <si>
    <t>SLT0000595</t>
  </si>
  <si>
    <t>第三排侧翻背（单头枕）</t>
  </si>
  <si>
    <t>SLT0001041</t>
  </si>
  <si>
    <t>马来西亚双人左背</t>
  </si>
  <si>
    <t>SLT0001042</t>
  </si>
  <si>
    <t>马来西亚双人右背</t>
  </si>
  <si>
    <t>宽车一排三人联体背无头枕骨架(无头枕）骨架</t>
  </si>
  <si>
    <t>说明：
1.我部接到通知，K1产品由河北再转移回潍坊生产，其中涉及恒伟五金23种靠背骨架焊接总成。
2.我部与恒伟五金商谈恢复20年潍坊价格（21年潍坊转入河北价格不变，22年上调），但恒伟五金在商谈过程中，表示未定价前，暂不再供应潍坊。
3.我部联系工艺部、河北技术部查找图纸，获取8种产品图纸（无编制、无受控章，不能完全确认准确性），通过图纸及部分实物核算，恒伟五金提报转移潍坊的价格较为符合事实。
4.为保证准确性，我部分别从两个维度核算，a.以20年Q195焊管材料价格为基础，21年差价+1100元/吨，22年差价+550元/吨，因此转移到潍坊22年价格相比20年高，比21年底，但本年度油价上涨，故综合算出：22年转移潍坊价格比河北价格基本持平，略有增长。b.结合图纸及实物测量，通过成本核算，产品价格对比补差价价格更高。具体见附件。
5.现申请按照补差价方式，确定转移潍坊的产品价格，同时请成本部协助复核。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</si>
  <si>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</si>
  <si>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</si>
  <si>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</si>
  <si>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</si>
  <si>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</si>
  <si>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2020年潍坊原价格</t>
    <phoneticPr fontId="4" type="noConversion"/>
  </si>
  <si>
    <t>2022年河北价格</t>
    <phoneticPr fontId="4" type="noConversion"/>
  </si>
  <si>
    <t>恒伟五金供货产品报价核算表</t>
    <phoneticPr fontId="4" type="noConversion"/>
  </si>
  <si>
    <t>序号</t>
  </si>
  <si>
    <t>物料代码</t>
  </si>
  <si>
    <t>名称</t>
  </si>
  <si>
    <t>序号</t>
    <phoneticPr fontId="4" type="noConversion"/>
  </si>
  <si>
    <t>单件图号</t>
    <phoneticPr fontId="4" type="noConversion"/>
  </si>
  <si>
    <t>零件名称</t>
  </si>
  <si>
    <t>耗用量</t>
  </si>
  <si>
    <t>材质</t>
  </si>
  <si>
    <t>下料尺寸mm</t>
    <phoneticPr fontId="4" type="noConversion"/>
  </si>
  <si>
    <t>不含税单价</t>
  </si>
  <si>
    <t>重量</t>
  </si>
  <si>
    <t>材料费</t>
  </si>
  <si>
    <t>制造成本</t>
  </si>
  <si>
    <t>系数</t>
    <phoneticPr fontId="4" type="noConversion"/>
  </si>
  <si>
    <t>核算价格</t>
    <phoneticPr fontId="4" type="noConversion"/>
  </si>
  <si>
    <t>运费</t>
    <phoneticPr fontId="4" type="noConversion"/>
  </si>
  <si>
    <t>目标价格</t>
    <phoneticPr fontId="4" type="noConversion"/>
  </si>
  <si>
    <t>长</t>
    <phoneticPr fontId="4" type="noConversion"/>
  </si>
  <si>
    <t>宽</t>
    <phoneticPr fontId="4" type="noConversion"/>
  </si>
  <si>
    <t>厚</t>
    <phoneticPr fontId="4" type="noConversion"/>
  </si>
  <si>
    <t>材料</t>
  </si>
  <si>
    <t>废铁</t>
  </si>
  <si>
    <t>毛重</t>
  </si>
  <si>
    <t>净重</t>
  </si>
  <si>
    <t>工序</t>
  </si>
  <si>
    <t>吨位</t>
  </si>
  <si>
    <t>工序数</t>
    <phoneticPr fontId="4" type="noConversion"/>
  </si>
  <si>
    <t>工序费</t>
  </si>
  <si>
    <t>合计</t>
    <phoneticPr fontId="10" type="noConversion"/>
  </si>
  <si>
    <t>乘客双人左靠背骨架总成
FT K1-7245 100</t>
    <phoneticPr fontId="4" type="noConversion"/>
  </si>
  <si>
    <t>FT K1-7245 101</t>
    <phoneticPr fontId="4" type="noConversion"/>
  </si>
  <si>
    <t>乘客双人左下部U型管</t>
    <phoneticPr fontId="4" type="noConversion"/>
  </si>
  <si>
    <t>Q195</t>
  </si>
  <si>
    <t>下料</t>
  </si>
  <si>
    <t>6.4米车，往返2000元/车，一车装8个工装，每个工装装210件，则每件产品运费1.19</t>
    <phoneticPr fontId="4" type="noConversion"/>
  </si>
  <si>
    <t>弯管</t>
    <phoneticPr fontId="4" type="noConversion"/>
  </si>
  <si>
    <t>FT K1-7145 002R</t>
    <phoneticPr fontId="4" type="noConversion"/>
  </si>
  <si>
    <t>靠背骨架右边板</t>
    <phoneticPr fontId="4" type="noConversion"/>
  </si>
  <si>
    <t>SAPH440</t>
    <phoneticPr fontId="4" type="noConversion"/>
  </si>
  <si>
    <t>落料</t>
    <phoneticPr fontId="4" type="noConversion"/>
  </si>
  <si>
    <t>315T油</t>
    <phoneticPr fontId="4" type="noConversion"/>
  </si>
  <si>
    <t>成型</t>
    <phoneticPr fontId="4" type="noConversion"/>
  </si>
  <si>
    <t>切口冲孔</t>
    <phoneticPr fontId="4" type="noConversion"/>
  </si>
  <si>
    <t>200T</t>
    <phoneticPr fontId="4" type="noConversion"/>
  </si>
  <si>
    <t>FT K1-7145 003R</t>
  </si>
  <si>
    <t>靠背骨架右侧加强版</t>
    <phoneticPr fontId="4" type="noConversion"/>
  </si>
  <si>
    <t>SAPH440</t>
    <phoneticPr fontId="4" type="noConversion"/>
  </si>
  <si>
    <t>落料冲孔</t>
    <phoneticPr fontId="4" type="noConversion"/>
  </si>
  <si>
    <t>60T</t>
    <phoneticPr fontId="4" type="noConversion"/>
  </si>
  <si>
    <t>GB/T 13681-1992</t>
    <phoneticPr fontId="4" type="noConversion"/>
  </si>
  <si>
    <t>焊接六角螺母M10</t>
    <phoneticPr fontId="4" type="noConversion"/>
  </si>
  <si>
    <t>FT K1-7245 102</t>
    <phoneticPr fontId="4" type="noConversion"/>
  </si>
  <si>
    <t>乘客双人左靠背支撑钢丝</t>
    <phoneticPr fontId="4" type="noConversion"/>
  </si>
  <si>
    <t>Q235</t>
    <phoneticPr fontId="4" type="noConversion"/>
  </si>
  <si>
    <t>包工包料算入材料费</t>
    <phoneticPr fontId="4" type="noConversion"/>
  </si>
  <si>
    <t>FT K1-7245 103</t>
  </si>
  <si>
    <t>乘客双人左靠背主体管</t>
    <phoneticPr fontId="4" type="noConversion"/>
  </si>
  <si>
    <t>Q195</t>
    <phoneticPr fontId="4" type="noConversion"/>
  </si>
  <si>
    <t>弯管</t>
    <phoneticPr fontId="4" type="noConversion"/>
  </si>
  <si>
    <t>砸窝</t>
    <phoneticPr fontId="4" type="noConversion"/>
  </si>
  <si>
    <t>40T</t>
    <phoneticPr fontId="4" type="noConversion"/>
  </si>
  <si>
    <t>FT K1-6805 101</t>
    <phoneticPr fontId="4" type="noConversion"/>
  </si>
  <si>
    <t>头枕插管</t>
    <phoneticPr fontId="4" type="noConversion"/>
  </si>
  <si>
    <t>Q195</t>
    <phoneticPr fontId="4" type="noConversion"/>
  </si>
  <si>
    <t>切口</t>
    <phoneticPr fontId="4" type="noConversion"/>
  </si>
  <si>
    <t>FT K1-7145 006</t>
    <phoneticPr fontId="4" type="noConversion"/>
  </si>
  <si>
    <t>靠背塑料盖板连接支架</t>
    <phoneticPr fontId="4" type="noConversion"/>
  </si>
  <si>
    <t>Q235</t>
    <phoneticPr fontId="4" type="noConversion"/>
  </si>
  <si>
    <t>落料</t>
    <phoneticPr fontId="4" type="noConversion"/>
  </si>
  <si>
    <t>成型</t>
    <phoneticPr fontId="4" type="noConversion"/>
  </si>
  <si>
    <t>冲孔</t>
    <phoneticPr fontId="4" type="noConversion"/>
  </si>
  <si>
    <t>焊接六角螺母M6</t>
    <phoneticPr fontId="4" type="noConversion"/>
  </si>
  <si>
    <t>FT K1-7245 104</t>
    <phoneticPr fontId="4" type="noConversion"/>
  </si>
  <si>
    <t>乘客单人靠背支撑管</t>
    <phoneticPr fontId="4" type="noConversion"/>
  </si>
  <si>
    <t>FT K1-7245 105</t>
  </si>
  <si>
    <t>乘客双人左卡位钢丝</t>
    <phoneticPr fontId="4" type="noConversion"/>
  </si>
  <si>
    <t>Q235</t>
    <phoneticPr fontId="4" type="noConversion"/>
  </si>
  <si>
    <t>FT K1-7145 003L</t>
    <phoneticPr fontId="4" type="noConversion"/>
  </si>
  <si>
    <t>靠背骨架左侧加强版</t>
    <phoneticPr fontId="4" type="noConversion"/>
  </si>
  <si>
    <t>SAPH440</t>
    <phoneticPr fontId="4" type="noConversion"/>
  </si>
  <si>
    <t>落料冲孔</t>
    <phoneticPr fontId="4" type="noConversion"/>
  </si>
  <si>
    <t>60T</t>
    <phoneticPr fontId="4" type="noConversion"/>
  </si>
  <si>
    <t>FT K1-7145 002L</t>
    <phoneticPr fontId="4" type="noConversion"/>
  </si>
  <si>
    <t>靠背骨架左边板</t>
    <phoneticPr fontId="4" type="noConversion"/>
  </si>
  <si>
    <t>SAPH440</t>
    <phoneticPr fontId="4" type="noConversion"/>
  </si>
  <si>
    <t>落料</t>
    <phoneticPr fontId="4" type="noConversion"/>
  </si>
  <si>
    <t>315T油</t>
    <phoneticPr fontId="4" type="noConversion"/>
  </si>
  <si>
    <t>成型</t>
    <phoneticPr fontId="4" type="noConversion"/>
  </si>
  <si>
    <t>切口冲孔</t>
    <phoneticPr fontId="4" type="noConversion"/>
  </si>
  <si>
    <t>200T</t>
    <phoneticPr fontId="4" type="noConversion"/>
  </si>
  <si>
    <t>焊接</t>
    <phoneticPr fontId="4" type="noConversion"/>
  </si>
  <si>
    <t>整形</t>
    <phoneticPr fontId="4" type="noConversion"/>
  </si>
  <si>
    <t>喷涂</t>
    <phoneticPr fontId="4" type="noConversion"/>
  </si>
  <si>
    <t>合计：</t>
  </si>
  <si>
    <t>SLT0000395</t>
    <phoneticPr fontId="4" type="noConversion"/>
  </si>
  <si>
    <t>乘客双人右靠背骨架总成
FTK1-7245 200
（图纸或QAD号有问题，从协议中对应的名称来看是来安全盒的，图纸中没有）</t>
    <phoneticPr fontId="4" type="noConversion"/>
  </si>
  <si>
    <t>FT K1-7245 201</t>
    <phoneticPr fontId="4" type="noConversion"/>
  </si>
  <si>
    <t>乘客双人右下部U型管</t>
    <phoneticPr fontId="4" type="noConversion"/>
  </si>
  <si>
    <t>6.4米车，往返2000元/车，一车装8个工装，每个工装装210件，则每件产品运费1.19</t>
    <phoneticPr fontId="4" type="noConversion"/>
  </si>
  <si>
    <t>弯管</t>
    <phoneticPr fontId="4" type="noConversion"/>
  </si>
  <si>
    <t>FT K1-7145 002R</t>
    <phoneticPr fontId="4" type="noConversion"/>
  </si>
  <si>
    <t>靠背骨架右边板</t>
    <phoneticPr fontId="4" type="noConversion"/>
  </si>
  <si>
    <t>落料</t>
    <phoneticPr fontId="4" type="noConversion"/>
  </si>
  <si>
    <t>315T油</t>
    <phoneticPr fontId="4" type="noConversion"/>
  </si>
  <si>
    <t>成型</t>
    <phoneticPr fontId="4" type="noConversion"/>
  </si>
  <si>
    <t>切口冲孔</t>
    <phoneticPr fontId="4" type="noConversion"/>
  </si>
  <si>
    <t>200T</t>
    <phoneticPr fontId="4" type="noConversion"/>
  </si>
  <si>
    <t>靠背骨架右侧加强版</t>
    <phoneticPr fontId="4" type="noConversion"/>
  </si>
  <si>
    <t>GB/T 13681-1992</t>
    <phoneticPr fontId="4" type="noConversion"/>
  </si>
  <si>
    <t>焊接六角螺母M10</t>
    <phoneticPr fontId="4" type="noConversion"/>
  </si>
  <si>
    <t>FT K1-7245 202</t>
    <phoneticPr fontId="4" type="noConversion"/>
  </si>
  <si>
    <t>乘客双人右靠背支撑钢丝</t>
    <phoneticPr fontId="4" type="noConversion"/>
  </si>
  <si>
    <t>Q235</t>
    <phoneticPr fontId="4" type="noConversion"/>
  </si>
  <si>
    <t>FT K1-7245 203</t>
    <phoneticPr fontId="4" type="noConversion"/>
  </si>
  <si>
    <t>乘客双人右靠背主体管</t>
    <phoneticPr fontId="4" type="noConversion"/>
  </si>
  <si>
    <t>Q195</t>
    <phoneticPr fontId="4" type="noConversion"/>
  </si>
  <si>
    <t>弯管</t>
    <phoneticPr fontId="4" type="noConversion"/>
  </si>
  <si>
    <t>切口</t>
    <phoneticPr fontId="4" type="noConversion"/>
  </si>
  <si>
    <t>FT K1-7145 006</t>
    <phoneticPr fontId="4" type="noConversion"/>
  </si>
  <si>
    <t>靠背塑料盖板连接支架</t>
    <phoneticPr fontId="4" type="noConversion"/>
  </si>
  <si>
    <t>Q235</t>
    <phoneticPr fontId="4" type="noConversion"/>
  </si>
  <si>
    <t>落料</t>
    <phoneticPr fontId="4" type="noConversion"/>
  </si>
  <si>
    <t>60T</t>
    <phoneticPr fontId="4" type="noConversion"/>
  </si>
  <si>
    <t>成型</t>
    <phoneticPr fontId="4" type="noConversion"/>
  </si>
  <si>
    <t>冲孔</t>
    <phoneticPr fontId="4" type="noConversion"/>
  </si>
  <si>
    <t>FT K1-7415 008R</t>
    <phoneticPr fontId="4" type="noConversion"/>
  </si>
  <si>
    <t>三点式安全带支撑板右</t>
    <phoneticPr fontId="4" type="noConversion"/>
  </si>
  <si>
    <t>SAPH440</t>
  </si>
  <si>
    <t>落料冲孔</t>
    <phoneticPr fontId="4" type="noConversion"/>
  </si>
  <si>
    <t>成型1</t>
    <phoneticPr fontId="4" type="noConversion"/>
  </si>
  <si>
    <t>成型2</t>
    <phoneticPr fontId="4" type="noConversion"/>
  </si>
  <si>
    <t>GB/T 13681-1992</t>
    <phoneticPr fontId="4" type="noConversion"/>
  </si>
  <si>
    <t>焊接六角螺母M6</t>
    <phoneticPr fontId="4" type="noConversion"/>
  </si>
  <si>
    <t>FT K1-7245 204R</t>
    <phoneticPr fontId="4" type="noConversion"/>
  </si>
  <si>
    <t>乘客双人右靠背侧边板</t>
    <phoneticPr fontId="4" type="noConversion"/>
  </si>
  <si>
    <t>落料</t>
    <phoneticPr fontId="4" type="noConversion"/>
  </si>
  <si>
    <t>315T油</t>
    <phoneticPr fontId="4" type="noConversion"/>
  </si>
  <si>
    <t>成型</t>
    <phoneticPr fontId="4" type="noConversion"/>
  </si>
  <si>
    <t>冲孔</t>
    <phoneticPr fontId="4" type="noConversion"/>
  </si>
  <si>
    <t>200T</t>
    <phoneticPr fontId="4" type="noConversion"/>
  </si>
  <si>
    <t>FT K1-7245 205R</t>
    <phoneticPr fontId="4" type="noConversion"/>
  </si>
  <si>
    <t>乘客双人右靠背侧加强板</t>
    <phoneticPr fontId="4" type="noConversion"/>
  </si>
  <si>
    <t>落料冲孔</t>
  </si>
  <si>
    <t>315T</t>
    <phoneticPr fontId="4" type="noConversion"/>
  </si>
  <si>
    <t>FT K1-7245 206</t>
    <phoneticPr fontId="4" type="noConversion"/>
  </si>
  <si>
    <t>乘客双人右靠背支撑管</t>
    <phoneticPr fontId="4" type="noConversion"/>
  </si>
  <si>
    <t>FT K1-7245 207</t>
  </si>
  <si>
    <t>靠背骨架螺栓安装轴套</t>
    <phoneticPr fontId="4" type="noConversion"/>
  </si>
  <si>
    <t>Q235</t>
    <phoneticPr fontId="4" type="noConversion"/>
  </si>
  <si>
    <t>断料+铰孔</t>
    <phoneticPr fontId="4" type="noConversion"/>
  </si>
  <si>
    <t>FT K1-7245 208</t>
  </si>
  <si>
    <t>乘客双人右卡位钢丝</t>
    <phoneticPr fontId="4" type="noConversion"/>
  </si>
  <si>
    <t>焊接</t>
    <phoneticPr fontId="4" type="noConversion"/>
  </si>
  <si>
    <t>整形</t>
    <phoneticPr fontId="4" type="noConversion"/>
  </si>
  <si>
    <t>喷涂</t>
    <phoneticPr fontId="4" type="noConversion"/>
  </si>
  <si>
    <t>SLT0000449/SLT0000462</t>
    <phoneticPr fontId="4" type="noConversion"/>
  </si>
  <si>
    <t>四人连体左靠背骨架总成
FT K1-7415 000/K1四人连体右（三点式）
对称</t>
    <phoneticPr fontId="4" type="noConversion"/>
  </si>
  <si>
    <t>FT K1-7415 001L</t>
    <phoneticPr fontId="4" type="noConversion"/>
  </si>
  <si>
    <t>中间连接板左</t>
    <phoneticPr fontId="4" type="noConversion"/>
  </si>
  <si>
    <t>Q235</t>
    <phoneticPr fontId="4" type="noConversion"/>
  </si>
  <si>
    <t>落料冲孔</t>
    <phoneticPr fontId="4" type="noConversion"/>
  </si>
  <si>
    <t>100T</t>
    <phoneticPr fontId="4" type="noConversion"/>
  </si>
  <si>
    <t>6.4米车，往返2000元/车，一车装8个工装，每个工装装35件，则每件产品运费7.14</t>
    <phoneticPr fontId="4" type="noConversion"/>
  </si>
  <si>
    <t>砸窝</t>
    <phoneticPr fontId="4" type="noConversion"/>
  </si>
  <si>
    <t>80T</t>
    <phoneticPr fontId="4" type="noConversion"/>
  </si>
  <si>
    <t>FT K1-7415 001R</t>
    <phoneticPr fontId="4" type="noConversion"/>
  </si>
  <si>
    <t>中间连接板右</t>
    <phoneticPr fontId="4" type="noConversion"/>
  </si>
  <si>
    <t>100T</t>
    <phoneticPr fontId="4" type="noConversion"/>
  </si>
  <si>
    <t>80T</t>
    <phoneticPr fontId="4" type="noConversion"/>
  </si>
  <si>
    <t>FT K1-7145 002</t>
    <phoneticPr fontId="4" type="noConversion"/>
  </si>
  <si>
    <t>泡沫支撑管</t>
    <phoneticPr fontId="4" type="noConversion"/>
  </si>
  <si>
    <t>下料</t>
    <phoneticPr fontId="4" type="noConversion"/>
  </si>
  <si>
    <t>折弯</t>
    <phoneticPr fontId="4" type="noConversion"/>
  </si>
  <si>
    <t>FT K1-7145 003R</t>
    <phoneticPr fontId="4" type="noConversion"/>
  </si>
  <si>
    <t>右侧连接板</t>
    <phoneticPr fontId="4" type="noConversion"/>
  </si>
  <si>
    <t>FT K1-7145 004R</t>
  </si>
  <si>
    <t>右侧下支撑板</t>
    <phoneticPr fontId="4" type="noConversion"/>
  </si>
  <si>
    <t>FT K1-7145 005R</t>
  </si>
  <si>
    <t>右侧上支撑板</t>
    <phoneticPr fontId="4" type="noConversion"/>
  </si>
  <si>
    <t>FT K1-7145 006代号错</t>
    <phoneticPr fontId="4" type="noConversion"/>
  </si>
  <si>
    <t>侧臂管</t>
    <phoneticPr fontId="4" type="noConversion"/>
  </si>
  <si>
    <t>下料</t>
    <phoneticPr fontId="4" type="noConversion"/>
  </si>
  <si>
    <t>折弯</t>
    <phoneticPr fontId="4" type="noConversion"/>
  </si>
  <si>
    <t>拍扁</t>
    <phoneticPr fontId="4" type="noConversion"/>
  </si>
  <si>
    <t>40T</t>
    <phoneticPr fontId="4" type="noConversion"/>
  </si>
  <si>
    <t>FT K1-7145 007</t>
  </si>
  <si>
    <t>靠背主体管</t>
    <phoneticPr fontId="4" type="noConversion"/>
  </si>
  <si>
    <t>Q195</t>
    <phoneticPr fontId="4" type="noConversion"/>
  </si>
  <si>
    <t>切口</t>
    <phoneticPr fontId="4" type="noConversion"/>
  </si>
  <si>
    <t>FT K1-7145 009</t>
    <phoneticPr fontId="4" type="noConversion"/>
  </si>
  <si>
    <t>中间纵向支撑管</t>
    <phoneticPr fontId="4" type="noConversion"/>
  </si>
  <si>
    <t>切豁口</t>
    <phoneticPr fontId="4" type="noConversion"/>
  </si>
  <si>
    <t>FT K1-7415 012</t>
    <phoneticPr fontId="4" type="noConversion"/>
  </si>
  <si>
    <t>靠背支撑钢丝</t>
    <phoneticPr fontId="4" type="noConversion"/>
  </si>
  <si>
    <t>FT K1-7415 014</t>
    <phoneticPr fontId="4" type="noConversion"/>
  </si>
  <si>
    <t>靠背横向支撑钢丝</t>
    <phoneticPr fontId="4" type="noConversion"/>
  </si>
  <si>
    <t>FT K1-7415 013</t>
    <phoneticPr fontId="4" type="noConversion"/>
  </si>
  <si>
    <t>靠背横向支撑管</t>
    <phoneticPr fontId="4" type="noConversion"/>
  </si>
  <si>
    <t>FT K1-7415 005L</t>
    <phoneticPr fontId="4" type="noConversion"/>
  </si>
  <si>
    <t>左侧上支撑板</t>
    <phoneticPr fontId="4" type="noConversion"/>
  </si>
  <si>
    <t>FT K1-7415 004L</t>
    <phoneticPr fontId="4" type="noConversion"/>
  </si>
  <si>
    <t>左侧下支撑板</t>
    <phoneticPr fontId="4" type="noConversion"/>
  </si>
  <si>
    <t>FT K1-7415 003L</t>
    <phoneticPr fontId="4" type="noConversion"/>
  </si>
  <si>
    <t>左侧连接板</t>
    <phoneticPr fontId="4" type="noConversion"/>
  </si>
  <si>
    <t>SAPH440</t>
    <phoneticPr fontId="4" type="noConversion"/>
  </si>
  <si>
    <t>SLT0000551</t>
    <phoneticPr fontId="4" type="noConversion"/>
  </si>
  <si>
    <t>乘客单人靠背骨架总成（不带头枕）
FT K1-7146 000</t>
    <phoneticPr fontId="4" type="noConversion"/>
  </si>
  <si>
    <t>FT K1-7145 001</t>
    <phoneticPr fontId="4" type="noConversion"/>
  </si>
  <si>
    <t>乘客单人下部U型管</t>
    <phoneticPr fontId="4" type="noConversion"/>
  </si>
  <si>
    <t>6.4米车，往返2000元/车，一车装8个工装，每个工装装210件，则每件产品运费1.19</t>
    <phoneticPr fontId="4" type="noConversion"/>
  </si>
  <si>
    <t>FT K1-7145 002R</t>
  </si>
  <si>
    <t>切口冲孔</t>
    <phoneticPr fontId="4" type="noConversion"/>
  </si>
  <si>
    <t>靠背骨架右侧加强版</t>
    <phoneticPr fontId="4" type="noConversion"/>
  </si>
  <si>
    <t>GB/T 13681-1992</t>
  </si>
  <si>
    <t>FT K1-7145 004</t>
    <phoneticPr fontId="4" type="noConversion"/>
  </si>
  <si>
    <t>乘客单人靠背支撑钢丝</t>
    <phoneticPr fontId="4" type="noConversion"/>
  </si>
  <si>
    <t>包工包料算入材料费</t>
    <phoneticPr fontId="4" type="noConversion"/>
  </si>
  <si>
    <t>FT K1-7145 005</t>
    <phoneticPr fontId="4" type="noConversion"/>
  </si>
  <si>
    <t>乘客单人靠背主体管</t>
    <phoneticPr fontId="4" type="noConversion"/>
  </si>
  <si>
    <t>FT K1-7145 006</t>
  </si>
  <si>
    <t>靠背塑料盖板连接支架</t>
    <phoneticPr fontId="4" type="noConversion"/>
  </si>
  <si>
    <t>冲孔</t>
    <phoneticPr fontId="4" type="noConversion"/>
  </si>
  <si>
    <t>焊接六角螺母M6</t>
    <phoneticPr fontId="4" type="noConversion"/>
  </si>
  <si>
    <t>FT K1-7145 007</t>
    <phoneticPr fontId="4" type="noConversion"/>
  </si>
  <si>
    <t>乘客单人靠背支撑管</t>
    <phoneticPr fontId="4" type="noConversion"/>
  </si>
  <si>
    <t>FT K1-7145 008</t>
    <phoneticPr fontId="4" type="noConversion"/>
  </si>
  <si>
    <t>乘客单人卡位钢丝</t>
    <phoneticPr fontId="4" type="noConversion"/>
  </si>
  <si>
    <t>FT K1-7145 003L</t>
  </si>
  <si>
    <t>靠背骨架左侧加强版</t>
    <phoneticPr fontId="4" type="noConversion"/>
  </si>
  <si>
    <t>60T</t>
    <phoneticPr fontId="4" type="noConversion"/>
  </si>
  <si>
    <t>FT K1-7145 002L</t>
  </si>
  <si>
    <t>靠背骨架左边板</t>
    <phoneticPr fontId="4" type="noConversion"/>
  </si>
  <si>
    <t>焊接</t>
    <phoneticPr fontId="4" type="noConversion"/>
  </si>
  <si>
    <t>整形</t>
    <phoneticPr fontId="4" type="noConversion"/>
  </si>
  <si>
    <t>喷涂</t>
    <phoneticPr fontId="4" type="noConversion"/>
  </si>
  <si>
    <t>SLT0000408</t>
    <phoneticPr fontId="4" type="noConversion"/>
  </si>
  <si>
    <t>K1单人背（带头枕）
（无图纸）</t>
    <phoneticPr fontId="4" type="noConversion"/>
  </si>
  <si>
    <t>6.4米车，往返2000元/车，一车装8个工装，每个工装装210件，则每件产品运费1.19</t>
    <phoneticPr fontId="4" type="noConversion"/>
  </si>
  <si>
    <t>靠背骨架右边板</t>
    <phoneticPr fontId="4" type="noConversion"/>
  </si>
  <si>
    <t>落料冲孔</t>
    <phoneticPr fontId="4" type="noConversion"/>
  </si>
  <si>
    <t>60T</t>
    <phoneticPr fontId="4" type="noConversion"/>
  </si>
  <si>
    <t>焊接六角螺母M10</t>
    <phoneticPr fontId="4" type="noConversion"/>
  </si>
  <si>
    <t>包工包料算入材料费</t>
    <phoneticPr fontId="4" type="noConversion"/>
  </si>
  <si>
    <t>FT K1-7145 005</t>
    <phoneticPr fontId="4" type="noConversion"/>
  </si>
  <si>
    <t>乘客单人靠背主体管</t>
    <phoneticPr fontId="4" type="noConversion"/>
  </si>
  <si>
    <t>砸窝</t>
  </si>
  <si>
    <t>40T</t>
  </si>
  <si>
    <t>靠背塑料盖板连接支架</t>
    <phoneticPr fontId="4" type="noConversion"/>
  </si>
  <si>
    <t>落料</t>
    <phoneticPr fontId="4" type="noConversion"/>
  </si>
  <si>
    <t>成型</t>
    <phoneticPr fontId="4" type="noConversion"/>
  </si>
  <si>
    <t>冲孔</t>
    <phoneticPr fontId="4" type="noConversion"/>
  </si>
  <si>
    <t>焊接六角螺母M6</t>
    <phoneticPr fontId="4" type="noConversion"/>
  </si>
  <si>
    <t>FT K1-7145 008</t>
    <phoneticPr fontId="4" type="noConversion"/>
  </si>
  <si>
    <t>乘客单人卡位钢丝</t>
    <phoneticPr fontId="4" type="noConversion"/>
  </si>
  <si>
    <t>靠背骨架左侧加强版</t>
    <phoneticPr fontId="4" type="noConversion"/>
  </si>
  <si>
    <t>SAPH440</t>
    <phoneticPr fontId="4" type="noConversion"/>
  </si>
  <si>
    <t>FT K1-6805 101</t>
    <phoneticPr fontId="4" type="noConversion"/>
  </si>
  <si>
    <t>头枕插管</t>
    <phoneticPr fontId="4" type="noConversion"/>
  </si>
  <si>
    <t>切口</t>
    <phoneticPr fontId="4" type="noConversion"/>
  </si>
  <si>
    <t>SLT0000558</t>
    <phoneticPr fontId="4" type="noConversion"/>
  </si>
  <si>
    <t>二排双人连体背（无头枕带扶手）
（无图纸）</t>
    <phoneticPr fontId="4" type="noConversion"/>
  </si>
  <si>
    <t>FT K1-7415 001L</t>
    <phoneticPr fontId="4" type="noConversion"/>
  </si>
  <si>
    <t>中间连接板左</t>
    <phoneticPr fontId="4" type="noConversion"/>
  </si>
  <si>
    <t>FT K1-7145 002</t>
    <phoneticPr fontId="4" type="noConversion"/>
  </si>
  <si>
    <t>泡沫支撑管</t>
    <phoneticPr fontId="4" type="noConversion"/>
  </si>
  <si>
    <t>FT K1-7145 003R</t>
    <phoneticPr fontId="4" type="noConversion"/>
  </si>
  <si>
    <t>右侧连接板</t>
    <phoneticPr fontId="4" type="noConversion"/>
  </si>
  <si>
    <t>右侧上支撑板</t>
    <phoneticPr fontId="4" type="noConversion"/>
  </si>
  <si>
    <t>下料</t>
    <phoneticPr fontId="4" type="noConversion"/>
  </si>
  <si>
    <t>折弯</t>
    <phoneticPr fontId="4" type="noConversion"/>
  </si>
  <si>
    <t>拍扁</t>
    <phoneticPr fontId="4" type="noConversion"/>
  </si>
  <si>
    <t>40T</t>
    <phoneticPr fontId="4" type="noConversion"/>
  </si>
  <si>
    <t>靠背主体管</t>
    <phoneticPr fontId="4" type="noConversion"/>
  </si>
  <si>
    <t>FT K1-7145 009</t>
    <phoneticPr fontId="4" type="noConversion"/>
  </si>
  <si>
    <t>中间纵向支撑管</t>
    <phoneticPr fontId="4" type="noConversion"/>
  </si>
  <si>
    <t>切豁口</t>
    <phoneticPr fontId="4" type="noConversion"/>
  </si>
  <si>
    <t>FT K1-7415 012</t>
    <phoneticPr fontId="4" type="noConversion"/>
  </si>
  <si>
    <t>靠背支撑钢丝</t>
    <phoneticPr fontId="4" type="noConversion"/>
  </si>
  <si>
    <t>FT K1-7415 014</t>
    <phoneticPr fontId="4" type="noConversion"/>
  </si>
  <si>
    <t>靠背横向支撑钢丝</t>
    <phoneticPr fontId="4" type="noConversion"/>
  </si>
  <si>
    <t>FT K1-7415 013</t>
    <phoneticPr fontId="4" type="noConversion"/>
  </si>
  <si>
    <t>靠背横向支撑管</t>
    <phoneticPr fontId="4" type="noConversion"/>
  </si>
  <si>
    <t>FT K1-7415 003L</t>
    <phoneticPr fontId="4" type="noConversion"/>
  </si>
  <si>
    <t>左侧连接板</t>
    <phoneticPr fontId="4" type="noConversion"/>
  </si>
  <si>
    <t>FT K1-7145 006</t>
    <phoneticPr fontId="4" type="noConversion"/>
  </si>
  <si>
    <t>SLT0000569/SLT0000568</t>
    <phoneticPr fontId="4" type="noConversion"/>
  </si>
  <si>
    <t>四人连体右背（无头枕）/四人连体左背（无头枕）
（无图纸）</t>
    <phoneticPr fontId="4" type="noConversion"/>
  </si>
  <si>
    <t>FT K1-7415 001L</t>
    <phoneticPr fontId="4" type="noConversion"/>
  </si>
  <si>
    <t>中间连接板左</t>
    <phoneticPr fontId="4" type="noConversion"/>
  </si>
  <si>
    <t>Q235</t>
    <phoneticPr fontId="4" type="noConversion"/>
  </si>
  <si>
    <t>100T</t>
    <phoneticPr fontId="4" type="noConversion"/>
  </si>
  <si>
    <t>6.4米车，往返2000元/车，一车装8个工装，每个工装装35件，则每件产品运费7.14</t>
    <phoneticPr fontId="4" type="noConversion"/>
  </si>
  <si>
    <t>FT K1-7415 001R</t>
    <phoneticPr fontId="4" type="noConversion"/>
  </si>
  <si>
    <t>中间连接板右</t>
    <phoneticPr fontId="4" type="noConversion"/>
  </si>
  <si>
    <t>FT K1-7145 003R</t>
    <phoneticPr fontId="4" type="noConversion"/>
  </si>
  <si>
    <t>右侧连接板</t>
    <phoneticPr fontId="4" type="noConversion"/>
  </si>
  <si>
    <t>落料冲孔</t>
    <phoneticPr fontId="4" type="noConversion"/>
  </si>
  <si>
    <t>80T</t>
    <phoneticPr fontId="4" type="noConversion"/>
  </si>
  <si>
    <t>成型</t>
    <phoneticPr fontId="4" type="noConversion"/>
  </si>
  <si>
    <t>FT K1-7145 006代号错</t>
    <phoneticPr fontId="4" type="noConversion"/>
  </si>
  <si>
    <t>侧臂管</t>
    <phoneticPr fontId="4" type="noConversion"/>
  </si>
  <si>
    <t>Q195</t>
    <phoneticPr fontId="4" type="noConversion"/>
  </si>
  <si>
    <t>下料</t>
    <phoneticPr fontId="4" type="noConversion"/>
  </si>
  <si>
    <t>折弯</t>
    <phoneticPr fontId="4" type="noConversion"/>
  </si>
  <si>
    <t>拍扁</t>
    <phoneticPr fontId="4" type="noConversion"/>
  </si>
  <si>
    <t>40T</t>
    <phoneticPr fontId="4" type="noConversion"/>
  </si>
  <si>
    <t>靠背主体管</t>
    <phoneticPr fontId="4" type="noConversion"/>
  </si>
  <si>
    <t>砸窝</t>
    <phoneticPr fontId="4" type="noConversion"/>
  </si>
  <si>
    <t>FT K1-7145 009</t>
    <phoneticPr fontId="4" type="noConversion"/>
  </si>
  <si>
    <t>中间纵向支撑管</t>
    <phoneticPr fontId="4" type="noConversion"/>
  </si>
  <si>
    <t>Q235</t>
    <phoneticPr fontId="4" type="noConversion"/>
  </si>
  <si>
    <t>切豁口</t>
    <phoneticPr fontId="4" type="noConversion"/>
  </si>
  <si>
    <t>FT K1-7415 012</t>
    <phoneticPr fontId="4" type="noConversion"/>
  </si>
  <si>
    <t>靠背支撑钢丝</t>
    <phoneticPr fontId="4" type="noConversion"/>
  </si>
  <si>
    <t>FT K1-7415 014</t>
    <phoneticPr fontId="4" type="noConversion"/>
  </si>
  <si>
    <t>靠背横向支撑钢丝</t>
    <phoneticPr fontId="4" type="noConversion"/>
  </si>
  <si>
    <t>FT K1-7415 013</t>
    <phoneticPr fontId="4" type="noConversion"/>
  </si>
  <si>
    <t>靠背横向支撑管</t>
    <phoneticPr fontId="4" type="noConversion"/>
  </si>
  <si>
    <t>FT K1-7415 005L</t>
    <phoneticPr fontId="4" type="noConversion"/>
  </si>
  <si>
    <t>左侧上支撑板</t>
    <phoneticPr fontId="4" type="noConversion"/>
  </si>
  <si>
    <t>FT K1-7415 004L</t>
    <phoneticPr fontId="4" type="noConversion"/>
  </si>
  <si>
    <t>左侧下支撑板</t>
    <phoneticPr fontId="4" type="noConversion"/>
  </si>
  <si>
    <t>落料</t>
    <phoneticPr fontId="4" type="noConversion"/>
  </si>
  <si>
    <t>FT K1-7415 003L</t>
    <phoneticPr fontId="4" type="noConversion"/>
  </si>
  <si>
    <t>左侧连接板</t>
    <phoneticPr fontId="4" type="noConversion"/>
  </si>
  <si>
    <t>SAPH440</t>
    <phoneticPr fontId="4" type="noConversion"/>
  </si>
  <si>
    <t>100T</t>
    <phoneticPr fontId="4" type="noConversion"/>
  </si>
  <si>
    <t>焊接</t>
    <phoneticPr fontId="4" type="noConversion"/>
  </si>
  <si>
    <t>喷涂</t>
    <phoneticPr fontId="4" type="noConversion"/>
  </si>
  <si>
    <t>重量kg</t>
    <phoneticPr fontId="4" type="noConversion"/>
  </si>
  <si>
    <t>SLT0001035</t>
    <phoneticPr fontId="4" type="noConversion"/>
  </si>
  <si>
    <t>SLT0000394</t>
    <phoneticPr fontId="4" type="noConversion"/>
  </si>
  <si>
    <t>无</t>
    <phoneticPr fontId="4" type="noConversion"/>
  </si>
  <si>
    <t>审批价折合每公斤价格</t>
    <phoneticPr fontId="4" type="noConversion"/>
  </si>
  <si>
    <t>审批价格与目标价格差异</t>
    <phoneticPr fontId="4" type="noConversion"/>
  </si>
  <si>
    <t>工厂：潍坊</t>
    <phoneticPr fontId="4" type="noConversion"/>
  </si>
  <si>
    <t>推算价格与审批价格差异率</t>
    <phoneticPr fontId="4" type="noConversion"/>
  </si>
  <si>
    <t>3.6kg？</t>
    <phoneticPr fontId="4" type="noConversion"/>
  </si>
  <si>
    <t>按2020年价格每吨钢材涨价550元推算采购价格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</si>
</sst>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76" formatCode="0.0000"/>
    <numFmt numFmtId="177" formatCode="0.00_ "/>
    <numFmt numFmtId="178" formatCode="0.000_ "/>
    <numFmt numFmtId="179" formatCode="0.00_);[Red]\(0.00\)"/>
    <numFmt numFmtId="180" formatCode="0.000_);[Red]\(0.000\)"/>
    <numFmt numFmtId="181" formatCode="0_ "/>
    <numFmt numFmtId="182" formatCode="0.0"/>
    <numFmt numFmtId="183" formatCode="0.0%"/>
  </numFmts>
  <fonts count="12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4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0" borderId="0"/>
    <xf numFmtId="43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113">
    <xf numFmtId="0" fontId="0" fillId="0" borderId="0" xfId="0"/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0" fontId="2" fillId="3" borderId="0" xfId="2" applyFill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9" fontId="7" fillId="0" borderId="1" xfId="2" applyNumberFormat="1" applyFont="1" applyBorder="1" applyAlignment="1">
      <alignment vertical="center"/>
    </xf>
    <xf numFmtId="176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176" fontId="7" fillId="0" borderId="0" xfId="2" applyNumberFormat="1" applyFont="1" applyAlignment="1">
      <alignment horizontal="center" vertical="center"/>
    </xf>
    <xf numFmtId="43" fontId="7" fillId="0" borderId="0" xfId="3" applyFont="1" applyAlignment="1">
      <alignment horizontal="center" vertical="center"/>
    </xf>
    <xf numFmtId="177" fontId="9" fillId="0" borderId="0" xfId="4" applyNumberFormat="1" applyFont="1" applyAlignment="1">
      <alignment horizontal="center" vertical="center"/>
    </xf>
    <xf numFmtId="179" fontId="8" fillId="0" borderId="0" xfId="4" applyNumberFormat="1">
      <alignment vertical="center"/>
    </xf>
    <xf numFmtId="0" fontId="8" fillId="0" borderId="0" xfId="4">
      <alignment vertical="center"/>
    </xf>
    <xf numFmtId="181" fontId="8" fillId="0" borderId="1" xfId="4" applyNumberFormat="1" applyBorder="1" applyAlignment="1">
      <alignment horizontal="center" vertical="center"/>
    </xf>
    <xf numFmtId="0" fontId="8" fillId="0" borderId="1" xfId="4" applyBorder="1" applyAlignment="1">
      <alignment horizontal="center" vertical="center"/>
    </xf>
    <xf numFmtId="177" fontId="8" fillId="0" borderId="1" xfId="4" applyNumberFormat="1" applyBorder="1" applyAlignment="1">
      <alignment horizontal="center" vertical="center"/>
    </xf>
    <xf numFmtId="180" fontId="8" fillId="0" borderId="1" xfId="4" applyNumberFormat="1" applyFont="1" applyBorder="1" applyAlignment="1">
      <alignment horizontal="center" vertical="center"/>
    </xf>
    <xf numFmtId="0" fontId="8" fillId="0" borderId="1" xfId="4" applyBorder="1" applyAlignment="1">
      <alignment horizontal="center" vertical="center" shrinkToFit="1"/>
    </xf>
    <xf numFmtId="177" fontId="8" fillId="0" borderId="1" xfId="4" applyNumberFormat="1" applyBorder="1" applyAlignment="1">
      <alignment horizontal="center" vertical="center" shrinkToFit="1"/>
    </xf>
    <xf numFmtId="0" fontId="8" fillId="0" borderId="1" xfId="4" applyBorder="1" applyAlignment="1">
      <alignment horizontal="center" vertical="center" wrapText="1"/>
    </xf>
    <xf numFmtId="0" fontId="8" fillId="0" borderId="1" xfId="4" applyBorder="1">
      <alignment vertical="center"/>
    </xf>
    <xf numFmtId="0" fontId="8" fillId="0" borderId="1" xfId="4" applyBorder="1" applyAlignment="1">
      <alignment horizontal="left" vertical="center"/>
    </xf>
    <xf numFmtId="181" fontId="8" fillId="0" borderId="1" xfId="4" applyNumberFormat="1" applyBorder="1" applyAlignment="1">
      <alignment vertical="center"/>
    </xf>
    <xf numFmtId="0" fontId="8" fillId="0" borderId="1" xfId="4" applyBorder="1" applyAlignment="1">
      <alignment vertical="center"/>
    </xf>
    <xf numFmtId="179" fontId="8" fillId="0" borderId="1" xfId="4" applyNumberFormat="1" applyBorder="1">
      <alignment vertical="center"/>
    </xf>
    <xf numFmtId="180" fontId="8" fillId="0" borderId="1" xfId="4" applyNumberFormat="1" applyFont="1" applyBorder="1" applyAlignment="1">
      <alignment vertical="center"/>
    </xf>
    <xf numFmtId="179" fontId="8" fillId="0" borderId="1" xfId="4" applyNumberFormat="1" applyBorder="1" applyAlignment="1">
      <alignment vertical="center"/>
    </xf>
    <xf numFmtId="177" fontId="8" fillId="0" borderId="1" xfId="4" applyNumberFormat="1" applyBorder="1">
      <alignment vertical="center"/>
    </xf>
    <xf numFmtId="180" fontId="6" fillId="0" borderId="1" xfId="6" applyNumberFormat="1" applyFont="1" applyBorder="1" applyAlignment="1">
      <alignment vertical="center"/>
    </xf>
    <xf numFmtId="0" fontId="11" fillId="0" borderId="1" xfId="4" applyFont="1" applyBorder="1">
      <alignment vertical="center"/>
    </xf>
    <xf numFmtId="179" fontId="11" fillId="0" borderId="1" xfId="4" applyNumberFormat="1" applyFont="1" applyBorder="1">
      <alignment vertical="center"/>
    </xf>
    <xf numFmtId="177" fontId="8" fillId="4" borderId="1" xfId="4" applyNumberFormat="1" applyFill="1" applyBorder="1" applyAlignment="1">
      <alignment horizontal="center" vertical="center"/>
    </xf>
    <xf numFmtId="182" fontId="8" fillId="0" borderId="1" xfId="4" applyNumberFormat="1" applyBorder="1" applyAlignment="1">
      <alignment vertical="center"/>
    </xf>
    <xf numFmtId="0" fontId="8" fillId="5" borderId="1" xfId="4" applyFill="1" applyBorder="1" applyAlignment="1">
      <alignment horizontal="left" vertical="center"/>
    </xf>
    <xf numFmtId="181" fontId="8" fillId="5" borderId="1" xfId="4" applyNumberFormat="1" applyFill="1" applyBorder="1" applyAlignment="1">
      <alignment vertical="center"/>
    </xf>
    <xf numFmtId="0" fontId="8" fillId="5" borderId="1" xfId="4" applyFill="1" applyBorder="1" applyAlignment="1">
      <alignment vertical="center"/>
    </xf>
    <xf numFmtId="179" fontId="11" fillId="5" borderId="1" xfId="4" applyNumberFormat="1" applyFont="1" applyFill="1" applyBorder="1">
      <alignment vertical="center"/>
    </xf>
    <xf numFmtId="179" fontId="8" fillId="5" borderId="1" xfId="4" applyNumberFormat="1" applyFill="1" applyBorder="1">
      <alignment vertical="center"/>
    </xf>
    <xf numFmtId="180" fontId="6" fillId="5" borderId="1" xfId="6" applyNumberFormat="1" applyFont="1" applyFill="1" applyBorder="1" applyAlignment="1">
      <alignment vertical="center"/>
    </xf>
    <xf numFmtId="180" fontId="8" fillId="5" borderId="1" xfId="4" applyNumberFormat="1" applyFont="1" applyFill="1" applyBorder="1" applyAlignment="1">
      <alignment vertical="center"/>
    </xf>
    <xf numFmtId="179" fontId="8" fillId="5" borderId="1" xfId="4" applyNumberFormat="1" applyFill="1" applyBorder="1" applyAlignment="1">
      <alignment vertical="center"/>
    </xf>
    <xf numFmtId="0" fontId="8" fillId="0" borderId="2" xfId="4" applyFill="1" applyBorder="1" applyAlignment="1">
      <alignment horizontal="center" vertical="center" wrapText="1"/>
    </xf>
    <xf numFmtId="0" fontId="8" fillId="0" borderId="1" xfId="4" applyFill="1" applyBorder="1">
      <alignment vertical="center"/>
    </xf>
    <xf numFmtId="0" fontId="8" fillId="0" borderId="1" xfId="4" applyFill="1" applyBorder="1" applyAlignment="1">
      <alignment horizontal="center" vertical="center"/>
    </xf>
    <xf numFmtId="0" fontId="8" fillId="0" borderId="1" xfId="4" applyFill="1" applyBorder="1" applyAlignment="1">
      <alignment horizontal="left" vertical="center"/>
    </xf>
    <xf numFmtId="0" fontId="8" fillId="0" borderId="1" xfId="4" applyFill="1" applyBorder="1" applyAlignment="1">
      <alignment vertical="center"/>
    </xf>
    <xf numFmtId="179" fontId="8" fillId="0" borderId="1" xfId="4" applyNumberFormat="1" applyFill="1" applyBorder="1">
      <alignment vertical="center"/>
    </xf>
    <xf numFmtId="180" fontId="8" fillId="0" borderId="1" xfId="4" applyNumberFormat="1" applyFont="1" applyFill="1" applyBorder="1" applyAlignment="1">
      <alignment vertical="center"/>
    </xf>
    <xf numFmtId="179" fontId="8" fillId="0" borderId="1" xfId="4" applyNumberFormat="1" applyFill="1" applyBorder="1" applyAlignment="1">
      <alignment vertical="center"/>
    </xf>
    <xf numFmtId="177" fontId="8" fillId="0" borderId="1" xfId="4" applyNumberFormat="1" applyFill="1" applyBorder="1">
      <alignment vertical="center"/>
    </xf>
    <xf numFmtId="0" fontId="8" fillId="0" borderId="1" xfId="4" applyFill="1" applyBorder="1" applyAlignment="1">
      <alignment horizontal="center" vertical="center" wrapText="1"/>
    </xf>
    <xf numFmtId="180" fontId="6" fillId="0" borderId="1" xfId="6" applyNumberFormat="1" applyFont="1" applyFill="1" applyBorder="1" applyAlignment="1">
      <alignment vertical="center"/>
    </xf>
    <xf numFmtId="0" fontId="11" fillId="0" borderId="1" xfId="4" applyFont="1" applyFill="1" applyBorder="1">
      <alignment vertical="center"/>
    </xf>
    <xf numFmtId="179" fontId="11" fillId="0" borderId="1" xfId="4" applyNumberFormat="1" applyFont="1" applyFill="1" applyBorder="1">
      <alignment vertical="center"/>
    </xf>
    <xf numFmtId="0" fontId="8" fillId="0" borderId="8" xfId="4" applyFill="1" applyBorder="1" applyAlignment="1">
      <alignment horizontal="center" vertical="center" wrapText="1"/>
    </xf>
    <xf numFmtId="0" fontId="8" fillId="0" borderId="8" xfId="4" applyFill="1" applyBorder="1">
      <alignment vertical="center"/>
    </xf>
    <xf numFmtId="0" fontId="8" fillId="0" borderId="8" xfId="4" applyFill="1" applyBorder="1" applyAlignment="1">
      <alignment horizontal="center" vertical="center"/>
    </xf>
    <xf numFmtId="0" fontId="8" fillId="0" borderId="8" xfId="4" applyFill="1" applyBorder="1" applyAlignment="1">
      <alignment vertical="center"/>
    </xf>
    <xf numFmtId="177" fontId="8" fillId="0" borderId="8" xfId="4" applyNumberFormat="1" applyFill="1" applyBorder="1">
      <alignment vertical="center"/>
    </xf>
    <xf numFmtId="180" fontId="8" fillId="0" borderId="8" xfId="4" applyNumberFormat="1" applyFont="1" applyFill="1" applyBorder="1" applyAlignment="1">
      <alignment vertical="center"/>
    </xf>
    <xf numFmtId="179" fontId="8" fillId="0" borderId="8" xfId="4" applyNumberFormat="1" applyFill="1" applyBorder="1" applyAlignment="1">
      <alignment vertical="center"/>
    </xf>
    <xf numFmtId="177" fontId="8" fillId="0" borderId="1" xfId="4" applyNumberFormat="1" applyFill="1" applyBorder="1" applyAlignment="1">
      <alignment horizontal="center" vertical="center"/>
    </xf>
    <xf numFmtId="0" fontId="8" fillId="0" borderId="0" xfId="4" applyAlignment="1">
      <alignment horizontal="center" vertical="center"/>
    </xf>
    <xf numFmtId="181" fontId="8" fillId="0" borderId="0" xfId="4" applyNumberFormat="1" applyAlignment="1">
      <alignment vertical="center"/>
    </xf>
    <xf numFmtId="0" fontId="8" fillId="0" borderId="0" xfId="4" applyAlignment="1">
      <alignment vertical="center"/>
    </xf>
    <xf numFmtId="180" fontId="8" fillId="0" borderId="0" xfId="4" applyNumberFormat="1" applyFont="1" applyAlignment="1">
      <alignment vertical="center"/>
    </xf>
    <xf numFmtId="179" fontId="8" fillId="0" borderId="0" xfId="4" applyNumberFormat="1" applyAlignment="1">
      <alignment vertical="center"/>
    </xf>
    <xf numFmtId="0" fontId="7" fillId="7" borderId="1" xfId="2" applyFont="1" applyFill="1" applyBorder="1" applyAlignment="1">
      <alignment horizontal="center" vertical="center" wrapText="1"/>
    </xf>
    <xf numFmtId="43" fontId="7" fillId="7" borderId="1" xfId="3" applyFont="1" applyFill="1" applyBorder="1" applyAlignment="1">
      <alignment horizontal="center" vertical="center" wrapText="1"/>
    </xf>
    <xf numFmtId="0" fontId="7" fillId="7" borderId="1" xfId="2" applyFont="1" applyFill="1" applyBorder="1" applyAlignment="1">
      <alignment horizontal="center" vertical="center"/>
    </xf>
    <xf numFmtId="0" fontId="2" fillId="6" borderId="0" xfId="2" applyFill="1" applyAlignment="1">
      <alignment vertical="center"/>
    </xf>
    <xf numFmtId="0" fontId="7" fillId="6" borderId="1" xfId="2" applyFont="1" applyFill="1" applyBorder="1" applyAlignment="1">
      <alignment horizontal="center" vertical="center" wrapText="1"/>
    </xf>
    <xf numFmtId="183" fontId="7" fillId="6" borderId="0" xfId="1" applyNumberFormat="1" applyFont="1" applyFill="1" applyAlignment="1">
      <alignment horizontal="center" vertical="center"/>
    </xf>
    <xf numFmtId="176" fontId="7" fillId="8" borderId="1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2" fillId="0" borderId="0" xfId="2" applyAlignment="1">
      <alignment horizontal="center" vertical="center"/>
    </xf>
    <xf numFmtId="0" fontId="7" fillId="0" borderId="1" xfId="2" applyFont="1" applyBorder="1" applyAlignment="1">
      <alignment horizontal="left" vertical="top" wrapText="1"/>
    </xf>
    <xf numFmtId="0" fontId="7" fillId="0" borderId="3" xfId="2" applyFont="1" applyBorder="1" applyAlignment="1">
      <alignment vertical="top" wrapText="1"/>
    </xf>
    <xf numFmtId="0" fontId="7" fillId="0" borderId="4" xfId="2" applyFont="1" applyBorder="1" applyAlignment="1">
      <alignment vertical="top" wrapText="1"/>
    </xf>
    <xf numFmtId="0" fontId="7" fillId="0" borderId="1" xfId="2" applyFont="1" applyBorder="1" applyAlignment="1">
      <alignment vertical="top" wrapText="1"/>
    </xf>
    <xf numFmtId="0" fontId="7" fillId="0" borderId="3" xfId="2" applyFont="1" applyBorder="1" applyAlignment="1">
      <alignment horizontal="left" vertical="top" wrapText="1"/>
    </xf>
    <xf numFmtId="0" fontId="7" fillId="0" borderId="4" xfId="2" applyFont="1" applyBorder="1" applyAlignment="1">
      <alignment horizontal="left" vertical="top" wrapText="1"/>
    </xf>
    <xf numFmtId="179" fontId="8" fillId="0" borderId="1" xfId="4" applyNumberFormat="1" applyFill="1" applyBorder="1" applyAlignment="1">
      <alignment horizontal="center" vertical="center" wrapText="1"/>
    </xf>
    <xf numFmtId="179" fontId="8" fillId="0" borderId="8" xfId="4" applyNumberFormat="1" applyFill="1" applyBorder="1" applyAlignment="1">
      <alignment horizontal="center" vertical="center" wrapText="1"/>
    </xf>
    <xf numFmtId="0" fontId="8" fillId="0" borderId="5" xfId="4" applyFill="1" applyBorder="1" applyAlignment="1">
      <alignment horizontal="center" vertical="center" wrapText="1"/>
    </xf>
    <xf numFmtId="0" fontId="8" fillId="0" borderId="7" xfId="4" applyFill="1" applyBorder="1" applyAlignment="1">
      <alignment horizontal="center" vertical="center" wrapText="1"/>
    </xf>
    <xf numFmtId="0" fontId="8" fillId="0" borderId="1" xfId="4" applyFill="1" applyBorder="1" applyAlignment="1">
      <alignment horizontal="center" vertical="center" wrapText="1"/>
    </xf>
    <xf numFmtId="0" fontId="8" fillId="0" borderId="8" xfId="4" applyFill="1" applyBorder="1" applyAlignment="1">
      <alignment horizontal="center" vertical="center" wrapText="1"/>
    </xf>
    <xf numFmtId="9" fontId="8" fillId="0" borderId="1" xfId="4" applyNumberFormat="1" applyFill="1" applyBorder="1" applyAlignment="1">
      <alignment horizontal="center" vertical="center" wrapText="1"/>
    </xf>
    <xf numFmtId="9" fontId="8" fillId="0" borderId="8" xfId="4" applyNumberFormat="1" applyFill="1" applyBorder="1" applyAlignment="1">
      <alignment horizontal="center" vertical="center" wrapText="1"/>
    </xf>
    <xf numFmtId="179" fontId="8" fillId="0" borderId="2" xfId="5" applyNumberFormat="1" applyFont="1" applyFill="1" applyBorder="1" applyAlignment="1">
      <alignment horizontal="center" vertical="center" wrapText="1"/>
    </xf>
    <xf numFmtId="179" fontId="8" fillId="0" borderId="6" xfId="5" applyNumberFormat="1" applyFont="1" applyFill="1" applyBorder="1" applyAlignment="1">
      <alignment horizontal="center" vertical="center" wrapText="1"/>
    </xf>
    <xf numFmtId="179" fontId="8" fillId="0" borderId="1" xfId="5" applyNumberFormat="1" applyFont="1" applyFill="1" applyBorder="1" applyAlignment="1">
      <alignment horizontal="center" vertical="center"/>
    </xf>
    <xf numFmtId="0" fontId="8" fillId="0" borderId="1" xfId="4" applyBorder="1" applyAlignment="1">
      <alignment horizontal="center" vertical="center" wrapText="1"/>
    </xf>
    <xf numFmtId="9" fontId="8" fillId="0" borderId="1" xfId="5" applyFont="1" applyFill="1" applyBorder="1" applyAlignment="1">
      <alignment horizontal="center" vertical="center"/>
    </xf>
    <xf numFmtId="179" fontId="8" fillId="0" borderId="1" xfId="5" applyNumberFormat="1" applyFont="1" applyBorder="1" applyAlignment="1">
      <alignment horizontal="center" vertical="center" wrapText="1"/>
    </xf>
    <xf numFmtId="177" fontId="8" fillId="0" borderId="1" xfId="4" applyNumberFormat="1" applyBorder="1" applyAlignment="1">
      <alignment horizontal="center" vertical="center"/>
    </xf>
    <xf numFmtId="177" fontId="8" fillId="0" borderId="1" xfId="4" applyNumberFormat="1" applyBorder="1">
      <alignment vertical="center"/>
    </xf>
    <xf numFmtId="180" fontId="8" fillId="0" borderId="1" xfId="4" applyNumberFormat="1" applyFont="1" applyBorder="1" applyAlignment="1">
      <alignment horizontal="center" vertical="center"/>
    </xf>
    <xf numFmtId="179" fontId="8" fillId="0" borderId="1" xfId="4" applyNumberFormat="1" applyBorder="1" applyAlignment="1">
      <alignment vertical="center"/>
    </xf>
    <xf numFmtId="0" fontId="8" fillId="0" borderId="1" xfId="4" applyBorder="1" applyAlignment="1">
      <alignment horizontal="center" vertical="center"/>
    </xf>
    <xf numFmtId="179" fontId="8" fillId="0" borderId="1" xfId="4" applyNumberForma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177" fontId="9" fillId="0" borderId="0" xfId="4" applyNumberFormat="1" applyFont="1">
      <alignment vertical="center"/>
    </xf>
    <xf numFmtId="178" fontId="9" fillId="0" borderId="0" xfId="4" applyNumberFormat="1" applyFont="1" applyAlignment="1">
      <alignment horizontal="center" vertical="center"/>
    </xf>
    <xf numFmtId="178" fontId="9" fillId="0" borderId="0" xfId="4" applyNumberFormat="1" applyFont="1">
      <alignment vertical="center"/>
    </xf>
    <xf numFmtId="177" fontId="9" fillId="0" borderId="0" xfId="4" applyNumberFormat="1" applyFont="1" applyAlignment="1">
      <alignment horizontal="center" vertical="center"/>
    </xf>
    <xf numFmtId="0" fontId="8" fillId="0" borderId="1" xfId="4" applyBorder="1" applyAlignment="1">
      <alignment horizontal="center" vertical="center" shrinkToFit="1"/>
    </xf>
  </cellXfs>
  <cellStyles count="7">
    <cellStyle name="百分比" xfId="1" builtinId="5"/>
    <cellStyle name="百分比 2" xfId="5"/>
    <cellStyle name="常规" xfId="0" builtinId="0"/>
    <cellStyle name="常规 2" xfId="2"/>
    <cellStyle name="常规 2 2" xfId="4"/>
    <cellStyle name="常规 3" xfId="6"/>
    <cellStyle name="千位分隔" xfId="3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74</xdr:row>
      <xdr:rowOff>0</xdr:rowOff>
    </xdr:from>
    <xdr:to>
      <xdr:col>13</xdr:col>
      <xdr:colOff>159197</xdr:colOff>
      <xdr:row>96</xdr:row>
      <xdr:rowOff>3124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41C87513-14D9-4F6C-A878-F730258CB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38000940"/>
          <a:ext cx="10937687" cy="77145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316;&#36164;&#26009;/&#27827;&#21271;&#20809;&#21326;&#33635;&#26124;&#37319;&#36141;&#24037;&#20316;/&#20135;&#21697;&#26680;&#20215;/&#25104;&#26412;&#26680;&#31639;/&#24658;&#20255;&#20116;&#37329;/2022&#24180;&#24180;&#38477;&#26680;&#31639;/2022&#24180;&#38752;&#32972;&#39592;&#26550;-&#24658;&#202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年"/>
      <sheetName val="补差价核算"/>
      <sheetName val="成本核算"/>
    </sheetNames>
    <sheetDataSet>
      <sheetData sheetId="0"/>
      <sheetData sheetId="1">
        <row r="30">
          <cell r="C30" t="str">
            <v>SLT0000408</v>
          </cell>
          <cell r="D30" t="str">
            <v>K1单人背（带头枕）</v>
          </cell>
          <cell r="E30">
            <v>26.734999999999999</v>
          </cell>
          <cell r="F30">
            <v>2.1549999999999998</v>
          </cell>
          <cell r="H30">
            <v>0.55000000000000004</v>
          </cell>
          <cell r="I30">
            <v>1.1852499999999999</v>
          </cell>
          <cell r="J30">
            <v>1.2208075</v>
          </cell>
          <cell r="K30">
            <v>0.80204999999999993</v>
          </cell>
          <cell r="L30">
            <v>2.0228574999999998</v>
          </cell>
          <cell r="M30">
            <v>28.7578575</v>
          </cell>
        </row>
        <row r="31">
          <cell r="C31" t="str">
            <v>SLT0000551</v>
          </cell>
          <cell r="D31" t="str">
            <v>K1单人背（无头枕）</v>
          </cell>
          <cell r="E31">
            <v>26.187999999999999</v>
          </cell>
          <cell r="F31">
            <v>2.1549999999999998</v>
          </cell>
          <cell r="H31">
            <v>0.55000000000000004</v>
          </cell>
          <cell r="I31">
            <v>1.1852499999999999</v>
          </cell>
          <cell r="J31">
            <v>1.2208075</v>
          </cell>
          <cell r="K31">
            <v>0.78563999999999989</v>
          </cell>
          <cell r="L31">
            <v>2.0064475000000002</v>
          </cell>
          <cell r="M31">
            <v>28.194447499999999</v>
          </cell>
        </row>
        <row r="32">
          <cell r="C32" t="str">
            <v>SLT0000394</v>
          </cell>
          <cell r="D32" t="str">
            <v>K1双人左背</v>
          </cell>
          <cell r="E32">
            <v>28.461500000000001</v>
          </cell>
          <cell r="F32">
            <v>2.1850000000000001</v>
          </cell>
          <cell r="H32">
            <v>0.55000000000000004</v>
          </cell>
          <cell r="I32">
            <v>1.2017500000000001</v>
          </cell>
          <cell r="J32">
            <v>1.2378025000000001</v>
          </cell>
          <cell r="K32">
            <v>0.85384499999999997</v>
          </cell>
          <cell r="L32">
            <v>2.0916475000000001</v>
          </cell>
          <cell r="M32">
            <v>30.553147500000001</v>
          </cell>
        </row>
        <row r="33">
          <cell r="C33" t="str">
            <v>SLT0000395</v>
          </cell>
          <cell r="D33" t="str">
            <v>双人右背（安全盒）</v>
          </cell>
          <cell r="E33">
            <v>32.786283185840709</v>
          </cell>
          <cell r="F33">
            <v>2.65</v>
          </cell>
          <cell r="H33">
            <v>0.75</v>
          </cell>
          <cell r="I33">
            <v>1.9874999999999998</v>
          </cell>
          <cell r="J33">
            <v>2.0471249999999999</v>
          </cell>
          <cell r="K33">
            <v>0.98358849557522121</v>
          </cell>
          <cell r="L33">
            <v>3.0307134955752213</v>
          </cell>
          <cell r="M33">
            <v>35.81699668141593</v>
          </cell>
        </row>
        <row r="34">
          <cell r="C34" t="str">
            <v>SLT0000578</v>
          </cell>
          <cell r="D34" t="str">
            <v>双人右置左背</v>
          </cell>
          <cell r="E34">
            <v>30.726500000000001</v>
          </cell>
          <cell r="F34">
            <v>2.65</v>
          </cell>
          <cell r="H34">
            <v>1.3</v>
          </cell>
          <cell r="I34">
            <v>3.4449999999999998</v>
          </cell>
          <cell r="J34">
            <v>3.5483500000000001</v>
          </cell>
          <cell r="K34">
            <v>0.92179500000000003</v>
          </cell>
          <cell r="L34">
            <v>4.4701450000000005</v>
          </cell>
          <cell r="M34">
            <v>35.196645000000004</v>
          </cell>
        </row>
        <row r="35">
          <cell r="C35" t="str">
            <v>SLT0000517</v>
          </cell>
          <cell r="D35" t="str">
            <v>新侧翻（三点式）</v>
          </cell>
          <cell r="E35">
            <v>38.734999999999999</v>
          </cell>
          <cell r="F35">
            <v>3.99</v>
          </cell>
          <cell r="H35">
            <v>0.8</v>
          </cell>
          <cell r="I35">
            <v>3.1920000000000002</v>
          </cell>
          <cell r="J35">
            <v>3.2877600000000005</v>
          </cell>
          <cell r="K35">
            <v>1.16205</v>
          </cell>
          <cell r="L35">
            <v>4.4498100000000003</v>
          </cell>
          <cell r="M35">
            <v>43.184809999999999</v>
          </cell>
        </row>
        <row r="36">
          <cell r="C36" t="str">
            <v>SLT0000604</v>
          </cell>
          <cell r="D36" t="str">
            <v>新侧翻单头枕（三点式）</v>
          </cell>
          <cell r="E36">
            <v>37.068399999999997</v>
          </cell>
          <cell r="F36">
            <v>3.76</v>
          </cell>
          <cell r="H36">
            <v>0.8</v>
          </cell>
          <cell r="I36">
            <v>3.008</v>
          </cell>
          <cell r="J36">
            <v>3.0982400000000001</v>
          </cell>
          <cell r="K36">
            <v>1.1120519999999998</v>
          </cell>
          <cell r="L36">
            <v>4.2102919999999999</v>
          </cell>
          <cell r="M36">
            <v>41.278691999999999</v>
          </cell>
        </row>
        <row r="37">
          <cell r="C37" t="str">
            <v>SLT0000651</v>
          </cell>
          <cell r="D37" t="str">
            <v>第四排侧翻背（无头枕）</v>
          </cell>
          <cell r="E37">
            <v>27.965800000000002</v>
          </cell>
          <cell r="F37">
            <v>3.36</v>
          </cell>
          <cell r="H37">
            <v>0.8</v>
          </cell>
          <cell r="I37">
            <v>2.6880000000000002</v>
          </cell>
          <cell r="J37">
            <v>2.7686400000000004</v>
          </cell>
          <cell r="K37">
            <v>0.838974</v>
          </cell>
          <cell r="L37">
            <v>3.6076140000000003</v>
          </cell>
          <cell r="M37">
            <v>31.573414000000003</v>
          </cell>
        </row>
        <row r="38">
          <cell r="C38" t="str">
            <v>SLT0000449</v>
          </cell>
          <cell r="D38" t="str">
            <v>四人连体左背（三点式）</v>
          </cell>
          <cell r="E38">
            <v>49.931600000000003</v>
          </cell>
          <cell r="F38">
            <v>5.35</v>
          </cell>
          <cell r="H38">
            <v>0.9</v>
          </cell>
          <cell r="I38">
            <v>4.8149999999999995</v>
          </cell>
          <cell r="J38">
            <v>4.9594499999999995</v>
          </cell>
          <cell r="K38">
            <v>1.4979480000000001</v>
          </cell>
          <cell r="L38">
            <v>6.4573979999999995</v>
          </cell>
          <cell r="M38">
            <v>56.388998000000001</v>
          </cell>
        </row>
        <row r="39">
          <cell r="C39" t="str">
            <v>SLT0000462</v>
          </cell>
          <cell r="D39" t="str">
            <v>四人连体右背（三点式）</v>
          </cell>
          <cell r="E39">
            <v>49.931600000000003</v>
          </cell>
          <cell r="F39">
            <v>5.35</v>
          </cell>
          <cell r="H39">
            <v>0.9</v>
          </cell>
          <cell r="I39">
            <v>4.8149999999999995</v>
          </cell>
          <cell r="J39">
            <v>4.9594499999999995</v>
          </cell>
          <cell r="K39">
            <v>1.4979480000000001</v>
          </cell>
          <cell r="L39">
            <v>6.4573979999999995</v>
          </cell>
          <cell r="M39">
            <v>56.388998000000001</v>
          </cell>
        </row>
        <row r="40">
          <cell r="C40" t="str">
            <v>SLT0000568</v>
          </cell>
          <cell r="D40" t="str">
            <v>四人连体左背（无头枕）</v>
          </cell>
          <cell r="E40">
            <v>47.965800000000002</v>
          </cell>
          <cell r="F40">
            <v>5.35</v>
          </cell>
          <cell r="H40">
            <v>0.9</v>
          </cell>
          <cell r="I40">
            <v>4.8149999999999995</v>
          </cell>
          <cell r="J40">
            <v>4.9594499999999995</v>
          </cell>
          <cell r="K40">
            <v>1.438974</v>
          </cell>
          <cell r="L40">
            <v>6.3984239999999994</v>
          </cell>
          <cell r="M40">
            <v>54.364224</v>
          </cell>
        </row>
        <row r="41">
          <cell r="C41" t="str">
            <v>SLT0000569</v>
          </cell>
          <cell r="D41" t="str">
            <v>四人连体右背（无头枕）</v>
          </cell>
          <cell r="E41">
            <v>47.965800000000002</v>
          </cell>
          <cell r="F41">
            <v>5.35</v>
          </cell>
          <cell r="H41">
            <v>0.9</v>
          </cell>
          <cell r="I41">
            <v>4.8149999999999995</v>
          </cell>
          <cell r="J41">
            <v>4.9594499999999995</v>
          </cell>
          <cell r="K41">
            <v>1.438974</v>
          </cell>
          <cell r="L41">
            <v>6.3984239999999994</v>
          </cell>
          <cell r="M41">
            <v>54.364224</v>
          </cell>
        </row>
        <row r="42">
          <cell r="C42" t="str">
            <v>SLT0000558</v>
          </cell>
          <cell r="D42" t="str">
            <v>二排双人连体背（无头枕带扶手）</v>
          </cell>
          <cell r="E42">
            <v>53.470100000000002</v>
          </cell>
          <cell r="F42">
            <v>5.35</v>
          </cell>
          <cell r="H42">
            <v>0.9</v>
          </cell>
          <cell r="I42">
            <v>4.8149999999999995</v>
          </cell>
          <cell r="J42">
            <v>4.9594499999999995</v>
          </cell>
          <cell r="K42">
            <v>1.6041030000000001</v>
          </cell>
          <cell r="L42">
            <v>6.5635529999999997</v>
          </cell>
          <cell r="M42">
            <v>60.033653000000001</v>
          </cell>
        </row>
        <row r="43">
          <cell r="C43" t="str">
            <v>SLT0000638</v>
          </cell>
          <cell r="D43" t="str">
            <v>二排双人连体背（带头枕带扶手三点式）</v>
          </cell>
          <cell r="E43">
            <v>50.2821</v>
          </cell>
          <cell r="F43">
            <v>6</v>
          </cell>
          <cell r="H43">
            <v>1.1000000000000001</v>
          </cell>
          <cell r="I43">
            <v>6.6000000000000005</v>
          </cell>
          <cell r="J43">
            <v>6.7980000000000009</v>
          </cell>
          <cell r="K43">
            <v>1.5084629999999999</v>
          </cell>
          <cell r="L43">
            <v>8.3064630000000008</v>
          </cell>
          <cell r="M43">
            <v>58.588563000000001</v>
          </cell>
        </row>
        <row r="44">
          <cell r="C44" t="str">
            <v>SLT0000552</v>
          </cell>
          <cell r="D44" t="str">
            <v>第一排四人三人连体背</v>
          </cell>
          <cell r="E44">
            <v>63.752099999999999</v>
          </cell>
          <cell r="F44">
            <v>8.4499999999999993</v>
          </cell>
          <cell r="H44">
            <v>0.55000000000000004</v>
          </cell>
          <cell r="I44">
            <v>4.6475</v>
          </cell>
          <cell r="J44">
            <v>4.7869250000000001</v>
          </cell>
          <cell r="K44">
            <v>1.9125629999999998</v>
          </cell>
          <cell r="L44">
            <v>6.6994879999999997</v>
          </cell>
          <cell r="M44">
            <v>70.451588000000001</v>
          </cell>
        </row>
        <row r="45">
          <cell r="C45" t="str">
            <v>SLT0000630</v>
          </cell>
          <cell r="D45" t="str">
            <v>第三排三人连体背</v>
          </cell>
          <cell r="E45">
            <v>55.7607</v>
          </cell>
          <cell r="F45">
            <v>8.89</v>
          </cell>
          <cell r="H45">
            <v>1.1000000000000001</v>
          </cell>
          <cell r="I45">
            <v>9.7790000000000017</v>
          </cell>
          <cell r="J45">
            <v>10.072370000000001</v>
          </cell>
          <cell r="K45">
            <v>1.6728209999999999</v>
          </cell>
          <cell r="L45">
            <v>11.745191000000002</v>
          </cell>
          <cell r="M45">
            <v>67.505891000000005</v>
          </cell>
        </row>
        <row r="46">
          <cell r="C46" t="str">
            <v>SLT0000595</v>
          </cell>
          <cell r="D46" t="str">
            <v>第三排侧翻背（单头枕）</v>
          </cell>
          <cell r="E46">
            <v>24.6068</v>
          </cell>
          <cell r="F46">
            <v>3.41</v>
          </cell>
          <cell r="H46">
            <v>1</v>
          </cell>
          <cell r="I46">
            <v>3.41</v>
          </cell>
          <cell r="J46">
            <v>3.5123000000000002</v>
          </cell>
          <cell r="K46">
            <v>0.73820399999999997</v>
          </cell>
          <cell r="L46">
            <v>4.2505040000000003</v>
          </cell>
          <cell r="M46">
            <v>28.857303999999999</v>
          </cell>
        </row>
        <row r="47">
          <cell r="C47" t="str">
            <v>SLT0001041</v>
          </cell>
          <cell r="D47" t="str">
            <v>马来西亚双人左背</v>
          </cell>
          <cell r="E47">
            <v>31.6496</v>
          </cell>
          <cell r="F47">
            <v>2.41</v>
          </cell>
          <cell r="H47">
            <v>0.9</v>
          </cell>
          <cell r="I47">
            <v>2.169</v>
          </cell>
          <cell r="J47">
            <v>2.23407</v>
          </cell>
          <cell r="K47">
            <v>0.949488</v>
          </cell>
          <cell r="L47">
            <v>3.1835580000000001</v>
          </cell>
          <cell r="M47">
            <v>34.833157999999997</v>
          </cell>
        </row>
        <row r="48">
          <cell r="C48" t="str">
            <v>SLT0001042</v>
          </cell>
          <cell r="D48" t="str">
            <v>马来西亚双人右背</v>
          </cell>
          <cell r="E48">
            <v>31.6496</v>
          </cell>
          <cell r="F48">
            <v>2.41</v>
          </cell>
          <cell r="H48">
            <v>0.9</v>
          </cell>
          <cell r="I48">
            <v>2.169</v>
          </cell>
          <cell r="J48">
            <v>2.23407</v>
          </cell>
          <cell r="K48">
            <v>0.949488</v>
          </cell>
          <cell r="L48">
            <v>3.1835580000000001</v>
          </cell>
          <cell r="M48">
            <v>34.833157999999997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27"/>
  <sheetViews>
    <sheetView tabSelected="1" zoomScale="60" zoomScaleNormal="60" workbookViewId="0">
      <pane xSplit="7" ySplit="3" topLeftCell="H4" activePane="bottomRight" state="frozen"/>
      <selection pane="topRight" activeCell="H1" sqref="H1"/>
      <selection pane="bottomLeft" activeCell="A4" sqref="A4"/>
      <selection pane="bottomRight" activeCell="C33" sqref="C33"/>
    </sheetView>
  </sheetViews>
  <sheetFormatPr defaultColWidth="10" defaultRowHeight="27.75" customHeight="1" x14ac:dyDescent="0.2"/>
  <cols>
    <col min="1" max="1" width="6.125" style="1" bestFit="1" customWidth="1"/>
    <col min="2" max="2" width="15.875" style="1" customWidth="1"/>
    <col min="3" max="3" width="25" style="1" customWidth="1"/>
    <col min="4" max="4" width="16" style="1" hidden="1" customWidth="1"/>
    <col min="5" max="5" width="8" style="1" customWidth="1"/>
    <col min="6" max="6" width="14.125" style="3" customWidth="1"/>
    <col min="7" max="7" width="5.625" style="1" customWidth="1"/>
    <col min="8" max="8" width="11.75" style="3" customWidth="1"/>
    <col min="9" max="9" width="13.25" style="3" customWidth="1"/>
    <col min="10" max="10" width="15.875" style="3" customWidth="1"/>
    <col min="11" max="11" width="17" style="1" customWidth="1"/>
    <col min="12" max="12" width="15.75" style="1" customWidth="1"/>
    <col min="13" max="13" width="14.5" style="1" customWidth="1"/>
    <col min="14" max="14" width="15.875" style="1" customWidth="1"/>
    <col min="15" max="15" width="11" style="1" customWidth="1"/>
    <col min="16" max="16" width="11.875" style="1" customWidth="1"/>
    <col min="17" max="17" width="12" style="1" customWidth="1"/>
    <col min="18" max="18" width="20.125" style="1" customWidth="1"/>
    <col min="19" max="19" width="11.5" style="75" customWidth="1"/>
    <col min="20" max="25" width="10" style="1"/>
    <col min="26" max="26" width="21" style="1" customWidth="1"/>
    <col min="27" max="257" width="10" style="1"/>
    <col min="258" max="258" width="6.125" style="1" bestFit="1" customWidth="1"/>
    <col min="259" max="259" width="25.5" style="1" customWidth="1"/>
    <col min="260" max="260" width="23.5" style="1" customWidth="1"/>
    <col min="261" max="261" width="7.25" style="1" customWidth="1"/>
    <col min="262" max="262" width="11.75" style="1" customWidth="1"/>
    <col min="263" max="263" width="5.625" style="1" customWidth="1"/>
    <col min="264" max="264" width="11.75" style="1" customWidth="1"/>
    <col min="265" max="266" width="11.875" style="1" customWidth="1"/>
    <col min="267" max="267" width="15.25" style="1" customWidth="1"/>
    <col min="268" max="268" width="11.625" style="1" customWidth="1"/>
    <col min="269" max="513" width="10" style="1"/>
    <col min="514" max="514" width="6.125" style="1" bestFit="1" customWidth="1"/>
    <col min="515" max="515" width="25.5" style="1" customWidth="1"/>
    <col min="516" max="516" width="23.5" style="1" customWidth="1"/>
    <col min="517" max="517" width="7.25" style="1" customWidth="1"/>
    <col min="518" max="518" width="11.75" style="1" customWidth="1"/>
    <col min="519" max="519" width="5.625" style="1" customWidth="1"/>
    <col min="520" max="520" width="11.75" style="1" customWidth="1"/>
    <col min="521" max="522" width="11.875" style="1" customWidth="1"/>
    <col min="523" max="523" width="15.25" style="1" customWidth="1"/>
    <col min="524" max="524" width="11.625" style="1" customWidth="1"/>
    <col min="525" max="769" width="10" style="1"/>
    <col min="770" max="770" width="6.125" style="1" bestFit="1" customWidth="1"/>
    <col min="771" max="771" width="25.5" style="1" customWidth="1"/>
    <col min="772" max="772" width="23.5" style="1" customWidth="1"/>
    <col min="773" max="773" width="7.25" style="1" customWidth="1"/>
    <col min="774" max="774" width="11.75" style="1" customWidth="1"/>
    <col min="775" max="775" width="5.625" style="1" customWidth="1"/>
    <col min="776" max="776" width="11.75" style="1" customWidth="1"/>
    <col min="777" max="778" width="11.875" style="1" customWidth="1"/>
    <col min="779" max="779" width="15.25" style="1" customWidth="1"/>
    <col min="780" max="780" width="11.625" style="1" customWidth="1"/>
    <col min="781" max="1025" width="10" style="1"/>
    <col min="1026" max="1026" width="6.125" style="1" bestFit="1" customWidth="1"/>
    <col min="1027" max="1027" width="25.5" style="1" customWidth="1"/>
    <col min="1028" max="1028" width="23.5" style="1" customWidth="1"/>
    <col min="1029" max="1029" width="7.25" style="1" customWidth="1"/>
    <col min="1030" max="1030" width="11.75" style="1" customWidth="1"/>
    <col min="1031" max="1031" width="5.625" style="1" customWidth="1"/>
    <col min="1032" max="1032" width="11.75" style="1" customWidth="1"/>
    <col min="1033" max="1034" width="11.875" style="1" customWidth="1"/>
    <col min="1035" max="1035" width="15.25" style="1" customWidth="1"/>
    <col min="1036" max="1036" width="11.625" style="1" customWidth="1"/>
    <col min="1037" max="1281" width="10" style="1"/>
    <col min="1282" max="1282" width="6.125" style="1" bestFit="1" customWidth="1"/>
    <col min="1283" max="1283" width="25.5" style="1" customWidth="1"/>
    <col min="1284" max="1284" width="23.5" style="1" customWidth="1"/>
    <col min="1285" max="1285" width="7.25" style="1" customWidth="1"/>
    <col min="1286" max="1286" width="11.75" style="1" customWidth="1"/>
    <col min="1287" max="1287" width="5.625" style="1" customWidth="1"/>
    <col min="1288" max="1288" width="11.75" style="1" customWidth="1"/>
    <col min="1289" max="1290" width="11.875" style="1" customWidth="1"/>
    <col min="1291" max="1291" width="15.25" style="1" customWidth="1"/>
    <col min="1292" max="1292" width="11.625" style="1" customWidth="1"/>
    <col min="1293" max="1537" width="10" style="1"/>
    <col min="1538" max="1538" width="6.125" style="1" bestFit="1" customWidth="1"/>
    <col min="1539" max="1539" width="25.5" style="1" customWidth="1"/>
    <col min="1540" max="1540" width="23.5" style="1" customWidth="1"/>
    <col min="1541" max="1541" width="7.25" style="1" customWidth="1"/>
    <col min="1542" max="1542" width="11.75" style="1" customWidth="1"/>
    <col min="1543" max="1543" width="5.625" style="1" customWidth="1"/>
    <col min="1544" max="1544" width="11.75" style="1" customWidth="1"/>
    <col min="1545" max="1546" width="11.875" style="1" customWidth="1"/>
    <col min="1547" max="1547" width="15.25" style="1" customWidth="1"/>
    <col min="1548" max="1548" width="11.625" style="1" customWidth="1"/>
    <col min="1549" max="1793" width="10" style="1"/>
    <col min="1794" max="1794" width="6.125" style="1" bestFit="1" customWidth="1"/>
    <col min="1795" max="1795" width="25.5" style="1" customWidth="1"/>
    <col min="1796" max="1796" width="23.5" style="1" customWidth="1"/>
    <col min="1797" max="1797" width="7.25" style="1" customWidth="1"/>
    <col min="1798" max="1798" width="11.75" style="1" customWidth="1"/>
    <col min="1799" max="1799" width="5.625" style="1" customWidth="1"/>
    <col min="1800" max="1800" width="11.75" style="1" customWidth="1"/>
    <col min="1801" max="1802" width="11.875" style="1" customWidth="1"/>
    <col min="1803" max="1803" width="15.25" style="1" customWidth="1"/>
    <col min="1804" max="1804" width="11.625" style="1" customWidth="1"/>
    <col min="1805" max="2049" width="10" style="1"/>
    <col min="2050" max="2050" width="6.125" style="1" bestFit="1" customWidth="1"/>
    <col min="2051" max="2051" width="25.5" style="1" customWidth="1"/>
    <col min="2052" max="2052" width="23.5" style="1" customWidth="1"/>
    <col min="2053" max="2053" width="7.25" style="1" customWidth="1"/>
    <col min="2054" max="2054" width="11.75" style="1" customWidth="1"/>
    <col min="2055" max="2055" width="5.625" style="1" customWidth="1"/>
    <col min="2056" max="2056" width="11.75" style="1" customWidth="1"/>
    <col min="2057" max="2058" width="11.875" style="1" customWidth="1"/>
    <col min="2059" max="2059" width="15.25" style="1" customWidth="1"/>
    <col min="2060" max="2060" width="11.625" style="1" customWidth="1"/>
    <col min="2061" max="2305" width="10" style="1"/>
    <col min="2306" max="2306" width="6.125" style="1" bestFit="1" customWidth="1"/>
    <col min="2307" max="2307" width="25.5" style="1" customWidth="1"/>
    <col min="2308" max="2308" width="23.5" style="1" customWidth="1"/>
    <col min="2309" max="2309" width="7.25" style="1" customWidth="1"/>
    <col min="2310" max="2310" width="11.75" style="1" customWidth="1"/>
    <col min="2311" max="2311" width="5.625" style="1" customWidth="1"/>
    <col min="2312" max="2312" width="11.75" style="1" customWidth="1"/>
    <col min="2313" max="2314" width="11.875" style="1" customWidth="1"/>
    <col min="2315" max="2315" width="15.25" style="1" customWidth="1"/>
    <col min="2316" max="2316" width="11.625" style="1" customWidth="1"/>
    <col min="2317" max="2561" width="10" style="1"/>
    <col min="2562" max="2562" width="6.125" style="1" bestFit="1" customWidth="1"/>
    <col min="2563" max="2563" width="25.5" style="1" customWidth="1"/>
    <col min="2564" max="2564" width="23.5" style="1" customWidth="1"/>
    <col min="2565" max="2565" width="7.25" style="1" customWidth="1"/>
    <col min="2566" max="2566" width="11.75" style="1" customWidth="1"/>
    <col min="2567" max="2567" width="5.625" style="1" customWidth="1"/>
    <col min="2568" max="2568" width="11.75" style="1" customWidth="1"/>
    <col min="2569" max="2570" width="11.875" style="1" customWidth="1"/>
    <col min="2571" max="2571" width="15.25" style="1" customWidth="1"/>
    <col min="2572" max="2572" width="11.625" style="1" customWidth="1"/>
    <col min="2573" max="2817" width="10" style="1"/>
    <col min="2818" max="2818" width="6.125" style="1" bestFit="1" customWidth="1"/>
    <col min="2819" max="2819" width="25.5" style="1" customWidth="1"/>
    <col min="2820" max="2820" width="23.5" style="1" customWidth="1"/>
    <col min="2821" max="2821" width="7.25" style="1" customWidth="1"/>
    <col min="2822" max="2822" width="11.75" style="1" customWidth="1"/>
    <col min="2823" max="2823" width="5.625" style="1" customWidth="1"/>
    <col min="2824" max="2824" width="11.75" style="1" customWidth="1"/>
    <col min="2825" max="2826" width="11.875" style="1" customWidth="1"/>
    <col min="2827" max="2827" width="15.25" style="1" customWidth="1"/>
    <col min="2828" max="2828" width="11.625" style="1" customWidth="1"/>
    <col min="2829" max="3073" width="10" style="1"/>
    <col min="3074" max="3074" width="6.125" style="1" bestFit="1" customWidth="1"/>
    <col min="3075" max="3075" width="25.5" style="1" customWidth="1"/>
    <col min="3076" max="3076" width="23.5" style="1" customWidth="1"/>
    <col min="3077" max="3077" width="7.25" style="1" customWidth="1"/>
    <col min="3078" max="3078" width="11.75" style="1" customWidth="1"/>
    <col min="3079" max="3079" width="5.625" style="1" customWidth="1"/>
    <col min="3080" max="3080" width="11.75" style="1" customWidth="1"/>
    <col min="3081" max="3082" width="11.875" style="1" customWidth="1"/>
    <col min="3083" max="3083" width="15.25" style="1" customWidth="1"/>
    <col min="3084" max="3084" width="11.625" style="1" customWidth="1"/>
    <col min="3085" max="3329" width="10" style="1"/>
    <col min="3330" max="3330" width="6.125" style="1" bestFit="1" customWidth="1"/>
    <col min="3331" max="3331" width="25.5" style="1" customWidth="1"/>
    <col min="3332" max="3332" width="23.5" style="1" customWidth="1"/>
    <col min="3333" max="3333" width="7.25" style="1" customWidth="1"/>
    <col min="3334" max="3334" width="11.75" style="1" customWidth="1"/>
    <col min="3335" max="3335" width="5.625" style="1" customWidth="1"/>
    <col min="3336" max="3336" width="11.75" style="1" customWidth="1"/>
    <col min="3337" max="3338" width="11.875" style="1" customWidth="1"/>
    <col min="3339" max="3339" width="15.25" style="1" customWidth="1"/>
    <col min="3340" max="3340" width="11.625" style="1" customWidth="1"/>
    <col min="3341" max="3585" width="10" style="1"/>
    <col min="3586" max="3586" width="6.125" style="1" bestFit="1" customWidth="1"/>
    <col min="3587" max="3587" width="25.5" style="1" customWidth="1"/>
    <col min="3588" max="3588" width="23.5" style="1" customWidth="1"/>
    <col min="3589" max="3589" width="7.25" style="1" customWidth="1"/>
    <col min="3590" max="3590" width="11.75" style="1" customWidth="1"/>
    <col min="3591" max="3591" width="5.625" style="1" customWidth="1"/>
    <col min="3592" max="3592" width="11.75" style="1" customWidth="1"/>
    <col min="3593" max="3594" width="11.875" style="1" customWidth="1"/>
    <col min="3595" max="3595" width="15.25" style="1" customWidth="1"/>
    <col min="3596" max="3596" width="11.625" style="1" customWidth="1"/>
    <col min="3597" max="3841" width="10" style="1"/>
    <col min="3842" max="3842" width="6.125" style="1" bestFit="1" customWidth="1"/>
    <col min="3843" max="3843" width="25.5" style="1" customWidth="1"/>
    <col min="3844" max="3844" width="23.5" style="1" customWidth="1"/>
    <col min="3845" max="3845" width="7.25" style="1" customWidth="1"/>
    <col min="3846" max="3846" width="11.75" style="1" customWidth="1"/>
    <col min="3847" max="3847" width="5.625" style="1" customWidth="1"/>
    <col min="3848" max="3848" width="11.75" style="1" customWidth="1"/>
    <col min="3849" max="3850" width="11.875" style="1" customWidth="1"/>
    <col min="3851" max="3851" width="15.25" style="1" customWidth="1"/>
    <col min="3852" max="3852" width="11.625" style="1" customWidth="1"/>
    <col min="3853" max="4097" width="10" style="1"/>
    <col min="4098" max="4098" width="6.125" style="1" bestFit="1" customWidth="1"/>
    <col min="4099" max="4099" width="25.5" style="1" customWidth="1"/>
    <col min="4100" max="4100" width="23.5" style="1" customWidth="1"/>
    <col min="4101" max="4101" width="7.25" style="1" customWidth="1"/>
    <col min="4102" max="4102" width="11.75" style="1" customWidth="1"/>
    <col min="4103" max="4103" width="5.625" style="1" customWidth="1"/>
    <col min="4104" max="4104" width="11.75" style="1" customWidth="1"/>
    <col min="4105" max="4106" width="11.875" style="1" customWidth="1"/>
    <col min="4107" max="4107" width="15.25" style="1" customWidth="1"/>
    <col min="4108" max="4108" width="11.625" style="1" customWidth="1"/>
    <col min="4109" max="4353" width="10" style="1"/>
    <col min="4354" max="4354" width="6.125" style="1" bestFit="1" customWidth="1"/>
    <col min="4355" max="4355" width="25.5" style="1" customWidth="1"/>
    <col min="4356" max="4356" width="23.5" style="1" customWidth="1"/>
    <col min="4357" max="4357" width="7.25" style="1" customWidth="1"/>
    <col min="4358" max="4358" width="11.75" style="1" customWidth="1"/>
    <col min="4359" max="4359" width="5.625" style="1" customWidth="1"/>
    <col min="4360" max="4360" width="11.75" style="1" customWidth="1"/>
    <col min="4361" max="4362" width="11.875" style="1" customWidth="1"/>
    <col min="4363" max="4363" width="15.25" style="1" customWidth="1"/>
    <col min="4364" max="4364" width="11.625" style="1" customWidth="1"/>
    <col min="4365" max="4609" width="10" style="1"/>
    <col min="4610" max="4610" width="6.125" style="1" bestFit="1" customWidth="1"/>
    <col min="4611" max="4611" width="25.5" style="1" customWidth="1"/>
    <col min="4612" max="4612" width="23.5" style="1" customWidth="1"/>
    <col min="4613" max="4613" width="7.25" style="1" customWidth="1"/>
    <col min="4614" max="4614" width="11.75" style="1" customWidth="1"/>
    <col min="4615" max="4615" width="5.625" style="1" customWidth="1"/>
    <col min="4616" max="4616" width="11.75" style="1" customWidth="1"/>
    <col min="4617" max="4618" width="11.875" style="1" customWidth="1"/>
    <col min="4619" max="4619" width="15.25" style="1" customWidth="1"/>
    <col min="4620" max="4620" width="11.625" style="1" customWidth="1"/>
    <col min="4621" max="4865" width="10" style="1"/>
    <col min="4866" max="4866" width="6.125" style="1" bestFit="1" customWidth="1"/>
    <col min="4867" max="4867" width="25.5" style="1" customWidth="1"/>
    <col min="4868" max="4868" width="23.5" style="1" customWidth="1"/>
    <col min="4869" max="4869" width="7.25" style="1" customWidth="1"/>
    <col min="4870" max="4870" width="11.75" style="1" customWidth="1"/>
    <col min="4871" max="4871" width="5.625" style="1" customWidth="1"/>
    <col min="4872" max="4872" width="11.75" style="1" customWidth="1"/>
    <col min="4873" max="4874" width="11.875" style="1" customWidth="1"/>
    <col min="4875" max="4875" width="15.25" style="1" customWidth="1"/>
    <col min="4876" max="4876" width="11.625" style="1" customWidth="1"/>
    <col min="4877" max="5121" width="10" style="1"/>
    <col min="5122" max="5122" width="6.125" style="1" bestFit="1" customWidth="1"/>
    <col min="5123" max="5123" width="25.5" style="1" customWidth="1"/>
    <col min="5124" max="5124" width="23.5" style="1" customWidth="1"/>
    <col min="5125" max="5125" width="7.25" style="1" customWidth="1"/>
    <col min="5126" max="5126" width="11.75" style="1" customWidth="1"/>
    <col min="5127" max="5127" width="5.625" style="1" customWidth="1"/>
    <col min="5128" max="5128" width="11.75" style="1" customWidth="1"/>
    <col min="5129" max="5130" width="11.875" style="1" customWidth="1"/>
    <col min="5131" max="5131" width="15.25" style="1" customWidth="1"/>
    <col min="5132" max="5132" width="11.625" style="1" customWidth="1"/>
    <col min="5133" max="5377" width="10" style="1"/>
    <col min="5378" max="5378" width="6.125" style="1" bestFit="1" customWidth="1"/>
    <col min="5379" max="5379" width="25.5" style="1" customWidth="1"/>
    <col min="5380" max="5380" width="23.5" style="1" customWidth="1"/>
    <col min="5381" max="5381" width="7.25" style="1" customWidth="1"/>
    <col min="5382" max="5382" width="11.75" style="1" customWidth="1"/>
    <col min="5383" max="5383" width="5.625" style="1" customWidth="1"/>
    <col min="5384" max="5384" width="11.75" style="1" customWidth="1"/>
    <col min="5385" max="5386" width="11.875" style="1" customWidth="1"/>
    <col min="5387" max="5387" width="15.25" style="1" customWidth="1"/>
    <col min="5388" max="5388" width="11.625" style="1" customWidth="1"/>
    <col min="5389" max="5633" width="10" style="1"/>
    <col min="5634" max="5634" width="6.125" style="1" bestFit="1" customWidth="1"/>
    <col min="5635" max="5635" width="25.5" style="1" customWidth="1"/>
    <col min="5636" max="5636" width="23.5" style="1" customWidth="1"/>
    <col min="5637" max="5637" width="7.25" style="1" customWidth="1"/>
    <col min="5638" max="5638" width="11.75" style="1" customWidth="1"/>
    <col min="5639" max="5639" width="5.625" style="1" customWidth="1"/>
    <col min="5640" max="5640" width="11.75" style="1" customWidth="1"/>
    <col min="5641" max="5642" width="11.875" style="1" customWidth="1"/>
    <col min="5643" max="5643" width="15.25" style="1" customWidth="1"/>
    <col min="5644" max="5644" width="11.625" style="1" customWidth="1"/>
    <col min="5645" max="5889" width="10" style="1"/>
    <col min="5890" max="5890" width="6.125" style="1" bestFit="1" customWidth="1"/>
    <col min="5891" max="5891" width="25.5" style="1" customWidth="1"/>
    <col min="5892" max="5892" width="23.5" style="1" customWidth="1"/>
    <col min="5893" max="5893" width="7.25" style="1" customWidth="1"/>
    <col min="5894" max="5894" width="11.75" style="1" customWidth="1"/>
    <col min="5895" max="5895" width="5.625" style="1" customWidth="1"/>
    <col min="5896" max="5896" width="11.75" style="1" customWidth="1"/>
    <col min="5897" max="5898" width="11.875" style="1" customWidth="1"/>
    <col min="5899" max="5899" width="15.25" style="1" customWidth="1"/>
    <col min="5900" max="5900" width="11.625" style="1" customWidth="1"/>
    <col min="5901" max="6145" width="10" style="1"/>
    <col min="6146" max="6146" width="6.125" style="1" bestFit="1" customWidth="1"/>
    <col min="6147" max="6147" width="25.5" style="1" customWidth="1"/>
    <col min="6148" max="6148" width="23.5" style="1" customWidth="1"/>
    <col min="6149" max="6149" width="7.25" style="1" customWidth="1"/>
    <col min="6150" max="6150" width="11.75" style="1" customWidth="1"/>
    <col min="6151" max="6151" width="5.625" style="1" customWidth="1"/>
    <col min="6152" max="6152" width="11.75" style="1" customWidth="1"/>
    <col min="6153" max="6154" width="11.875" style="1" customWidth="1"/>
    <col min="6155" max="6155" width="15.25" style="1" customWidth="1"/>
    <col min="6156" max="6156" width="11.625" style="1" customWidth="1"/>
    <col min="6157" max="6401" width="10" style="1"/>
    <col min="6402" max="6402" width="6.125" style="1" bestFit="1" customWidth="1"/>
    <col min="6403" max="6403" width="25.5" style="1" customWidth="1"/>
    <col min="6404" max="6404" width="23.5" style="1" customWidth="1"/>
    <col min="6405" max="6405" width="7.25" style="1" customWidth="1"/>
    <col min="6406" max="6406" width="11.75" style="1" customWidth="1"/>
    <col min="6407" max="6407" width="5.625" style="1" customWidth="1"/>
    <col min="6408" max="6408" width="11.75" style="1" customWidth="1"/>
    <col min="6409" max="6410" width="11.875" style="1" customWidth="1"/>
    <col min="6411" max="6411" width="15.25" style="1" customWidth="1"/>
    <col min="6412" max="6412" width="11.625" style="1" customWidth="1"/>
    <col min="6413" max="6657" width="10" style="1"/>
    <col min="6658" max="6658" width="6.125" style="1" bestFit="1" customWidth="1"/>
    <col min="6659" max="6659" width="25.5" style="1" customWidth="1"/>
    <col min="6660" max="6660" width="23.5" style="1" customWidth="1"/>
    <col min="6661" max="6661" width="7.25" style="1" customWidth="1"/>
    <col min="6662" max="6662" width="11.75" style="1" customWidth="1"/>
    <col min="6663" max="6663" width="5.625" style="1" customWidth="1"/>
    <col min="6664" max="6664" width="11.75" style="1" customWidth="1"/>
    <col min="6665" max="6666" width="11.875" style="1" customWidth="1"/>
    <col min="6667" max="6667" width="15.25" style="1" customWidth="1"/>
    <col min="6668" max="6668" width="11.625" style="1" customWidth="1"/>
    <col min="6669" max="6913" width="10" style="1"/>
    <col min="6914" max="6914" width="6.125" style="1" bestFit="1" customWidth="1"/>
    <col min="6915" max="6915" width="25.5" style="1" customWidth="1"/>
    <col min="6916" max="6916" width="23.5" style="1" customWidth="1"/>
    <col min="6917" max="6917" width="7.25" style="1" customWidth="1"/>
    <col min="6918" max="6918" width="11.75" style="1" customWidth="1"/>
    <col min="6919" max="6919" width="5.625" style="1" customWidth="1"/>
    <col min="6920" max="6920" width="11.75" style="1" customWidth="1"/>
    <col min="6921" max="6922" width="11.875" style="1" customWidth="1"/>
    <col min="6923" max="6923" width="15.25" style="1" customWidth="1"/>
    <col min="6924" max="6924" width="11.625" style="1" customWidth="1"/>
    <col min="6925" max="7169" width="10" style="1"/>
    <col min="7170" max="7170" width="6.125" style="1" bestFit="1" customWidth="1"/>
    <col min="7171" max="7171" width="25.5" style="1" customWidth="1"/>
    <col min="7172" max="7172" width="23.5" style="1" customWidth="1"/>
    <col min="7173" max="7173" width="7.25" style="1" customWidth="1"/>
    <col min="7174" max="7174" width="11.75" style="1" customWidth="1"/>
    <col min="7175" max="7175" width="5.625" style="1" customWidth="1"/>
    <col min="7176" max="7176" width="11.75" style="1" customWidth="1"/>
    <col min="7177" max="7178" width="11.875" style="1" customWidth="1"/>
    <col min="7179" max="7179" width="15.25" style="1" customWidth="1"/>
    <col min="7180" max="7180" width="11.625" style="1" customWidth="1"/>
    <col min="7181" max="7425" width="10" style="1"/>
    <col min="7426" max="7426" width="6.125" style="1" bestFit="1" customWidth="1"/>
    <col min="7427" max="7427" width="25.5" style="1" customWidth="1"/>
    <col min="7428" max="7428" width="23.5" style="1" customWidth="1"/>
    <col min="7429" max="7429" width="7.25" style="1" customWidth="1"/>
    <col min="7430" max="7430" width="11.75" style="1" customWidth="1"/>
    <col min="7431" max="7431" width="5.625" style="1" customWidth="1"/>
    <col min="7432" max="7432" width="11.75" style="1" customWidth="1"/>
    <col min="7433" max="7434" width="11.875" style="1" customWidth="1"/>
    <col min="7435" max="7435" width="15.25" style="1" customWidth="1"/>
    <col min="7436" max="7436" width="11.625" style="1" customWidth="1"/>
    <col min="7437" max="7681" width="10" style="1"/>
    <col min="7682" max="7682" width="6.125" style="1" bestFit="1" customWidth="1"/>
    <col min="7683" max="7683" width="25.5" style="1" customWidth="1"/>
    <col min="7684" max="7684" width="23.5" style="1" customWidth="1"/>
    <col min="7685" max="7685" width="7.25" style="1" customWidth="1"/>
    <col min="7686" max="7686" width="11.75" style="1" customWidth="1"/>
    <col min="7687" max="7687" width="5.625" style="1" customWidth="1"/>
    <col min="7688" max="7688" width="11.75" style="1" customWidth="1"/>
    <col min="7689" max="7690" width="11.875" style="1" customWidth="1"/>
    <col min="7691" max="7691" width="15.25" style="1" customWidth="1"/>
    <col min="7692" max="7692" width="11.625" style="1" customWidth="1"/>
    <col min="7693" max="7937" width="10" style="1"/>
    <col min="7938" max="7938" width="6.125" style="1" bestFit="1" customWidth="1"/>
    <col min="7939" max="7939" width="25.5" style="1" customWidth="1"/>
    <col min="7940" max="7940" width="23.5" style="1" customWidth="1"/>
    <col min="7941" max="7941" width="7.25" style="1" customWidth="1"/>
    <col min="7942" max="7942" width="11.75" style="1" customWidth="1"/>
    <col min="7943" max="7943" width="5.625" style="1" customWidth="1"/>
    <col min="7944" max="7944" width="11.75" style="1" customWidth="1"/>
    <col min="7945" max="7946" width="11.875" style="1" customWidth="1"/>
    <col min="7947" max="7947" width="15.25" style="1" customWidth="1"/>
    <col min="7948" max="7948" width="11.625" style="1" customWidth="1"/>
    <col min="7949" max="8193" width="10" style="1"/>
    <col min="8194" max="8194" width="6.125" style="1" bestFit="1" customWidth="1"/>
    <col min="8195" max="8195" width="25.5" style="1" customWidth="1"/>
    <col min="8196" max="8196" width="23.5" style="1" customWidth="1"/>
    <col min="8197" max="8197" width="7.25" style="1" customWidth="1"/>
    <col min="8198" max="8198" width="11.75" style="1" customWidth="1"/>
    <col min="8199" max="8199" width="5.625" style="1" customWidth="1"/>
    <col min="8200" max="8200" width="11.75" style="1" customWidth="1"/>
    <col min="8201" max="8202" width="11.875" style="1" customWidth="1"/>
    <col min="8203" max="8203" width="15.25" style="1" customWidth="1"/>
    <col min="8204" max="8204" width="11.625" style="1" customWidth="1"/>
    <col min="8205" max="8449" width="10" style="1"/>
    <col min="8450" max="8450" width="6.125" style="1" bestFit="1" customWidth="1"/>
    <col min="8451" max="8451" width="25.5" style="1" customWidth="1"/>
    <col min="8452" max="8452" width="23.5" style="1" customWidth="1"/>
    <col min="8453" max="8453" width="7.25" style="1" customWidth="1"/>
    <col min="8454" max="8454" width="11.75" style="1" customWidth="1"/>
    <col min="8455" max="8455" width="5.625" style="1" customWidth="1"/>
    <col min="8456" max="8456" width="11.75" style="1" customWidth="1"/>
    <col min="8457" max="8458" width="11.875" style="1" customWidth="1"/>
    <col min="8459" max="8459" width="15.25" style="1" customWidth="1"/>
    <col min="8460" max="8460" width="11.625" style="1" customWidth="1"/>
    <col min="8461" max="8705" width="10" style="1"/>
    <col min="8706" max="8706" width="6.125" style="1" bestFit="1" customWidth="1"/>
    <col min="8707" max="8707" width="25.5" style="1" customWidth="1"/>
    <col min="8708" max="8708" width="23.5" style="1" customWidth="1"/>
    <col min="8709" max="8709" width="7.25" style="1" customWidth="1"/>
    <col min="8710" max="8710" width="11.75" style="1" customWidth="1"/>
    <col min="8711" max="8711" width="5.625" style="1" customWidth="1"/>
    <col min="8712" max="8712" width="11.75" style="1" customWidth="1"/>
    <col min="8713" max="8714" width="11.875" style="1" customWidth="1"/>
    <col min="8715" max="8715" width="15.25" style="1" customWidth="1"/>
    <col min="8716" max="8716" width="11.625" style="1" customWidth="1"/>
    <col min="8717" max="8961" width="10" style="1"/>
    <col min="8962" max="8962" width="6.125" style="1" bestFit="1" customWidth="1"/>
    <col min="8963" max="8963" width="25.5" style="1" customWidth="1"/>
    <col min="8964" max="8964" width="23.5" style="1" customWidth="1"/>
    <col min="8965" max="8965" width="7.25" style="1" customWidth="1"/>
    <col min="8966" max="8966" width="11.75" style="1" customWidth="1"/>
    <col min="8967" max="8967" width="5.625" style="1" customWidth="1"/>
    <col min="8968" max="8968" width="11.75" style="1" customWidth="1"/>
    <col min="8969" max="8970" width="11.875" style="1" customWidth="1"/>
    <col min="8971" max="8971" width="15.25" style="1" customWidth="1"/>
    <col min="8972" max="8972" width="11.625" style="1" customWidth="1"/>
    <col min="8973" max="9217" width="10" style="1"/>
    <col min="9218" max="9218" width="6.125" style="1" bestFit="1" customWidth="1"/>
    <col min="9219" max="9219" width="25.5" style="1" customWidth="1"/>
    <col min="9220" max="9220" width="23.5" style="1" customWidth="1"/>
    <col min="9221" max="9221" width="7.25" style="1" customWidth="1"/>
    <col min="9222" max="9222" width="11.75" style="1" customWidth="1"/>
    <col min="9223" max="9223" width="5.625" style="1" customWidth="1"/>
    <col min="9224" max="9224" width="11.75" style="1" customWidth="1"/>
    <col min="9225" max="9226" width="11.875" style="1" customWidth="1"/>
    <col min="9227" max="9227" width="15.25" style="1" customWidth="1"/>
    <col min="9228" max="9228" width="11.625" style="1" customWidth="1"/>
    <col min="9229" max="9473" width="10" style="1"/>
    <col min="9474" max="9474" width="6.125" style="1" bestFit="1" customWidth="1"/>
    <col min="9475" max="9475" width="25.5" style="1" customWidth="1"/>
    <col min="9476" max="9476" width="23.5" style="1" customWidth="1"/>
    <col min="9477" max="9477" width="7.25" style="1" customWidth="1"/>
    <col min="9478" max="9478" width="11.75" style="1" customWidth="1"/>
    <col min="9479" max="9479" width="5.625" style="1" customWidth="1"/>
    <col min="9480" max="9480" width="11.75" style="1" customWidth="1"/>
    <col min="9481" max="9482" width="11.875" style="1" customWidth="1"/>
    <col min="9483" max="9483" width="15.25" style="1" customWidth="1"/>
    <col min="9484" max="9484" width="11.625" style="1" customWidth="1"/>
    <col min="9485" max="9729" width="10" style="1"/>
    <col min="9730" max="9730" width="6.125" style="1" bestFit="1" customWidth="1"/>
    <col min="9731" max="9731" width="25.5" style="1" customWidth="1"/>
    <col min="9732" max="9732" width="23.5" style="1" customWidth="1"/>
    <col min="9733" max="9733" width="7.25" style="1" customWidth="1"/>
    <col min="9734" max="9734" width="11.75" style="1" customWidth="1"/>
    <col min="9735" max="9735" width="5.625" style="1" customWidth="1"/>
    <col min="9736" max="9736" width="11.75" style="1" customWidth="1"/>
    <col min="9737" max="9738" width="11.875" style="1" customWidth="1"/>
    <col min="9739" max="9739" width="15.25" style="1" customWidth="1"/>
    <col min="9740" max="9740" width="11.625" style="1" customWidth="1"/>
    <col min="9741" max="9985" width="10" style="1"/>
    <col min="9986" max="9986" width="6.125" style="1" bestFit="1" customWidth="1"/>
    <col min="9987" max="9987" width="25.5" style="1" customWidth="1"/>
    <col min="9988" max="9988" width="23.5" style="1" customWidth="1"/>
    <col min="9989" max="9989" width="7.25" style="1" customWidth="1"/>
    <col min="9990" max="9990" width="11.75" style="1" customWidth="1"/>
    <col min="9991" max="9991" width="5.625" style="1" customWidth="1"/>
    <col min="9992" max="9992" width="11.75" style="1" customWidth="1"/>
    <col min="9993" max="9994" width="11.875" style="1" customWidth="1"/>
    <col min="9995" max="9995" width="15.25" style="1" customWidth="1"/>
    <col min="9996" max="9996" width="11.625" style="1" customWidth="1"/>
    <col min="9997" max="10241" width="10" style="1"/>
    <col min="10242" max="10242" width="6.125" style="1" bestFit="1" customWidth="1"/>
    <col min="10243" max="10243" width="25.5" style="1" customWidth="1"/>
    <col min="10244" max="10244" width="23.5" style="1" customWidth="1"/>
    <col min="10245" max="10245" width="7.25" style="1" customWidth="1"/>
    <col min="10246" max="10246" width="11.75" style="1" customWidth="1"/>
    <col min="10247" max="10247" width="5.625" style="1" customWidth="1"/>
    <col min="10248" max="10248" width="11.75" style="1" customWidth="1"/>
    <col min="10249" max="10250" width="11.875" style="1" customWidth="1"/>
    <col min="10251" max="10251" width="15.25" style="1" customWidth="1"/>
    <col min="10252" max="10252" width="11.625" style="1" customWidth="1"/>
    <col min="10253" max="10497" width="10" style="1"/>
    <col min="10498" max="10498" width="6.125" style="1" bestFit="1" customWidth="1"/>
    <col min="10499" max="10499" width="25.5" style="1" customWidth="1"/>
    <col min="10500" max="10500" width="23.5" style="1" customWidth="1"/>
    <col min="10501" max="10501" width="7.25" style="1" customWidth="1"/>
    <col min="10502" max="10502" width="11.75" style="1" customWidth="1"/>
    <col min="10503" max="10503" width="5.625" style="1" customWidth="1"/>
    <col min="10504" max="10504" width="11.75" style="1" customWidth="1"/>
    <col min="10505" max="10506" width="11.875" style="1" customWidth="1"/>
    <col min="10507" max="10507" width="15.25" style="1" customWidth="1"/>
    <col min="10508" max="10508" width="11.625" style="1" customWidth="1"/>
    <col min="10509" max="10753" width="10" style="1"/>
    <col min="10754" max="10754" width="6.125" style="1" bestFit="1" customWidth="1"/>
    <col min="10755" max="10755" width="25.5" style="1" customWidth="1"/>
    <col min="10756" max="10756" width="23.5" style="1" customWidth="1"/>
    <col min="10757" max="10757" width="7.25" style="1" customWidth="1"/>
    <col min="10758" max="10758" width="11.75" style="1" customWidth="1"/>
    <col min="10759" max="10759" width="5.625" style="1" customWidth="1"/>
    <col min="10760" max="10760" width="11.75" style="1" customWidth="1"/>
    <col min="10761" max="10762" width="11.875" style="1" customWidth="1"/>
    <col min="10763" max="10763" width="15.25" style="1" customWidth="1"/>
    <col min="10764" max="10764" width="11.625" style="1" customWidth="1"/>
    <col min="10765" max="11009" width="10" style="1"/>
    <col min="11010" max="11010" width="6.125" style="1" bestFit="1" customWidth="1"/>
    <col min="11011" max="11011" width="25.5" style="1" customWidth="1"/>
    <col min="11012" max="11012" width="23.5" style="1" customWidth="1"/>
    <col min="11013" max="11013" width="7.25" style="1" customWidth="1"/>
    <col min="11014" max="11014" width="11.75" style="1" customWidth="1"/>
    <col min="11015" max="11015" width="5.625" style="1" customWidth="1"/>
    <col min="11016" max="11016" width="11.75" style="1" customWidth="1"/>
    <col min="11017" max="11018" width="11.875" style="1" customWidth="1"/>
    <col min="11019" max="11019" width="15.25" style="1" customWidth="1"/>
    <col min="11020" max="11020" width="11.625" style="1" customWidth="1"/>
    <col min="11021" max="11265" width="10" style="1"/>
    <col min="11266" max="11266" width="6.125" style="1" bestFit="1" customWidth="1"/>
    <col min="11267" max="11267" width="25.5" style="1" customWidth="1"/>
    <col min="11268" max="11268" width="23.5" style="1" customWidth="1"/>
    <col min="11269" max="11269" width="7.25" style="1" customWidth="1"/>
    <col min="11270" max="11270" width="11.75" style="1" customWidth="1"/>
    <col min="11271" max="11271" width="5.625" style="1" customWidth="1"/>
    <col min="11272" max="11272" width="11.75" style="1" customWidth="1"/>
    <col min="11273" max="11274" width="11.875" style="1" customWidth="1"/>
    <col min="11275" max="11275" width="15.25" style="1" customWidth="1"/>
    <col min="11276" max="11276" width="11.625" style="1" customWidth="1"/>
    <col min="11277" max="11521" width="10" style="1"/>
    <col min="11522" max="11522" width="6.125" style="1" bestFit="1" customWidth="1"/>
    <col min="11523" max="11523" width="25.5" style="1" customWidth="1"/>
    <col min="11524" max="11524" width="23.5" style="1" customWidth="1"/>
    <col min="11525" max="11525" width="7.25" style="1" customWidth="1"/>
    <col min="11526" max="11526" width="11.75" style="1" customWidth="1"/>
    <col min="11527" max="11527" width="5.625" style="1" customWidth="1"/>
    <col min="11528" max="11528" width="11.75" style="1" customWidth="1"/>
    <col min="11529" max="11530" width="11.875" style="1" customWidth="1"/>
    <col min="11531" max="11531" width="15.25" style="1" customWidth="1"/>
    <col min="11532" max="11532" width="11.625" style="1" customWidth="1"/>
    <col min="11533" max="11777" width="10" style="1"/>
    <col min="11778" max="11778" width="6.125" style="1" bestFit="1" customWidth="1"/>
    <col min="11779" max="11779" width="25.5" style="1" customWidth="1"/>
    <col min="11780" max="11780" width="23.5" style="1" customWidth="1"/>
    <col min="11781" max="11781" width="7.25" style="1" customWidth="1"/>
    <col min="11782" max="11782" width="11.75" style="1" customWidth="1"/>
    <col min="11783" max="11783" width="5.625" style="1" customWidth="1"/>
    <col min="11784" max="11784" width="11.75" style="1" customWidth="1"/>
    <col min="11785" max="11786" width="11.875" style="1" customWidth="1"/>
    <col min="11787" max="11787" width="15.25" style="1" customWidth="1"/>
    <col min="11788" max="11788" width="11.625" style="1" customWidth="1"/>
    <col min="11789" max="12033" width="10" style="1"/>
    <col min="12034" max="12034" width="6.125" style="1" bestFit="1" customWidth="1"/>
    <col min="12035" max="12035" width="25.5" style="1" customWidth="1"/>
    <col min="12036" max="12036" width="23.5" style="1" customWidth="1"/>
    <col min="12037" max="12037" width="7.25" style="1" customWidth="1"/>
    <col min="12038" max="12038" width="11.75" style="1" customWidth="1"/>
    <col min="12039" max="12039" width="5.625" style="1" customWidth="1"/>
    <col min="12040" max="12040" width="11.75" style="1" customWidth="1"/>
    <col min="12041" max="12042" width="11.875" style="1" customWidth="1"/>
    <col min="12043" max="12043" width="15.25" style="1" customWidth="1"/>
    <col min="12044" max="12044" width="11.625" style="1" customWidth="1"/>
    <col min="12045" max="12289" width="10" style="1"/>
    <col min="12290" max="12290" width="6.125" style="1" bestFit="1" customWidth="1"/>
    <col min="12291" max="12291" width="25.5" style="1" customWidth="1"/>
    <col min="12292" max="12292" width="23.5" style="1" customWidth="1"/>
    <col min="12293" max="12293" width="7.25" style="1" customWidth="1"/>
    <col min="12294" max="12294" width="11.75" style="1" customWidth="1"/>
    <col min="12295" max="12295" width="5.625" style="1" customWidth="1"/>
    <col min="12296" max="12296" width="11.75" style="1" customWidth="1"/>
    <col min="12297" max="12298" width="11.875" style="1" customWidth="1"/>
    <col min="12299" max="12299" width="15.25" style="1" customWidth="1"/>
    <col min="12300" max="12300" width="11.625" style="1" customWidth="1"/>
    <col min="12301" max="12545" width="10" style="1"/>
    <col min="12546" max="12546" width="6.125" style="1" bestFit="1" customWidth="1"/>
    <col min="12547" max="12547" width="25.5" style="1" customWidth="1"/>
    <col min="12548" max="12548" width="23.5" style="1" customWidth="1"/>
    <col min="12549" max="12549" width="7.25" style="1" customWidth="1"/>
    <col min="12550" max="12550" width="11.75" style="1" customWidth="1"/>
    <col min="12551" max="12551" width="5.625" style="1" customWidth="1"/>
    <col min="12552" max="12552" width="11.75" style="1" customWidth="1"/>
    <col min="12553" max="12554" width="11.875" style="1" customWidth="1"/>
    <col min="12555" max="12555" width="15.25" style="1" customWidth="1"/>
    <col min="12556" max="12556" width="11.625" style="1" customWidth="1"/>
    <col min="12557" max="12801" width="10" style="1"/>
    <col min="12802" max="12802" width="6.125" style="1" bestFit="1" customWidth="1"/>
    <col min="12803" max="12803" width="25.5" style="1" customWidth="1"/>
    <col min="12804" max="12804" width="23.5" style="1" customWidth="1"/>
    <col min="12805" max="12805" width="7.25" style="1" customWidth="1"/>
    <col min="12806" max="12806" width="11.75" style="1" customWidth="1"/>
    <col min="12807" max="12807" width="5.625" style="1" customWidth="1"/>
    <col min="12808" max="12808" width="11.75" style="1" customWidth="1"/>
    <col min="12809" max="12810" width="11.875" style="1" customWidth="1"/>
    <col min="12811" max="12811" width="15.25" style="1" customWidth="1"/>
    <col min="12812" max="12812" width="11.625" style="1" customWidth="1"/>
    <col min="12813" max="13057" width="10" style="1"/>
    <col min="13058" max="13058" width="6.125" style="1" bestFit="1" customWidth="1"/>
    <col min="13059" max="13059" width="25.5" style="1" customWidth="1"/>
    <col min="13060" max="13060" width="23.5" style="1" customWidth="1"/>
    <col min="13061" max="13061" width="7.25" style="1" customWidth="1"/>
    <col min="13062" max="13062" width="11.75" style="1" customWidth="1"/>
    <col min="13063" max="13063" width="5.625" style="1" customWidth="1"/>
    <col min="13064" max="13064" width="11.75" style="1" customWidth="1"/>
    <col min="13065" max="13066" width="11.875" style="1" customWidth="1"/>
    <col min="13067" max="13067" width="15.25" style="1" customWidth="1"/>
    <col min="13068" max="13068" width="11.625" style="1" customWidth="1"/>
    <col min="13069" max="13313" width="10" style="1"/>
    <col min="13314" max="13314" width="6.125" style="1" bestFit="1" customWidth="1"/>
    <col min="13315" max="13315" width="25.5" style="1" customWidth="1"/>
    <col min="13316" max="13316" width="23.5" style="1" customWidth="1"/>
    <col min="13317" max="13317" width="7.25" style="1" customWidth="1"/>
    <col min="13318" max="13318" width="11.75" style="1" customWidth="1"/>
    <col min="13319" max="13319" width="5.625" style="1" customWidth="1"/>
    <col min="13320" max="13320" width="11.75" style="1" customWidth="1"/>
    <col min="13321" max="13322" width="11.875" style="1" customWidth="1"/>
    <col min="13323" max="13323" width="15.25" style="1" customWidth="1"/>
    <col min="13324" max="13324" width="11.625" style="1" customWidth="1"/>
    <col min="13325" max="13569" width="10" style="1"/>
    <col min="13570" max="13570" width="6.125" style="1" bestFit="1" customWidth="1"/>
    <col min="13571" max="13571" width="25.5" style="1" customWidth="1"/>
    <col min="13572" max="13572" width="23.5" style="1" customWidth="1"/>
    <col min="13573" max="13573" width="7.25" style="1" customWidth="1"/>
    <col min="13574" max="13574" width="11.75" style="1" customWidth="1"/>
    <col min="13575" max="13575" width="5.625" style="1" customWidth="1"/>
    <col min="13576" max="13576" width="11.75" style="1" customWidth="1"/>
    <col min="13577" max="13578" width="11.875" style="1" customWidth="1"/>
    <col min="13579" max="13579" width="15.25" style="1" customWidth="1"/>
    <col min="13580" max="13580" width="11.625" style="1" customWidth="1"/>
    <col min="13581" max="13825" width="10" style="1"/>
    <col min="13826" max="13826" width="6.125" style="1" bestFit="1" customWidth="1"/>
    <col min="13827" max="13827" width="25.5" style="1" customWidth="1"/>
    <col min="13828" max="13828" width="23.5" style="1" customWidth="1"/>
    <col min="13829" max="13829" width="7.25" style="1" customWidth="1"/>
    <col min="13830" max="13830" width="11.75" style="1" customWidth="1"/>
    <col min="13831" max="13831" width="5.625" style="1" customWidth="1"/>
    <col min="13832" max="13832" width="11.75" style="1" customWidth="1"/>
    <col min="13833" max="13834" width="11.875" style="1" customWidth="1"/>
    <col min="13835" max="13835" width="15.25" style="1" customWidth="1"/>
    <col min="13836" max="13836" width="11.625" style="1" customWidth="1"/>
    <col min="13837" max="14081" width="10" style="1"/>
    <col min="14082" max="14082" width="6.125" style="1" bestFit="1" customWidth="1"/>
    <col min="14083" max="14083" width="25.5" style="1" customWidth="1"/>
    <col min="14084" max="14084" width="23.5" style="1" customWidth="1"/>
    <col min="14085" max="14085" width="7.25" style="1" customWidth="1"/>
    <col min="14086" max="14086" width="11.75" style="1" customWidth="1"/>
    <col min="14087" max="14087" width="5.625" style="1" customWidth="1"/>
    <col min="14088" max="14088" width="11.75" style="1" customWidth="1"/>
    <col min="14089" max="14090" width="11.875" style="1" customWidth="1"/>
    <col min="14091" max="14091" width="15.25" style="1" customWidth="1"/>
    <col min="14092" max="14092" width="11.625" style="1" customWidth="1"/>
    <col min="14093" max="14337" width="10" style="1"/>
    <col min="14338" max="14338" width="6.125" style="1" bestFit="1" customWidth="1"/>
    <col min="14339" max="14339" width="25.5" style="1" customWidth="1"/>
    <col min="14340" max="14340" width="23.5" style="1" customWidth="1"/>
    <col min="14341" max="14341" width="7.25" style="1" customWidth="1"/>
    <col min="14342" max="14342" width="11.75" style="1" customWidth="1"/>
    <col min="14343" max="14343" width="5.625" style="1" customWidth="1"/>
    <col min="14344" max="14344" width="11.75" style="1" customWidth="1"/>
    <col min="14345" max="14346" width="11.875" style="1" customWidth="1"/>
    <col min="14347" max="14347" width="15.25" style="1" customWidth="1"/>
    <col min="14348" max="14348" width="11.625" style="1" customWidth="1"/>
    <col min="14349" max="14593" width="10" style="1"/>
    <col min="14594" max="14594" width="6.125" style="1" bestFit="1" customWidth="1"/>
    <col min="14595" max="14595" width="25.5" style="1" customWidth="1"/>
    <col min="14596" max="14596" width="23.5" style="1" customWidth="1"/>
    <col min="14597" max="14597" width="7.25" style="1" customWidth="1"/>
    <col min="14598" max="14598" width="11.75" style="1" customWidth="1"/>
    <col min="14599" max="14599" width="5.625" style="1" customWidth="1"/>
    <col min="14600" max="14600" width="11.75" style="1" customWidth="1"/>
    <col min="14601" max="14602" width="11.875" style="1" customWidth="1"/>
    <col min="14603" max="14603" width="15.25" style="1" customWidth="1"/>
    <col min="14604" max="14604" width="11.625" style="1" customWidth="1"/>
    <col min="14605" max="14849" width="10" style="1"/>
    <col min="14850" max="14850" width="6.125" style="1" bestFit="1" customWidth="1"/>
    <col min="14851" max="14851" width="25.5" style="1" customWidth="1"/>
    <col min="14852" max="14852" width="23.5" style="1" customWidth="1"/>
    <col min="14853" max="14853" width="7.25" style="1" customWidth="1"/>
    <col min="14854" max="14854" width="11.75" style="1" customWidth="1"/>
    <col min="14855" max="14855" width="5.625" style="1" customWidth="1"/>
    <col min="14856" max="14856" width="11.75" style="1" customWidth="1"/>
    <col min="14857" max="14858" width="11.875" style="1" customWidth="1"/>
    <col min="14859" max="14859" width="15.25" style="1" customWidth="1"/>
    <col min="14860" max="14860" width="11.625" style="1" customWidth="1"/>
    <col min="14861" max="15105" width="10" style="1"/>
    <col min="15106" max="15106" width="6.125" style="1" bestFit="1" customWidth="1"/>
    <col min="15107" max="15107" width="25.5" style="1" customWidth="1"/>
    <col min="15108" max="15108" width="23.5" style="1" customWidth="1"/>
    <col min="15109" max="15109" width="7.25" style="1" customWidth="1"/>
    <col min="15110" max="15110" width="11.75" style="1" customWidth="1"/>
    <col min="15111" max="15111" width="5.625" style="1" customWidth="1"/>
    <col min="15112" max="15112" width="11.75" style="1" customWidth="1"/>
    <col min="15113" max="15114" width="11.875" style="1" customWidth="1"/>
    <col min="15115" max="15115" width="15.25" style="1" customWidth="1"/>
    <col min="15116" max="15116" width="11.625" style="1" customWidth="1"/>
    <col min="15117" max="15361" width="10" style="1"/>
    <col min="15362" max="15362" width="6.125" style="1" bestFit="1" customWidth="1"/>
    <col min="15363" max="15363" width="25.5" style="1" customWidth="1"/>
    <col min="15364" max="15364" width="23.5" style="1" customWidth="1"/>
    <col min="15365" max="15365" width="7.25" style="1" customWidth="1"/>
    <col min="15366" max="15366" width="11.75" style="1" customWidth="1"/>
    <col min="15367" max="15367" width="5.625" style="1" customWidth="1"/>
    <col min="15368" max="15368" width="11.75" style="1" customWidth="1"/>
    <col min="15369" max="15370" width="11.875" style="1" customWidth="1"/>
    <col min="15371" max="15371" width="15.25" style="1" customWidth="1"/>
    <col min="15372" max="15372" width="11.625" style="1" customWidth="1"/>
    <col min="15373" max="15617" width="10" style="1"/>
    <col min="15618" max="15618" width="6.125" style="1" bestFit="1" customWidth="1"/>
    <col min="15619" max="15619" width="25.5" style="1" customWidth="1"/>
    <col min="15620" max="15620" width="23.5" style="1" customWidth="1"/>
    <col min="15621" max="15621" width="7.25" style="1" customWidth="1"/>
    <col min="15622" max="15622" width="11.75" style="1" customWidth="1"/>
    <col min="15623" max="15623" width="5.625" style="1" customWidth="1"/>
    <col min="15624" max="15624" width="11.75" style="1" customWidth="1"/>
    <col min="15625" max="15626" width="11.875" style="1" customWidth="1"/>
    <col min="15627" max="15627" width="15.25" style="1" customWidth="1"/>
    <col min="15628" max="15628" width="11.625" style="1" customWidth="1"/>
    <col min="15629" max="15873" width="10" style="1"/>
    <col min="15874" max="15874" width="6.125" style="1" bestFit="1" customWidth="1"/>
    <col min="15875" max="15875" width="25.5" style="1" customWidth="1"/>
    <col min="15876" max="15876" width="23.5" style="1" customWidth="1"/>
    <col min="15877" max="15877" width="7.25" style="1" customWidth="1"/>
    <col min="15878" max="15878" width="11.75" style="1" customWidth="1"/>
    <col min="15879" max="15879" width="5.625" style="1" customWidth="1"/>
    <col min="15880" max="15880" width="11.75" style="1" customWidth="1"/>
    <col min="15881" max="15882" width="11.875" style="1" customWidth="1"/>
    <col min="15883" max="15883" width="15.25" style="1" customWidth="1"/>
    <col min="15884" max="15884" width="11.625" style="1" customWidth="1"/>
    <col min="15885" max="16129" width="10" style="1"/>
    <col min="16130" max="16130" width="6.125" style="1" bestFit="1" customWidth="1"/>
    <col min="16131" max="16131" width="25.5" style="1" customWidth="1"/>
    <col min="16132" max="16132" width="23.5" style="1" customWidth="1"/>
    <col min="16133" max="16133" width="7.25" style="1" customWidth="1"/>
    <col min="16134" max="16134" width="11.75" style="1" customWidth="1"/>
    <col min="16135" max="16135" width="5.625" style="1" customWidth="1"/>
    <col min="16136" max="16136" width="11.75" style="1" customWidth="1"/>
    <col min="16137" max="16138" width="11.875" style="1" customWidth="1"/>
    <col min="16139" max="16139" width="15.25" style="1" customWidth="1"/>
    <col min="16140" max="16140" width="11.625" style="1" customWidth="1"/>
    <col min="16141" max="16384" width="10" style="1"/>
  </cols>
  <sheetData>
    <row r="1" spans="1:23" ht="27.75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23" s="2" customFormat="1" ht="27.75" customHeight="1" x14ac:dyDescent="0.2">
      <c r="B2" s="2" t="s">
        <v>400</v>
      </c>
      <c r="J2" s="80" t="s">
        <v>1</v>
      </c>
      <c r="K2" s="80"/>
      <c r="L2" s="80"/>
      <c r="S2" s="75"/>
      <c r="T2" s="80"/>
      <c r="U2" s="80"/>
      <c r="V2" s="80"/>
      <c r="W2" s="80"/>
    </row>
    <row r="3" spans="1:23" s="6" customFormat="1" ht="57.75" customHeight="1" x14ac:dyDescent="0.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13</v>
      </c>
      <c r="M3" s="72" t="s">
        <v>62</v>
      </c>
      <c r="N3" s="73" t="s">
        <v>63</v>
      </c>
      <c r="O3" s="74" t="s">
        <v>394</v>
      </c>
      <c r="P3" s="72" t="s">
        <v>398</v>
      </c>
      <c r="Q3" s="72" t="s">
        <v>399</v>
      </c>
      <c r="R3" s="72" t="s">
        <v>403</v>
      </c>
      <c r="S3" s="76" t="s">
        <v>401</v>
      </c>
    </row>
    <row r="4" spans="1:23" s="6" customFormat="1" ht="56.25" x14ac:dyDescent="0.2">
      <c r="A4" s="7">
        <v>1</v>
      </c>
      <c r="B4" s="7" t="s">
        <v>14</v>
      </c>
      <c r="C4" s="8" t="s">
        <v>15</v>
      </c>
      <c r="D4" s="8"/>
      <c r="E4" s="7" t="s">
        <v>16</v>
      </c>
      <c r="F4" s="9">
        <v>31.888255600000001</v>
      </c>
      <c r="G4" s="10">
        <v>0.13</v>
      </c>
      <c r="H4" s="11">
        <v>31.438726536840459</v>
      </c>
      <c r="I4" s="9">
        <f>VLOOKUP(B4,[1]补差价核算!$C$30:$M$48,11,0)</f>
        <v>28.7578575</v>
      </c>
      <c r="J4" s="9">
        <v>28.7578575</v>
      </c>
      <c r="K4" s="5" t="s">
        <v>17</v>
      </c>
      <c r="L4" s="5" t="s">
        <v>18</v>
      </c>
      <c r="M4" s="13">
        <v>26.7350427350427</v>
      </c>
      <c r="N4" s="13">
        <v>28.374600000000001</v>
      </c>
      <c r="O4" s="6">
        <v>2.1549999999999998</v>
      </c>
      <c r="P4" s="14">
        <f>J4/O4</f>
        <v>13.344713457076567</v>
      </c>
      <c r="Q4" s="14">
        <f>J4-H4</f>
        <v>-2.6808690368404591</v>
      </c>
      <c r="R4" s="78">
        <f>M4+O4*0.55</f>
        <v>27.9202927350427</v>
      </c>
      <c r="S4" s="77">
        <f>(J4-R4)/J4</f>
        <v>2.9124727562103669E-2</v>
      </c>
      <c r="T4" s="6" t="s">
        <v>402</v>
      </c>
    </row>
    <row r="5" spans="1:23" s="6" customFormat="1" ht="56.25" x14ac:dyDescent="0.2">
      <c r="A5" s="7">
        <v>2</v>
      </c>
      <c r="B5" s="7" t="s">
        <v>19</v>
      </c>
      <c r="C5" s="8" t="s">
        <v>20</v>
      </c>
      <c r="D5" s="8"/>
      <c r="E5" s="7" t="s">
        <v>16</v>
      </c>
      <c r="F5" s="9">
        <v>30.077038900000002</v>
      </c>
      <c r="G5" s="10">
        <v>0.13</v>
      </c>
      <c r="H5" s="11">
        <v>30.719048617992453</v>
      </c>
      <c r="I5" s="9">
        <f>VLOOKUP(B5,[1]补差价核算!$C$30:$M$48,11,0)</f>
        <v>28.194447499999999</v>
      </c>
      <c r="J5" s="9">
        <v>28.194447499999999</v>
      </c>
      <c r="K5" s="5" t="s">
        <v>17</v>
      </c>
      <c r="L5" s="5" t="s">
        <v>18</v>
      </c>
      <c r="M5" s="13">
        <v>26.188034188034202</v>
      </c>
      <c r="N5" s="13">
        <v>27.844000000000001</v>
      </c>
      <c r="O5" s="6">
        <v>2.1549999999999998</v>
      </c>
      <c r="P5" s="14">
        <f>J5/O5</f>
        <v>13.083270301624131</v>
      </c>
      <c r="Q5" s="14">
        <f>J5-H5</f>
        <v>-2.5246011179924537</v>
      </c>
      <c r="R5" s="78">
        <f t="shared" ref="R5:R22" si="0">M5+O5*0.55</f>
        <v>27.373284188034201</v>
      </c>
      <c r="S5" s="77">
        <f>(J5-R5)/J5</f>
        <v>2.9125001011840984E-2</v>
      </c>
    </row>
    <row r="6" spans="1:23" s="6" customFormat="1" ht="56.25" x14ac:dyDescent="0.2">
      <c r="A6" s="7">
        <v>3</v>
      </c>
      <c r="B6" s="7" t="s">
        <v>21</v>
      </c>
      <c r="C6" s="8" t="s">
        <v>22</v>
      </c>
      <c r="D6" s="8"/>
      <c r="E6" s="7" t="s">
        <v>16</v>
      </c>
      <c r="F6" s="9">
        <v>57.764914120000007</v>
      </c>
      <c r="G6" s="10">
        <v>0.13</v>
      </c>
      <c r="H6" s="11">
        <v>28.695736530221698</v>
      </c>
      <c r="I6" s="9">
        <f>VLOOKUP(B6,[1]补差价核算!$C$30:$M$48,11,0)</f>
        <v>30.553147500000001</v>
      </c>
      <c r="J6" s="9">
        <v>30.553147500000001</v>
      </c>
      <c r="K6" s="5" t="s">
        <v>17</v>
      </c>
      <c r="L6" s="5" t="s">
        <v>18</v>
      </c>
      <c r="M6" s="13">
        <v>28.461538461538499</v>
      </c>
      <c r="N6" s="13">
        <v>30.083300000000001</v>
      </c>
      <c r="O6" s="6">
        <v>2.1850000000000001</v>
      </c>
      <c r="P6" s="14">
        <f>J6/O6</f>
        <v>13.983133867276889</v>
      </c>
      <c r="Q6" s="14">
        <f>J6-H6</f>
        <v>1.8574109697783037</v>
      </c>
      <c r="R6" s="78">
        <f t="shared" si="0"/>
        <v>29.6632884615385</v>
      </c>
      <c r="S6" s="77">
        <f>(J6-R6)/J6</f>
        <v>2.9124954751764999E-2</v>
      </c>
    </row>
    <row r="7" spans="1:23" s="6" customFormat="1" ht="56.25" x14ac:dyDescent="0.2">
      <c r="A7" s="7">
        <v>4</v>
      </c>
      <c r="B7" s="7" t="s">
        <v>23</v>
      </c>
      <c r="C7" s="8" t="s">
        <v>24</v>
      </c>
      <c r="D7" s="8"/>
      <c r="E7" s="7" t="s">
        <v>16</v>
      </c>
      <c r="F7" s="9">
        <v>57.764914120000007</v>
      </c>
      <c r="G7" s="10">
        <v>0.13</v>
      </c>
      <c r="H7" s="11">
        <v>32.554376875169112</v>
      </c>
      <c r="I7" s="9">
        <f>VLOOKUP(B7,[1]补差价核算!$C$30:$M$48,11,0)</f>
        <v>35.81699668141593</v>
      </c>
      <c r="J7" s="9">
        <v>35.81699668141593</v>
      </c>
      <c r="K7" s="5" t="s">
        <v>17</v>
      </c>
      <c r="L7" s="5" t="s">
        <v>18</v>
      </c>
      <c r="M7" s="13">
        <v>32.786324786324798</v>
      </c>
      <c r="N7" s="13">
        <v>34.805100000000003</v>
      </c>
      <c r="O7" s="6">
        <v>2.65</v>
      </c>
      <c r="P7" s="14">
        <f>J7/O7</f>
        <v>13.515847804307898</v>
      </c>
      <c r="Q7" s="14">
        <f>J7-H7</f>
        <v>3.2626198062468177</v>
      </c>
      <c r="R7" s="78">
        <f t="shared" si="0"/>
        <v>34.243824786324801</v>
      </c>
      <c r="S7" s="77">
        <f>(J7-R7)/J7</f>
        <v>4.3922496045219431E-2</v>
      </c>
    </row>
    <row r="8" spans="1:23" s="6" customFormat="1" ht="56.25" x14ac:dyDescent="0.2">
      <c r="A8" s="7">
        <v>5</v>
      </c>
      <c r="B8" s="7" t="s">
        <v>25</v>
      </c>
      <c r="C8" s="8" t="s">
        <v>26</v>
      </c>
      <c r="D8" s="8"/>
      <c r="E8" s="7" t="s">
        <v>16</v>
      </c>
      <c r="F8" s="9">
        <v>44.619237200000001</v>
      </c>
      <c r="G8" s="10">
        <v>0.13</v>
      </c>
      <c r="H8" s="11"/>
      <c r="I8" s="9">
        <f>VLOOKUP(B8,[1]补差价核算!$C$30:$M$48,11,0)</f>
        <v>35.196645000000004</v>
      </c>
      <c r="J8" s="9">
        <v>35.196645000000004</v>
      </c>
      <c r="K8" s="5" t="s">
        <v>17</v>
      </c>
      <c r="L8" s="5" t="s">
        <v>18</v>
      </c>
      <c r="M8" s="13">
        <v>30.726495726495699</v>
      </c>
      <c r="N8" s="13">
        <v>32.807200000000002</v>
      </c>
      <c r="O8" s="6">
        <v>2.65</v>
      </c>
      <c r="P8" s="14">
        <f>J8/O8</f>
        <v>13.281752830188681</v>
      </c>
      <c r="Q8" s="14"/>
      <c r="R8" s="78">
        <f t="shared" si="0"/>
        <v>32.183995726495702</v>
      </c>
      <c r="S8" s="77">
        <f>(J8-R8)/J8</f>
        <v>8.5594785341168211E-2</v>
      </c>
    </row>
    <row r="9" spans="1:23" s="6" customFormat="1" ht="56.25" x14ac:dyDescent="0.2">
      <c r="A9" s="7">
        <v>6</v>
      </c>
      <c r="B9" s="7" t="s">
        <v>27</v>
      </c>
      <c r="C9" s="8" t="s">
        <v>28</v>
      </c>
      <c r="D9" s="8"/>
      <c r="E9" s="7" t="s">
        <v>16</v>
      </c>
      <c r="F9" s="9">
        <v>29.514613500000003</v>
      </c>
      <c r="G9" s="10">
        <v>0.13</v>
      </c>
      <c r="H9" s="11"/>
      <c r="I9" s="9">
        <f>VLOOKUP(B9,[1]补差价核算!$C$30:$M$48,11,0)</f>
        <v>43.184809999999999</v>
      </c>
      <c r="J9" s="9">
        <v>43.184809999999999</v>
      </c>
      <c r="K9" s="5" t="s">
        <v>17</v>
      </c>
      <c r="L9" s="5" t="s">
        <v>18</v>
      </c>
      <c r="M9" s="13">
        <v>38.735042735</v>
      </c>
      <c r="N9" s="13">
        <v>42.093600000000002</v>
      </c>
      <c r="O9" s="6">
        <v>3.99</v>
      </c>
      <c r="P9" s="14">
        <f>J9/O9</f>
        <v>10.823260651629072</v>
      </c>
      <c r="Q9" s="14"/>
      <c r="R9" s="13">
        <f t="shared" si="0"/>
        <v>40.929542734999998</v>
      </c>
      <c r="S9" s="77">
        <f>(J9-R9)/J9</f>
        <v>5.2223623653780124E-2</v>
      </c>
    </row>
    <row r="10" spans="1:23" s="6" customFormat="1" ht="56.25" x14ac:dyDescent="0.2">
      <c r="A10" s="7">
        <v>7</v>
      </c>
      <c r="B10" s="7" t="s">
        <v>29</v>
      </c>
      <c r="C10" s="8" t="s">
        <v>30</v>
      </c>
      <c r="D10" s="8"/>
      <c r="E10" s="7" t="s">
        <v>16</v>
      </c>
      <c r="F10" s="9">
        <v>75.698190220000001</v>
      </c>
      <c r="G10" s="10">
        <v>0.13</v>
      </c>
      <c r="H10" s="11"/>
      <c r="I10" s="9">
        <f>VLOOKUP(B10,[1]补差价核算!$C$30:$M$48,11,0)</f>
        <v>41.278691999999999</v>
      </c>
      <c r="J10" s="9">
        <v>41.278691999999999</v>
      </c>
      <c r="K10" s="5" t="s">
        <v>17</v>
      </c>
      <c r="L10" s="5" t="s">
        <v>18</v>
      </c>
      <c r="M10" s="13">
        <v>37.068376067999999</v>
      </c>
      <c r="N10" s="13">
        <v>40.2164</v>
      </c>
      <c r="O10" s="6">
        <v>3.76</v>
      </c>
      <c r="P10" s="14">
        <f>J10/O10</f>
        <v>10.978375531914894</v>
      </c>
      <c r="Q10" s="14"/>
      <c r="R10" s="13">
        <f t="shared" si="0"/>
        <v>39.136376067999997</v>
      </c>
      <c r="S10" s="77">
        <f>(J10-R10)/J10</f>
        <v>5.1898832744022086E-2</v>
      </c>
    </row>
    <row r="11" spans="1:23" s="6" customFormat="1" ht="56.25" x14ac:dyDescent="0.2">
      <c r="A11" s="7">
        <v>8</v>
      </c>
      <c r="B11" s="7" t="s">
        <v>31</v>
      </c>
      <c r="C11" s="8" t="s">
        <v>32</v>
      </c>
      <c r="D11" s="8"/>
      <c r="E11" s="7" t="s">
        <v>16</v>
      </c>
      <c r="F11" s="9">
        <v>61.403199820000005</v>
      </c>
      <c r="G11" s="10">
        <v>0.13</v>
      </c>
      <c r="H11" s="11"/>
      <c r="I11" s="9">
        <f>VLOOKUP(B11,[1]补差价核算!$C$30:$M$48,11,0)</f>
        <v>31.573414000000003</v>
      </c>
      <c r="J11" s="9">
        <v>31.573414000000003</v>
      </c>
      <c r="K11" s="5" t="s">
        <v>17</v>
      </c>
      <c r="L11" s="5" t="s">
        <v>18</v>
      </c>
      <c r="M11" s="13">
        <v>27.965811965812001</v>
      </c>
      <c r="N11" s="13">
        <v>30.933700000000002</v>
      </c>
      <c r="O11" s="6">
        <v>3.36</v>
      </c>
      <c r="P11" s="14">
        <f>J11/O11</f>
        <v>9.3968494047619053</v>
      </c>
      <c r="Q11" s="14"/>
      <c r="R11" s="13">
        <f t="shared" si="0"/>
        <v>29.813811965812</v>
      </c>
      <c r="S11" s="77">
        <f>(J11-R11)/J11</f>
        <v>5.5730496365961647E-2</v>
      </c>
    </row>
    <row r="12" spans="1:23" s="6" customFormat="1" ht="56.25" x14ac:dyDescent="0.2">
      <c r="A12" s="7">
        <v>9</v>
      </c>
      <c r="B12" s="7" t="s">
        <v>33</v>
      </c>
      <c r="C12" s="8" t="s">
        <v>34</v>
      </c>
      <c r="D12" s="8"/>
      <c r="E12" s="7" t="s">
        <v>16</v>
      </c>
      <c r="F12" s="9">
        <v>55.743678560000006</v>
      </c>
      <c r="G12" s="10">
        <v>0.13</v>
      </c>
      <c r="H12" s="11">
        <f>K1靠背成本核算!Z62</f>
        <v>60.408412333387609</v>
      </c>
      <c r="I12" s="9">
        <f>VLOOKUP(B12,[1]补差价核算!$C$30:$M$48,11,0)</f>
        <v>56.388998000000001</v>
      </c>
      <c r="J12" s="9">
        <v>56.388998000000001</v>
      </c>
      <c r="K12" s="5" t="s">
        <v>17</v>
      </c>
      <c r="L12" s="5" t="s">
        <v>18</v>
      </c>
      <c r="M12" s="13">
        <v>49.931623931623903</v>
      </c>
      <c r="N12" s="13">
        <v>54.495199999999997</v>
      </c>
      <c r="O12" s="6">
        <v>5.35</v>
      </c>
      <c r="P12" s="14">
        <f>J12/O12</f>
        <v>10.539999626168225</v>
      </c>
      <c r="Q12" s="14">
        <f>J12-H12</f>
        <v>-4.0194143333876085</v>
      </c>
      <c r="R12" s="13">
        <f t="shared" si="0"/>
        <v>52.874123931623906</v>
      </c>
      <c r="S12" s="77">
        <f>(J12-R12)/J12</f>
        <v>6.2332621487193207E-2</v>
      </c>
    </row>
    <row r="13" spans="1:23" s="6" customFormat="1" ht="56.25" x14ac:dyDescent="0.2">
      <c r="A13" s="7">
        <v>10</v>
      </c>
      <c r="B13" s="7" t="s">
        <v>35</v>
      </c>
      <c r="C13" s="8" t="s">
        <v>36</v>
      </c>
      <c r="D13" s="8"/>
      <c r="E13" s="7" t="s">
        <v>16</v>
      </c>
      <c r="F13" s="9">
        <v>55.743678560000006</v>
      </c>
      <c r="G13" s="10">
        <v>0.13</v>
      </c>
      <c r="H13" s="11">
        <f>K1靠背成本核算!Z62</f>
        <v>60.408412333387609</v>
      </c>
      <c r="I13" s="9">
        <f>VLOOKUP(B13,[1]补差价核算!$C$30:$M$48,11,0)</f>
        <v>56.388998000000001</v>
      </c>
      <c r="J13" s="9">
        <v>56.388998000000001</v>
      </c>
      <c r="K13" s="5" t="s">
        <v>17</v>
      </c>
      <c r="L13" s="5" t="s">
        <v>18</v>
      </c>
      <c r="M13" s="13">
        <f>M12</f>
        <v>49.931623931623903</v>
      </c>
      <c r="N13" s="13">
        <v>54.495199999999997</v>
      </c>
      <c r="O13" s="6">
        <v>5.35</v>
      </c>
      <c r="P13" s="14">
        <f>J13/O13</f>
        <v>10.539999626168225</v>
      </c>
      <c r="Q13" s="14">
        <f>J13-H13</f>
        <v>-4.0194143333876085</v>
      </c>
      <c r="R13" s="13">
        <f>M13+O13*0.55</f>
        <v>52.874123931623906</v>
      </c>
      <c r="S13" s="77">
        <f>(J13-R13)/J13</f>
        <v>6.2332621487193207E-2</v>
      </c>
    </row>
    <row r="14" spans="1:23" s="6" customFormat="1" ht="56.25" x14ac:dyDescent="0.2">
      <c r="A14" s="7">
        <v>11</v>
      </c>
      <c r="B14" s="7" t="s">
        <v>37</v>
      </c>
      <c r="C14" s="8" t="s">
        <v>38</v>
      </c>
      <c r="D14" s="8"/>
      <c r="E14" s="7" t="s">
        <v>16</v>
      </c>
      <c r="F14" s="9">
        <v>34.775584300000006</v>
      </c>
      <c r="G14" s="10">
        <v>0.13</v>
      </c>
      <c r="H14" s="11">
        <f>K1靠背成本核算!Z182</f>
        <v>58.297428427978765</v>
      </c>
      <c r="I14" s="9">
        <f>VLOOKUP(B14,[1]补差价核算!$C$30:$M$48,11,0)</f>
        <v>54.364224</v>
      </c>
      <c r="J14" s="9">
        <v>54.364224</v>
      </c>
      <c r="K14" s="5" t="s">
        <v>17</v>
      </c>
      <c r="L14" s="5" t="s">
        <v>18</v>
      </c>
      <c r="M14" s="13">
        <v>47.965811965812001</v>
      </c>
      <c r="N14" s="13">
        <v>52.5884</v>
      </c>
      <c r="O14" s="6">
        <v>5.35</v>
      </c>
      <c r="P14" s="14">
        <f>J14/O14</f>
        <v>10.161537196261683</v>
      </c>
      <c r="Q14" s="14">
        <f>J14-H14</f>
        <v>-3.9332044279787652</v>
      </c>
      <c r="R14" s="13">
        <f t="shared" si="0"/>
        <v>50.908311965812004</v>
      </c>
      <c r="S14" s="77">
        <f>(J14-R14)/J14</f>
        <v>6.3569601107301671E-2</v>
      </c>
    </row>
    <row r="15" spans="1:23" s="6" customFormat="1" ht="56.25" x14ac:dyDescent="0.2">
      <c r="A15" s="7">
        <v>12</v>
      </c>
      <c r="B15" s="7" t="s">
        <v>39</v>
      </c>
      <c r="C15" s="8" t="s">
        <v>40</v>
      </c>
      <c r="D15" s="8"/>
      <c r="E15" s="7" t="s">
        <v>16</v>
      </c>
      <c r="F15" s="9">
        <v>29.396053560000002</v>
      </c>
      <c r="G15" s="10">
        <v>0.13</v>
      </c>
      <c r="H15" s="11">
        <f>K1靠背成本核算!Z182</f>
        <v>58.297428427978765</v>
      </c>
      <c r="I15" s="9">
        <f>VLOOKUP(B15,[1]补差价核算!$C$30:$M$48,11,0)</f>
        <v>54.364224</v>
      </c>
      <c r="J15" s="9">
        <v>54.364224</v>
      </c>
      <c r="K15" s="5" t="s">
        <v>17</v>
      </c>
      <c r="L15" s="5" t="s">
        <v>18</v>
      </c>
      <c r="M15" s="13">
        <v>47.965811965812001</v>
      </c>
      <c r="N15" s="13">
        <v>52.5884</v>
      </c>
      <c r="O15" s="6">
        <v>5.35</v>
      </c>
      <c r="P15" s="14">
        <f>J15/O15</f>
        <v>10.161537196261683</v>
      </c>
      <c r="Q15" s="14">
        <f>J15-H15</f>
        <v>-3.9332044279787652</v>
      </c>
      <c r="R15" s="13">
        <f t="shared" si="0"/>
        <v>50.908311965812004</v>
      </c>
      <c r="S15" s="77">
        <f>(J15-R15)/J15</f>
        <v>6.3569601107301671E-2</v>
      </c>
    </row>
    <row r="16" spans="1:23" s="6" customFormat="1" ht="56.25" x14ac:dyDescent="0.2">
      <c r="A16" s="7">
        <v>13</v>
      </c>
      <c r="B16" s="7" t="s">
        <v>41</v>
      </c>
      <c r="C16" s="8" t="s">
        <v>42</v>
      </c>
      <c r="D16" s="8"/>
      <c r="E16" s="7" t="s">
        <v>16</v>
      </c>
      <c r="F16" s="9">
        <v>42.629413680000006</v>
      </c>
      <c r="G16" s="10">
        <v>0.13</v>
      </c>
      <c r="H16" s="11">
        <f>K1靠背成本核算!Z147</f>
        <v>61.423702175498768</v>
      </c>
      <c r="I16" s="9">
        <f>VLOOKUP(B16,[1]补差价核算!$C$30:$M$48,11,0)</f>
        <v>60.033653000000001</v>
      </c>
      <c r="J16" s="9">
        <v>60.033653000000001</v>
      </c>
      <c r="K16" s="5" t="s">
        <v>17</v>
      </c>
      <c r="L16" s="5" t="s">
        <v>18</v>
      </c>
      <c r="M16" s="13">
        <v>53.4700854700855</v>
      </c>
      <c r="N16" s="13">
        <v>57.927500000000002</v>
      </c>
      <c r="O16" s="6">
        <v>5.35</v>
      </c>
      <c r="P16" s="14">
        <f>J16/O16</f>
        <v>11.221243551401869</v>
      </c>
      <c r="Q16" s="14">
        <f>J16-H16</f>
        <v>-1.3900491754987669</v>
      </c>
      <c r="R16" s="13">
        <f t="shared" si="0"/>
        <v>56.412585470085503</v>
      </c>
      <c r="S16" s="77">
        <f>(J16-R16)/J16</f>
        <v>6.0317294533359447E-2</v>
      </c>
    </row>
    <row r="17" spans="1:19" s="6" customFormat="1" ht="56.25" x14ac:dyDescent="0.2">
      <c r="A17" s="7">
        <v>14</v>
      </c>
      <c r="B17" s="7" t="s">
        <v>43</v>
      </c>
      <c r="C17" s="8" t="s">
        <v>44</v>
      </c>
      <c r="D17" s="8"/>
      <c r="E17" s="7" t="s">
        <v>16</v>
      </c>
      <c r="F17" s="9">
        <v>68.009863940000002</v>
      </c>
      <c r="G17" s="10">
        <v>0.13</v>
      </c>
      <c r="H17" s="11"/>
      <c r="I17" s="9">
        <f>VLOOKUP(B17,[1]补差价核算!$C$30:$M$48,11,0)</f>
        <v>58.588563000000001</v>
      </c>
      <c r="J17" s="9">
        <v>58.588563000000001</v>
      </c>
      <c r="K17" s="5" t="s">
        <v>17</v>
      </c>
      <c r="L17" s="5" t="s">
        <v>18</v>
      </c>
      <c r="M17" s="13">
        <v>50.282051281999998</v>
      </c>
      <c r="N17" s="13">
        <v>55.571599999999997</v>
      </c>
      <c r="O17" s="6">
        <v>6</v>
      </c>
      <c r="P17" s="14">
        <f>J17/O17</f>
        <v>9.7647604999999995</v>
      </c>
      <c r="Q17" s="14"/>
      <c r="R17" s="13">
        <f t="shared" si="0"/>
        <v>53.582051281999995</v>
      </c>
      <c r="S17" s="77">
        <f>(J17-R17)/J17</f>
        <v>8.5452031277845231E-2</v>
      </c>
    </row>
    <row r="18" spans="1:19" s="6" customFormat="1" ht="56.25" x14ac:dyDescent="0.2">
      <c r="A18" s="7">
        <v>15</v>
      </c>
      <c r="B18" s="7" t="s">
        <v>45</v>
      </c>
      <c r="C18" s="8" t="s">
        <v>46</v>
      </c>
      <c r="D18" s="8"/>
      <c r="E18" s="7" t="s">
        <v>16</v>
      </c>
      <c r="F18" s="9">
        <v>58.905935220000003</v>
      </c>
      <c r="G18" s="10">
        <v>0.13</v>
      </c>
      <c r="H18" s="11"/>
      <c r="I18" s="9">
        <f>VLOOKUP(B18,[1]补差价核算!$C$30:$M$48,11,0)</f>
        <v>70.451588000000001</v>
      </c>
      <c r="J18" s="9">
        <v>70.451588000000001</v>
      </c>
      <c r="K18" s="5" t="s">
        <v>17</v>
      </c>
      <c r="L18" s="5" t="s">
        <v>18</v>
      </c>
      <c r="M18" s="13">
        <v>63.752136752136799</v>
      </c>
      <c r="N18" s="13">
        <v>71.413399999999996</v>
      </c>
      <c r="O18" s="6">
        <v>8.4499999999999993</v>
      </c>
      <c r="P18" s="14">
        <f>J18/O18</f>
        <v>8.3374660355029597</v>
      </c>
      <c r="Q18" s="14"/>
      <c r="R18" s="13">
        <f t="shared" si="0"/>
        <v>68.3996367521368</v>
      </c>
      <c r="S18" s="77">
        <f>(J18-R18)/J18</f>
        <v>2.9125691927103202E-2</v>
      </c>
    </row>
    <row r="19" spans="1:19" s="6" customFormat="1" ht="56.25" x14ac:dyDescent="0.2">
      <c r="A19" s="7">
        <v>16</v>
      </c>
      <c r="B19" s="7" t="s">
        <v>47</v>
      </c>
      <c r="C19" s="8" t="s">
        <v>48</v>
      </c>
      <c r="D19" s="8"/>
      <c r="E19" s="7" t="s">
        <v>16</v>
      </c>
      <c r="F19" s="9">
        <v>32.789728360000005</v>
      </c>
      <c r="G19" s="10">
        <v>0.13</v>
      </c>
      <c r="H19" s="11"/>
      <c r="I19" s="9">
        <f>VLOOKUP(B19,[1]补差价核算!$C$30:$M$48,11,0)</f>
        <v>67.505891000000005</v>
      </c>
      <c r="J19" s="9">
        <v>67.505891000000005</v>
      </c>
      <c r="K19" s="5" t="s">
        <v>17</v>
      </c>
      <c r="L19" s="5" t="s">
        <v>18</v>
      </c>
      <c r="M19" s="13">
        <v>55.760683761000003</v>
      </c>
      <c r="N19" s="13">
        <v>64.160200000000003</v>
      </c>
      <c r="O19" s="6">
        <v>8.89</v>
      </c>
      <c r="P19" s="14">
        <f>J19/O19</f>
        <v>7.5934635545556803</v>
      </c>
      <c r="Q19" s="14"/>
      <c r="R19" s="13">
        <f t="shared" si="0"/>
        <v>60.650183761000001</v>
      </c>
      <c r="S19" s="77">
        <f>(J19-R19)/J19</f>
        <v>0.10155716986240511</v>
      </c>
    </row>
    <row r="20" spans="1:19" s="6" customFormat="1" ht="56.25" x14ac:dyDescent="0.2">
      <c r="A20" s="7">
        <v>17</v>
      </c>
      <c r="B20" s="7" t="s">
        <v>49</v>
      </c>
      <c r="C20" s="8" t="s">
        <v>50</v>
      </c>
      <c r="D20" s="8"/>
      <c r="E20" s="7" t="s">
        <v>16</v>
      </c>
      <c r="F20" s="9">
        <v>36.893453371681417</v>
      </c>
      <c r="G20" s="10">
        <v>0.13</v>
      </c>
      <c r="H20" s="11"/>
      <c r="I20" s="9">
        <f>VLOOKUP(B20,[1]补差价核算!$C$30:$M$48,11,0)</f>
        <v>28.857303999999999</v>
      </c>
      <c r="J20" s="9">
        <v>28.857303999999999</v>
      </c>
      <c r="K20" s="5" t="s">
        <v>17</v>
      </c>
      <c r="L20" s="5" t="s">
        <v>18</v>
      </c>
      <c r="M20" s="13">
        <v>24.606837606999999</v>
      </c>
      <c r="N20" s="13">
        <v>27.732099999999999</v>
      </c>
      <c r="O20" s="6">
        <v>3.41</v>
      </c>
      <c r="P20" s="14">
        <f>J20/O20</f>
        <v>8.4625524926686211</v>
      </c>
      <c r="Q20" s="14"/>
      <c r="R20" s="13">
        <f t="shared" si="0"/>
        <v>26.482337606999998</v>
      </c>
      <c r="S20" s="77">
        <f>(J20-R20)/J20</f>
        <v>8.2300356020784241E-2</v>
      </c>
    </row>
    <row r="21" spans="1:19" s="6" customFormat="1" ht="56.25" x14ac:dyDescent="0.2">
      <c r="A21" s="7">
        <v>18</v>
      </c>
      <c r="B21" s="7" t="s">
        <v>51</v>
      </c>
      <c r="C21" s="8" t="s">
        <v>52</v>
      </c>
      <c r="D21" s="8"/>
      <c r="E21" s="7" t="s">
        <v>16</v>
      </c>
      <c r="F21" s="9">
        <v>35.436480520000003</v>
      </c>
      <c r="G21" s="10">
        <v>0.13</v>
      </c>
      <c r="H21" s="11"/>
      <c r="I21" s="9">
        <f>VLOOKUP(B21,[1]补差价核算!$C$30:$M$48,11,0)</f>
        <v>34.833157999999997</v>
      </c>
      <c r="J21" s="9">
        <v>34.833157999999997</v>
      </c>
      <c r="K21" s="5" t="s">
        <v>17</v>
      </c>
      <c r="L21" s="5" t="s">
        <v>18</v>
      </c>
      <c r="M21" s="13">
        <v>31.64957265</v>
      </c>
      <c r="N21" s="13">
        <v>33.430599999999998</v>
      </c>
      <c r="O21" s="6">
        <v>2.41</v>
      </c>
      <c r="P21" s="14">
        <f>J21/O21</f>
        <v>14.45359253112033</v>
      </c>
      <c r="Q21" s="14"/>
      <c r="R21" s="13">
        <f t="shared" si="0"/>
        <v>32.975072650000001</v>
      </c>
      <c r="S21" s="77">
        <f>(J21-R21)/J21</f>
        <v>5.3342431656641529E-2</v>
      </c>
    </row>
    <row r="22" spans="1:19" s="6" customFormat="1" ht="56.25" x14ac:dyDescent="0.2">
      <c r="A22" s="7">
        <v>19</v>
      </c>
      <c r="B22" s="7" t="s">
        <v>53</v>
      </c>
      <c r="C22" s="8" t="s">
        <v>54</v>
      </c>
      <c r="D22" s="8"/>
      <c r="E22" s="7" t="s">
        <v>16</v>
      </c>
      <c r="F22" s="9">
        <v>35.436480520000003</v>
      </c>
      <c r="G22" s="10">
        <v>0.13</v>
      </c>
      <c r="H22" s="11"/>
      <c r="I22" s="9">
        <f>VLOOKUP(B22,[1]补差价核算!$C$30:$M$48,11,0)</f>
        <v>34.833157999999997</v>
      </c>
      <c r="J22" s="9">
        <v>34.833157999999997</v>
      </c>
      <c r="K22" s="5" t="s">
        <v>17</v>
      </c>
      <c r="L22" s="5" t="s">
        <v>18</v>
      </c>
      <c r="M22" s="13">
        <v>31.649572649572701</v>
      </c>
      <c r="N22" s="13">
        <v>33.430599999999998</v>
      </c>
      <c r="O22" s="6">
        <v>2.41</v>
      </c>
      <c r="P22" s="14">
        <f>J22/O22</f>
        <v>14.45359253112033</v>
      </c>
      <c r="Q22" s="14"/>
      <c r="R22" s="13">
        <f t="shared" si="0"/>
        <v>32.975072649572702</v>
      </c>
      <c r="S22" s="77">
        <f>(J22-R22)/J22</f>
        <v>5.3342431668908556E-2</v>
      </c>
    </row>
    <row r="23" spans="1:19" s="6" customFormat="1" ht="56.25" x14ac:dyDescent="0.2">
      <c r="A23" s="7">
        <v>20</v>
      </c>
      <c r="B23" s="7" t="s">
        <v>395</v>
      </c>
      <c r="C23" s="8" t="s">
        <v>55</v>
      </c>
      <c r="D23" s="8"/>
      <c r="E23" s="7" t="s">
        <v>16</v>
      </c>
      <c r="F23" s="9">
        <v>60.410990000000005</v>
      </c>
      <c r="G23" s="10">
        <v>0.13</v>
      </c>
      <c r="H23" s="11"/>
      <c r="I23" s="9">
        <v>60.410990000000005</v>
      </c>
      <c r="J23" s="9">
        <v>60.410990000000005</v>
      </c>
      <c r="K23" s="5" t="s">
        <v>17</v>
      </c>
      <c r="L23" s="5" t="s">
        <v>18</v>
      </c>
      <c r="M23" s="13">
        <v>56.991452991453002</v>
      </c>
      <c r="N23" s="13">
        <v>56.991500000000002</v>
      </c>
      <c r="O23" s="6" t="s">
        <v>397</v>
      </c>
      <c r="P23" s="14"/>
      <c r="Q23" s="14"/>
      <c r="R23" s="13"/>
      <c r="S23" s="77"/>
    </row>
    <row r="24" spans="1:19" s="12" customFormat="1" ht="27.75" customHeight="1" x14ac:dyDescent="0.2">
      <c r="A24" s="81" t="s">
        <v>56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N24" s="13"/>
      <c r="O24" s="6"/>
      <c r="P24" s="14"/>
      <c r="Q24" s="14"/>
      <c r="R24" s="13"/>
      <c r="S24" s="77"/>
    </row>
    <row r="25" spans="1:19" s="12" customFormat="1" ht="147" customHeight="1" x14ac:dyDescent="0.2">
      <c r="A25" s="81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N25" s="13"/>
      <c r="O25" s="6"/>
      <c r="P25" s="14"/>
      <c r="Q25" s="14"/>
      <c r="R25" s="13"/>
      <c r="S25" s="77"/>
    </row>
    <row r="26" spans="1:19" s="12" customFormat="1" ht="93" customHeight="1" x14ac:dyDescent="0.2">
      <c r="A26" s="82" t="s">
        <v>57</v>
      </c>
      <c r="B26" s="83"/>
      <c r="C26" s="84" t="s">
        <v>58</v>
      </c>
      <c r="D26" s="84"/>
      <c r="E26" s="84"/>
      <c r="F26" s="85" t="s">
        <v>59</v>
      </c>
      <c r="G26" s="86"/>
      <c r="H26" s="86"/>
      <c r="I26" s="85" t="s">
        <v>60</v>
      </c>
      <c r="J26" s="86"/>
      <c r="K26" s="81" t="s">
        <v>61</v>
      </c>
      <c r="L26" s="81"/>
      <c r="N26" s="13"/>
      <c r="O26" s="6"/>
      <c r="P26" s="14"/>
      <c r="Q26" s="14"/>
      <c r="R26" s="13"/>
      <c r="S26" s="77"/>
    </row>
    <row r="27" spans="1:19" s="2" customFormat="1" ht="27.75" customHeight="1" x14ac:dyDescent="0.2">
      <c r="S27" s="75"/>
    </row>
    <row r="28" spans="1:19" s="2" customFormat="1" ht="27.75" customHeight="1" x14ac:dyDescent="0.2">
      <c r="S28" s="75"/>
    </row>
    <row r="29" spans="1:19" s="2" customFormat="1" ht="27.75" customHeight="1" x14ac:dyDescent="0.2">
      <c r="S29" s="75"/>
    </row>
    <row r="30" spans="1:19" s="2" customFormat="1" ht="27.75" customHeight="1" x14ac:dyDescent="0.2">
      <c r="S30" s="75"/>
    </row>
    <row r="31" spans="1:19" s="2" customFormat="1" ht="27.75" customHeight="1" x14ac:dyDescent="0.2">
      <c r="S31" s="75"/>
    </row>
    <row r="32" spans="1:19" s="2" customFormat="1" ht="27.75" customHeight="1" x14ac:dyDescent="0.2">
      <c r="S32" s="75"/>
    </row>
    <row r="33" spans="19:19" s="2" customFormat="1" ht="27.75" customHeight="1" x14ac:dyDescent="0.2">
      <c r="S33" s="75"/>
    </row>
    <row r="34" spans="19:19" s="2" customFormat="1" ht="27.75" customHeight="1" x14ac:dyDescent="0.2">
      <c r="S34" s="75"/>
    </row>
    <row r="35" spans="19:19" s="2" customFormat="1" ht="27.75" customHeight="1" x14ac:dyDescent="0.2">
      <c r="S35" s="75"/>
    </row>
    <row r="36" spans="19:19" s="2" customFormat="1" ht="27.75" customHeight="1" x14ac:dyDescent="0.2">
      <c r="S36" s="75"/>
    </row>
    <row r="37" spans="19:19" s="2" customFormat="1" ht="27.75" customHeight="1" x14ac:dyDescent="0.2">
      <c r="S37" s="75"/>
    </row>
    <row r="38" spans="19:19" s="2" customFormat="1" ht="27.75" customHeight="1" x14ac:dyDescent="0.2">
      <c r="S38" s="75"/>
    </row>
    <row r="39" spans="19:19" s="2" customFormat="1" ht="27.75" customHeight="1" x14ac:dyDescent="0.2">
      <c r="S39" s="75"/>
    </row>
    <row r="40" spans="19:19" s="2" customFormat="1" ht="27.75" customHeight="1" x14ac:dyDescent="0.2">
      <c r="S40" s="75"/>
    </row>
    <row r="41" spans="19:19" s="2" customFormat="1" ht="27.75" customHeight="1" x14ac:dyDescent="0.2">
      <c r="S41" s="75"/>
    </row>
    <row r="42" spans="19:19" s="2" customFormat="1" ht="27.75" customHeight="1" x14ac:dyDescent="0.2">
      <c r="S42" s="75"/>
    </row>
    <row r="43" spans="19:19" s="2" customFormat="1" ht="27.75" customHeight="1" x14ac:dyDescent="0.2">
      <c r="S43" s="75"/>
    </row>
    <row r="44" spans="19:19" s="2" customFormat="1" ht="27.75" customHeight="1" x14ac:dyDescent="0.2">
      <c r="S44" s="75"/>
    </row>
    <row r="45" spans="19:19" s="2" customFormat="1" ht="27.75" customHeight="1" x14ac:dyDescent="0.2">
      <c r="S45" s="75"/>
    </row>
    <row r="46" spans="19:19" s="2" customFormat="1" ht="27.75" customHeight="1" x14ac:dyDescent="0.2">
      <c r="S46" s="75"/>
    </row>
    <row r="47" spans="19:19" s="2" customFormat="1" ht="27.75" customHeight="1" x14ac:dyDescent="0.2">
      <c r="S47" s="75"/>
    </row>
    <row r="48" spans="19:19" s="2" customFormat="1" ht="27.75" customHeight="1" x14ac:dyDescent="0.2">
      <c r="S48" s="75"/>
    </row>
    <row r="49" spans="19:19" s="2" customFormat="1" ht="27.75" customHeight="1" x14ac:dyDescent="0.2">
      <c r="S49" s="75"/>
    </row>
    <row r="50" spans="19:19" s="2" customFormat="1" ht="27.75" customHeight="1" x14ac:dyDescent="0.2">
      <c r="S50" s="75"/>
    </row>
    <row r="51" spans="19:19" s="2" customFormat="1" ht="27.75" customHeight="1" x14ac:dyDescent="0.2">
      <c r="S51" s="75"/>
    </row>
    <row r="52" spans="19:19" s="2" customFormat="1" ht="27.75" customHeight="1" x14ac:dyDescent="0.2">
      <c r="S52" s="75"/>
    </row>
    <row r="53" spans="19:19" s="2" customFormat="1" ht="27.75" customHeight="1" x14ac:dyDescent="0.2">
      <c r="S53" s="75"/>
    </row>
    <row r="54" spans="19:19" s="2" customFormat="1" ht="27.75" customHeight="1" x14ac:dyDescent="0.2">
      <c r="S54" s="75"/>
    </row>
    <row r="55" spans="19:19" s="2" customFormat="1" ht="27.75" customHeight="1" x14ac:dyDescent="0.2">
      <c r="S55" s="75"/>
    </row>
    <row r="56" spans="19:19" s="2" customFormat="1" ht="27.75" customHeight="1" x14ac:dyDescent="0.2">
      <c r="S56" s="75"/>
    </row>
    <row r="57" spans="19:19" s="2" customFormat="1" ht="27.75" customHeight="1" x14ac:dyDescent="0.2">
      <c r="S57" s="75"/>
    </row>
    <row r="58" spans="19:19" s="2" customFormat="1" ht="27.75" customHeight="1" x14ac:dyDescent="0.2">
      <c r="S58" s="75"/>
    </row>
    <row r="59" spans="19:19" s="2" customFormat="1" ht="27.75" customHeight="1" x14ac:dyDescent="0.2">
      <c r="S59" s="75"/>
    </row>
    <row r="60" spans="19:19" s="2" customFormat="1" ht="27.75" customHeight="1" x14ac:dyDescent="0.2">
      <c r="S60" s="75"/>
    </row>
    <row r="61" spans="19:19" s="2" customFormat="1" ht="27.75" customHeight="1" x14ac:dyDescent="0.2">
      <c r="S61" s="75"/>
    </row>
    <row r="62" spans="19:19" s="2" customFormat="1" ht="27.75" customHeight="1" x14ac:dyDescent="0.2">
      <c r="S62" s="75"/>
    </row>
    <row r="63" spans="19:19" s="2" customFormat="1" ht="27.75" customHeight="1" x14ac:dyDescent="0.2">
      <c r="S63" s="75"/>
    </row>
    <row r="64" spans="19:19" s="2" customFormat="1" ht="27.75" customHeight="1" x14ac:dyDescent="0.2">
      <c r="S64" s="75"/>
    </row>
    <row r="65" spans="19:19" s="2" customFormat="1" ht="27.75" customHeight="1" x14ac:dyDescent="0.2">
      <c r="S65" s="75"/>
    </row>
    <row r="66" spans="19:19" s="2" customFormat="1" ht="27.75" customHeight="1" x14ac:dyDescent="0.2">
      <c r="S66" s="75"/>
    </row>
    <row r="67" spans="19:19" s="2" customFormat="1" ht="27.75" customHeight="1" x14ac:dyDescent="0.2">
      <c r="S67" s="75"/>
    </row>
    <row r="68" spans="19:19" s="2" customFormat="1" ht="27.75" customHeight="1" x14ac:dyDescent="0.2">
      <c r="S68" s="75"/>
    </row>
    <row r="69" spans="19:19" s="2" customFormat="1" ht="27.75" customHeight="1" x14ac:dyDescent="0.2">
      <c r="S69" s="75"/>
    </row>
    <row r="70" spans="19:19" s="2" customFormat="1" ht="27.75" customHeight="1" x14ac:dyDescent="0.2">
      <c r="S70" s="75"/>
    </row>
    <row r="71" spans="19:19" s="2" customFormat="1" ht="27.75" customHeight="1" x14ac:dyDescent="0.2">
      <c r="S71" s="75"/>
    </row>
    <row r="72" spans="19:19" s="2" customFormat="1" ht="27.75" customHeight="1" x14ac:dyDescent="0.2">
      <c r="S72" s="75"/>
    </row>
    <row r="73" spans="19:19" s="2" customFormat="1" ht="27.75" customHeight="1" x14ac:dyDescent="0.2">
      <c r="S73" s="75"/>
    </row>
    <row r="74" spans="19:19" s="2" customFormat="1" ht="27.75" customHeight="1" x14ac:dyDescent="0.2">
      <c r="S74" s="75"/>
    </row>
    <row r="75" spans="19:19" s="2" customFormat="1" ht="27.75" customHeight="1" x14ac:dyDescent="0.2">
      <c r="S75" s="75"/>
    </row>
    <row r="76" spans="19:19" s="2" customFormat="1" ht="27.75" customHeight="1" x14ac:dyDescent="0.2">
      <c r="S76" s="75"/>
    </row>
    <row r="77" spans="19:19" s="2" customFormat="1" ht="27.75" customHeight="1" x14ac:dyDescent="0.2">
      <c r="S77" s="75"/>
    </row>
    <row r="78" spans="19:19" s="2" customFormat="1" ht="27.75" customHeight="1" x14ac:dyDescent="0.2">
      <c r="S78" s="75"/>
    </row>
    <row r="79" spans="19:19" s="2" customFormat="1" ht="27.75" customHeight="1" x14ac:dyDescent="0.2">
      <c r="S79" s="75"/>
    </row>
    <row r="80" spans="19:19" s="2" customFormat="1" ht="27.75" customHeight="1" x14ac:dyDescent="0.2">
      <c r="S80" s="75"/>
    </row>
    <row r="81" spans="19:19" s="2" customFormat="1" ht="27.75" customHeight="1" x14ac:dyDescent="0.2">
      <c r="S81" s="75"/>
    </row>
    <row r="82" spans="19:19" s="2" customFormat="1" ht="27.75" customHeight="1" x14ac:dyDescent="0.2">
      <c r="S82" s="75"/>
    </row>
    <row r="83" spans="19:19" s="2" customFormat="1" ht="27.75" customHeight="1" x14ac:dyDescent="0.2">
      <c r="S83" s="75"/>
    </row>
    <row r="84" spans="19:19" s="2" customFormat="1" ht="27.75" customHeight="1" x14ac:dyDescent="0.2">
      <c r="S84" s="75"/>
    </row>
    <row r="85" spans="19:19" s="2" customFormat="1" ht="27.75" customHeight="1" x14ac:dyDescent="0.2">
      <c r="S85" s="75"/>
    </row>
    <row r="86" spans="19:19" s="2" customFormat="1" ht="27.75" customHeight="1" x14ac:dyDescent="0.2">
      <c r="S86" s="75"/>
    </row>
    <row r="87" spans="19:19" s="2" customFormat="1" ht="27.75" customHeight="1" x14ac:dyDescent="0.2">
      <c r="S87" s="75"/>
    </row>
    <row r="88" spans="19:19" s="2" customFormat="1" ht="27.75" customHeight="1" x14ac:dyDescent="0.2">
      <c r="S88" s="75"/>
    </row>
    <row r="89" spans="19:19" s="2" customFormat="1" ht="27.75" customHeight="1" x14ac:dyDescent="0.2">
      <c r="S89" s="75"/>
    </row>
    <row r="90" spans="19:19" s="2" customFormat="1" ht="27.75" customHeight="1" x14ac:dyDescent="0.2">
      <c r="S90" s="75"/>
    </row>
    <row r="91" spans="19:19" s="2" customFormat="1" ht="27.75" customHeight="1" x14ac:dyDescent="0.2">
      <c r="S91" s="75"/>
    </row>
    <row r="92" spans="19:19" s="2" customFormat="1" ht="27.75" customHeight="1" x14ac:dyDescent="0.2">
      <c r="S92" s="75"/>
    </row>
    <row r="93" spans="19:19" s="2" customFormat="1" ht="27.75" customHeight="1" x14ac:dyDescent="0.2">
      <c r="S93" s="75"/>
    </row>
    <row r="94" spans="19:19" s="2" customFormat="1" ht="27.75" customHeight="1" x14ac:dyDescent="0.2">
      <c r="S94" s="75"/>
    </row>
    <row r="95" spans="19:19" s="2" customFormat="1" ht="27.75" customHeight="1" x14ac:dyDescent="0.2">
      <c r="S95" s="75"/>
    </row>
    <row r="96" spans="19:19" s="2" customFormat="1" ht="27.75" customHeight="1" x14ac:dyDescent="0.2">
      <c r="S96" s="75"/>
    </row>
    <row r="97" spans="19:19" s="2" customFormat="1" ht="27.75" customHeight="1" x14ac:dyDescent="0.2">
      <c r="S97" s="75"/>
    </row>
    <row r="98" spans="19:19" s="2" customFormat="1" ht="27.75" customHeight="1" x14ac:dyDescent="0.2">
      <c r="S98" s="75"/>
    </row>
    <row r="99" spans="19:19" s="2" customFormat="1" ht="27.75" customHeight="1" x14ac:dyDescent="0.2">
      <c r="S99" s="75"/>
    </row>
    <row r="100" spans="19:19" s="2" customFormat="1" ht="27.75" customHeight="1" x14ac:dyDescent="0.2">
      <c r="S100" s="75"/>
    </row>
    <row r="101" spans="19:19" s="2" customFormat="1" ht="27.75" customHeight="1" x14ac:dyDescent="0.2">
      <c r="S101" s="75"/>
    </row>
    <row r="102" spans="19:19" s="2" customFormat="1" ht="27.75" customHeight="1" x14ac:dyDescent="0.2">
      <c r="S102" s="75"/>
    </row>
    <row r="103" spans="19:19" s="2" customFormat="1" ht="27.75" customHeight="1" x14ac:dyDescent="0.2">
      <c r="S103" s="75"/>
    </row>
    <row r="104" spans="19:19" s="2" customFormat="1" ht="27.75" customHeight="1" x14ac:dyDescent="0.2">
      <c r="S104" s="75"/>
    </row>
    <row r="105" spans="19:19" s="2" customFormat="1" ht="27.75" customHeight="1" x14ac:dyDescent="0.2">
      <c r="S105" s="75"/>
    </row>
    <row r="106" spans="19:19" s="2" customFormat="1" ht="27.75" customHeight="1" x14ac:dyDescent="0.2">
      <c r="S106" s="75"/>
    </row>
    <row r="107" spans="19:19" s="2" customFormat="1" ht="27.75" customHeight="1" x14ac:dyDescent="0.2">
      <c r="S107" s="75"/>
    </row>
    <row r="108" spans="19:19" s="2" customFormat="1" ht="27.75" customHeight="1" x14ac:dyDescent="0.2">
      <c r="S108" s="75"/>
    </row>
    <row r="109" spans="19:19" s="2" customFormat="1" ht="27.75" customHeight="1" x14ac:dyDescent="0.2">
      <c r="S109" s="75"/>
    </row>
    <row r="110" spans="19:19" s="2" customFormat="1" ht="27.75" customHeight="1" x14ac:dyDescent="0.2">
      <c r="S110" s="75"/>
    </row>
    <row r="111" spans="19:19" s="2" customFormat="1" ht="27.75" customHeight="1" x14ac:dyDescent="0.2">
      <c r="S111" s="75"/>
    </row>
    <row r="112" spans="19:19" s="2" customFormat="1" ht="27.75" customHeight="1" x14ac:dyDescent="0.2">
      <c r="S112" s="75"/>
    </row>
    <row r="113" spans="19:19" s="2" customFormat="1" ht="27.75" customHeight="1" x14ac:dyDescent="0.2">
      <c r="S113" s="75"/>
    </row>
    <row r="114" spans="19:19" s="2" customFormat="1" ht="27.75" customHeight="1" x14ac:dyDescent="0.2">
      <c r="S114" s="75"/>
    </row>
    <row r="115" spans="19:19" s="2" customFormat="1" ht="27.75" customHeight="1" x14ac:dyDescent="0.2">
      <c r="S115" s="75"/>
    </row>
    <row r="116" spans="19:19" s="2" customFormat="1" ht="27.75" customHeight="1" x14ac:dyDescent="0.2">
      <c r="S116" s="75"/>
    </row>
    <row r="117" spans="19:19" s="2" customFormat="1" ht="27.75" customHeight="1" x14ac:dyDescent="0.2">
      <c r="S117" s="75"/>
    </row>
    <row r="118" spans="19:19" s="2" customFormat="1" ht="27.75" customHeight="1" x14ac:dyDescent="0.2">
      <c r="S118" s="75"/>
    </row>
    <row r="119" spans="19:19" s="2" customFormat="1" ht="27.75" customHeight="1" x14ac:dyDescent="0.2">
      <c r="S119" s="75"/>
    </row>
    <row r="120" spans="19:19" s="2" customFormat="1" ht="27.75" customHeight="1" x14ac:dyDescent="0.2">
      <c r="S120" s="75"/>
    </row>
    <row r="121" spans="19:19" s="2" customFormat="1" ht="27.75" customHeight="1" x14ac:dyDescent="0.2">
      <c r="S121" s="75"/>
    </row>
    <row r="122" spans="19:19" s="2" customFormat="1" ht="27.75" customHeight="1" x14ac:dyDescent="0.2">
      <c r="S122" s="75"/>
    </row>
    <row r="123" spans="19:19" s="2" customFormat="1" ht="27.75" customHeight="1" x14ac:dyDescent="0.2">
      <c r="S123" s="75"/>
    </row>
    <row r="124" spans="19:19" s="2" customFormat="1" ht="27.75" customHeight="1" x14ac:dyDescent="0.2">
      <c r="S124" s="75"/>
    </row>
    <row r="125" spans="19:19" s="2" customFormat="1" ht="27.75" customHeight="1" x14ac:dyDescent="0.2">
      <c r="S125" s="75"/>
    </row>
    <row r="126" spans="19:19" s="2" customFormat="1" ht="27.75" customHeight="1" x14ac:dyDescent="0.2">
      <c r="S126" s="75"/>
    </row>
    <row r="127" spans="19:19" s="2" customFormat="1" ht="27.75" customHeight="1" x14ac:dyDescent="0.2">
      <c r="S127" s="75"/>
    </row>
    <row r="128" spans="19:19" s="2" customFormat="1" ht="27.75" customHeight="1" x14ac:dyDescent="0.2">
      <c r="S128" s="75"/>
    </row>
    <row r="129" spans="19:19" s="2" customFormat="1" ht="27.75" customHeight="1" x14ac:dyDescent="0.2">
      <c r="S129" s="75"/>
    </row>
    <row r="130" spans="19:19" s="2" customFormat="1" ht="27.75" customHeight="1" x14ac:dyDescent="0.2">
      <c r="S130" s="75"/>
    </row>
    <row r="131" spans="19:19" s="2" customFormat="1" ht="27.75" customHeight="1" x14ac:dyDescent="0.2">
      <c r="S131" s="75"/>
    </row>
    <row r="132" spans="19:19" s="2" customFormat="1" ht="27.75" customHeight="1" x14ac:dyDescent="0.2">
      <c r="S132" s="75"/>
    </row>
    <row r="133" spans="19:19" s="2" customFormat="1" ht="27.75" customHeight="1" x14ac:dyDescent="0.2">
      <c r="S133" s="75"/>
    </row>
    <row r="134" spans="19:19" s="2" customFormat="1" ht="27.75" customHeight="1" x14ac:dyDescent="0.2">
      <c r="S134" s="75"/>
    </row>
    <row r="135" spans="19:19" s="2" customFormat="1" ht="27.75" customHeight="1" x14ac:dyDescent="0.2">
      <c r="S135" s="75"/>
    </row>
    <row r="136" spans="19:19" s="2" customFormat="1" ht="27.75" customHeight="1" x14ac:dyDescent="0.2">
      <c r="S136" s="75"/>
    </row>
    <row r="137" spans="19:19" s="2" customFormat="1" ht="27.75" customHeight="1" x14ac:dyDescent="0.2">
      <c r="S137" s="75"/>
    </row>
    <row r="138" spans="19:19" s="2" customFormat="1" ht="27.75" customHeight="1" x14ac:dyDescent="0.2">
      <c r="S138" s="75"/>
    </row>
    <row r="139" spans="19:19" s="2" customFormat="1" ht="27.75" customHeight="1" x14ac:dyDescent="0.2">
      <c r="S139" s="75"/>
    </row>
    <row r="140" spans="19:19" s="2" customFormat="1" ht="27.75" customHeight="1" x14ac:dyDescent="0.2">
      <c r="S140" s="75"/>
    </row>
    <row r="141" spans="19:19" s="2" customFormat="1" ht="27.75" customHeight="1" x14ac:dyDescent="0.2">
      <c r="S141" s="75"/>
    </row>
    <row r="142" spans="19:19" s="2" customFormat="1" ht="27.75" customHeight="1" x14ac:dyDescent="0.2">
      <c r="S142" s="75"/>
    </row>
    <row r="143" spans="19:19" s="2" customFormat="1" ht="27.75" customHeight="1" x14ac:dyDescent="0.2">
      <c r="S143" s="75"/>
    </row>
    <row r="144" spans="19:19" s="2" customFormat="1" ht="27.75" customHeight="1" x14ac:dyDescent="0.2">
      <c r="S144" s="75"/>
    </row>
    <row r="145" spans="19:19" s="2" customFormat="1" ht="27.75" customHeight="1" x14ac:dyDescent="0.2">
      <c r="S145" s="75"/>
    </row>
    <row r="146" spans="19:19" s="2" customFormat="1" ht="27.75" customHeight="1" x14ac:dyDescent="0.2">
      <c r="S146" s="75"/>
    </row>
    <row r="147" spans="19:19" s="2" customFormat="1" ht="27.75" customHeight="1" x14ac:dyDescent="0.2">
      <c r="S147" s="75"/>
    </row>
    <row r="148" spans="19:19" s="2" customFormat="1" ht="27.75" customHeight="1" x14ac:dyDescent="0.2">
      <c r="S148" s="75"/>
    </row>
    <row r="149" spans="19:19" s="2" customFormat="1" ht="27.75" customHeight="1" x14ac:dyDescent="0.2">
      <c r="S149" s="75"/>
    </row>
    <row r="150" spans="19:19" s="2" customFormat="1" ht="27.75" customHeight="1" x14ac:dyDescent="0.2">
      <c r="S150" s="75"/>
    </row>
    <row r="151" spans="19:19" s="2" customFormat="1" ht="27.75" customHeight="1" x14ac:dyDescent="0.2">
      <c r="S151" s="75"/>
    </row>
    <row r="152" spans="19:19" s="2" customFormat="1" ht="27.75" customHeight="1" x14ac:dyDescent="0.2">
      <c r="S152" s="75"/>
    </row>
    <row r="153" spans="19:19" s="2" customFormat="1" ht="27.75" customHeight="1" x14ac:dyDescent="0.2">
      <c r="S153" s="75"/>
    </row>
    <row r="154" spans="19:19" s="2" customFormat="1" ht="27.75" customHeight="1" x14ac:dyDescent="0.2">
      <c r="S154" s="75"/>
    </row>
    <row r="155" spans="19:19" s="2" customFormat="1" ht="27.75" customHeight="1" x14ac:dyDescent="0.2">
      <c r="S155" s="75"/>
    </row>
    <row r="156" spans="19:19" s="2" customFormat="1" ht="27.75" customHeight="1" x14ac:dyDescent="0.2">
      <c r="S156" s="75"/>
    </row>
    <row r="157" spans="19:19" s="2" customFormat="1" ht="27.75" customHeight="1" x14ac:dyDescent="0.2">
      <c r="S157" s="75"/>
    </row>
    <row r="158" spans="19:19" s="2" customFormat="1" ht="27.75" customHeight="1" x14ac:dyDescent="0.2">
      <c r="S158" s="75"/>
    </row>
    <row r="159" spans="19:19" s="2" customFormat="1" ht="27.75" customHeight="1" x14ac:dyDescent="0.2">
      <c r="S159" s="75"/>
    </row>
    <row r="160" spans="19:19" s="2" customFormat="1" ht="27.75" customHeight="1" x14ac:dyDescent="0.2">
      <c r="S160" s="75"/>
    </row>
    <row r="161" spans="19:19" s="2" customFormat="1" ht="27.75" customHeight="1" x14ac:dyDescent="0.2">
      <c r="S161" s="75"/>
    </row>
    <row r="162" spans="19:19" s="2" customFormat="1" ht="27.75" customHeight="1" x14ac:dyDescent="0.2">
      <c r="S162" s="75"/>
    </row>
    <row r="163" spans="19:19" s="2" customFormat="1" ht="27.75" customHeight="1" x14ac:dyDescent="0.2">
      <c r="S163" s="75"/>
    </row>
    <row r="164" spans="19:19" s="2" customFormat="1" ht="27.75" customHeight="1" x14ac:dyDescent="0.2">
      <c r="S164" s="75"/>
    </row>
    <row r="165" spans="19:19" s="2" customFormat="1" ht="27.75" customHeight="1" x14ac:dyDescent="0.2">
      <c r="S165" s="75"/>
    </row>
    <row r="166" spans="19:19" s="2" customFormat="1" ht="27.75" customHeight="1" x14ac:dyDescent="0.2">
      <c r="S166" s="75"/>
    </row>
    <row r="167" spans="19:19" s="2" customFormat="1" ht="27.75" customHeight="1" x14ac:dyDescent="0.2">
      <c r="S167" s="75"/>
    </row>
    <row r="168" spans="19:19" s="2" customFormat="1" ht="27.75" customHeight="1" x14ac:dyDescent="0.2">
      <c r="S168" s="75"/>
    </row>
    <row r="169" spans="19:19" s="2" customFormat="1" ht="27.75" customHeight="1" x14ac:dyDescent="0.2">
      <c r="S169" s="75"/>
    </row>
    <row r="170" spans="19:19" s="2" customFormat="1" ht="27.75" customHeight="1" x14ac:dyDescent="0.2">
      <c r="S170" s="75"/>
    </row>
    <row r="171" spans="19:19" s="2" customFormat="1" ht="27.75" customHeight="1" x14ac:dyDescent="0.2">
      <c r="S171" s="75"/>
    </row>
    <row r="172" spans="19:19" s="2" customFormat="1" ht="27.75" customHeight="1" x14ac:dyDescent="0.2">
      <c r="S172" s="75"/>
    </row>
    <row r="173" spans="19:19" s="2" customFormat="1" ht="27.75" customHeight="1" x14ac:dyDescent="0.2">
      <c r="S173" s="75"/>
    </row>
    <row r="174" spans="19:19" s="2" customFormat="1" ht="27.75" customHeight="1" x14ac:dyDescent="0.2">
      <c r="S174" s="75"/>
    </row>
    <row r="175" spans="19:19" s="2" customFormat="1" ht="27.75" customHeight="1" x14ac:dyDescent="0.2">
      <c r="S175" s="75"/>
    </row>
    <row r="176" spans="19:19" s="2" customFormat="1" ht="27.75" customHeight="1" x14ac:dyDescent="0.2">
      <c r="S176" s="75"/>
    </row>
    <row r="177" spans="19:19" s="2" customFormat="1" ht="27.75" customHeight="1" x14ac:dyDescent="0.2">
      <c r="S177" s="75"/>
    </row>
    <row r="178" spans="19:19" s="2" customFormat="1" ht="27.75" customHeight="1" x14ac:dyDescent="0.2">
      <c r="S178" s="75"/>
    </row>
    <row r="179" spans="19:19" s="2" customFormat="1" ht="27.75" customHeight="1" x14ac:dyDescent="0.2">
      <c r="S179" s="75"/>
    </row>
    <row r="180" spans="19:19" s="2" customFormat="1" ht="27.75" customHeight="1" x14ac:dyDescent="0.2">
      <c r="S180" s="75"/>
    </row>
    <row r="181" spans="19:19" s="2" customFormat="1" ht="27.75" customHeight="1" x14ac:dyDescent="0.2">
      <c r="S181" s="75"/>
    </row>
    <row r="182" spans="19:19" s="2" customFormat="1" ht="27.75" customHeight="1" x14ac:dyDescent="0.2">
      <c r="S182" s="75"/>
    </row>
    <row r="183" spans="19:19" s="2" customFormat="1" ht="27.75" customHeight="1" x14ac:dyDescent="0.2">
      <c r="S183" s="75"/>
    </row>
    <row r="184" spans="19:19" s="2" customFormat="1" ht="27.75" customHeight="1" x14ac:dyDescent="0.2">
      <c r="S184" s="75"/>
    </row>
    <row r="185" spans="19:19" s="2" customFormat="1" ht="27.75" customHeight="1" x14ac:dyDescent="0.2">
      <c r="S185" s="75"/>
    </row>
    <row r="186" spans="19:19" s="2" customFormat="1" ht="27.75" customHeight="1" x14ac:dyDescent="0.2">
      <c r="S186" s="75"/>
    </row>
    <row r="187" spans="19:19" s="2" customFormat="1" ht="27.75" customHeight="1" x14ac:dyDescent="0.2">
      <c r="S187" s="75"/>
    </row>
    <row r="188" spans="19:19" s="2" customFormat="1" ht="27.75" customHeight="1" x14ac:dyDescent="0.2">
      <c r="S188" s="75"/>
    </row>
    <row r="189" spans="19:19" s="2" customFormat="1" ht="27.75" customHeight="1" x14ac:dyDescent="0.2">
      <c r="S189" s="75"/>
    </row>
    <row r="190" spans="19:19" s="2" customFormat="1" ht="27.75" customHeight="1" x14ac:dyDescent="0.2">
      <c r="S190" s="75"/>
    </row>
    <row r="191" spans="19:19" s="2" customFormat="1" ht="27.75" customHeight="1" x14ac:dyDescent="0.2">
      <c r="S191" s="75"/>
    </row>
    <row r="192" spans="19:19" s="2" customFormat="1" ht="27.75" customHeight="1" x14ac:dyDescent="0.2">
      <c r="S192" s="75"/>
    </row>
    <row r="193" spans="19:19" s="2" customFormat="1" ht="27.75" customHeight="1" x14ac:dyDescent="0.2">
      <c r="S193" s="75"/>
    </row>
    <row r="194" spans="19:19" s="2" customFormat="1" ht="27.75" customHeight="1" x14ac:dyDescent="0.2">
      <c r="S194" s="75"/>
    </row>
    <row r="195" spans="19:19" s="2" customFormat="1" ht="27.75" customHeight="1" x14ac:dyDescent="0.2">
      <c r="S195" s="75"/>
    </row>
    <row r="196" spans="19:19" s="2" customFormat="1" ht="27.75" customHeight="1" x14ac:dyDescent="0.2">
      <c r="S196" s="75"/>
    </row>
    <row r="197" spans="19:19" s="2" customFormat="1" ht="27.75" customHeight="1" x14ac:dyDescent="0.2">
      <c r="S197" s="75"/>
    </row>
    <row r="198" spans="19:19" s="2" customFormat="1" ht="27.75" customHeight="1" x14ac:dyDescent="0.2">
      <c r="S198" s="75"/>
    </row>
    <row r="199" spans="19:19" s="2" customFormat="1" ht="27.75" customHeight="1" x14ac:dyDescent="0.2">
      <c r="S199" s="75"/>
    </row>
    <row r="200" spans="19:19" s="2" customFormat="1" ht="27.75" customHeight="1" x14ac:dyDescent="0.2">
      <c r="S200" s="75"/>
    </row>
    <row r="201" spans="19:19" s="2" customFormat="1" ht="27.75" customHeight="1" x14ac:dyDescent="0.2">
      <c r="S201" s="75"/>
    </row>
    <row r="202" spans="19:19" s="2" customFormat="1" ht="27.75" customHeight="1" x14ac:dyDescent="0.2">
      <c r="S202" s="75"/>
    </row>
    <row r="203" spans="19:19" s="2" customFormat="1" ht="27.75" customHeight="1" x14ac:dyDescent="0.2">
      <c r="S203" s="75"/>
    </row>
    <row r="204" spans="19:19" s="2" customFormat="1" ht="27.75" customHeight="1" x14ac:dyDescent="0.2">
      <c r="S204" s="75"/>
    </row>
    <row r="205" spans="19:19" s="2" customFormat="1" ht="27.75" customHeight="1" x14ac:dyDescent="0.2">
      <c r="S205" s="75"/>
    </row>
    <row r="206" spans="19:19" s="2" customFormat="1" ht="27.75" customHeight="1" x14ac:dyDescent="0.2">
      <c r="S206" s="75"/>
    </row>
    <row r="207" spans="19:19" s="2" customFormat="1" ht="27.75" customHeight="1" x14ac:dyDescent="0.2">
      <c r="S207" s="75"/>
    </row>
    <row r="208" spans="19:19" s="2" customFormat="1" ht="27.75" customHeight="1" x14ac:dyDescent="0.2">
      <c r="S208" s="75"/>
    </row>
    <row r="209" spans="19:19" s="2" customFormat="1" ht="27.75" customHeight="1" x14ac:dyDescent="0.2">
      <c r="S209" s="75"/>
    </row>
    <row r="210" spans="19:19" s="2" customFormat="1" ht="27.75" customHeight="1" x14ac:dyDescent="0.2">
      <c r="S210" s="75"/>
    </row>
    <row r="211" spans="19:19" s="2" customFormat="1" ht="27.75" customHeight="1" x14ac:dyDescent="0.2">
      <c r="S211" s="75"/>
    </row>
    <row r="212" spans="19:19" s="2" customFormat="1" ht="27.75" customHeight="1" x14ac:dyDescent="0.2">
      <c r="S212" s="75"/>
    </row>
    <row r="213" spans="19:19" s="2" customFormat="1" ht="27.75" customHeight="1" x14ac:dyDescent="0.2">
      <c r="S213" s="75"/>
    </row>
    <row r="214" spans="19:19" s="2" customFormat="1" ht="27.75" customHeight="1" x14ac:dyDescent="0.2">
      <c r="S214" s="75"/>
    </row>
    <row r="215" spans="19:19" s="2" customFormat="1" ht="27.75" customHeight="1" x14ac:dyDescent="0.2">
      <c r="S215" s="75"/>
    </row>
    <row r="216" spans="19:19" s="2" customFormat="1" ht="27.75" customHeight="1" x14ac:dyDescent="0.2">
      <c r="S216" s="75"/>
    </row>
    <row r="217" spans="19:19" s="2" customFormat="1" ht="27.75" customHeight="1" x14ac:dyDescent="0.2">
      <c r="S217" s="75"/>
    </row>
    <row r="218" spans="19:19" s="2" customFormat="1" ht="27.75" customHeight="1" x14ac:dyDescent="0.2">
      <c r="S218" s="75"/>
    </row>
    <row r="219" spans="19:19" s="2" customFormat="1" ht="27.75" customHeight="1" x14ac:dyDescent="0.2">
      <c r="S219" s="75"/>
    </row>
    <row r="220" spans="19:19" s="2" customFormat="1" ht="27.75" customHeight="1" x14ac:dyDescent="0.2">
      <c r="S220" s="75"/>
    </row>
    <row r="221" spans="19:19" s="2" customFormat="1" ht="27.75" customHeight="1" x14ac:dyDescent="0.2">
      <c r="S221" s="75"/>
    </row>
    <row r="222" spans="19:19" s="2" customFormat="1" ht="27.75" customHeight="1" x14ac:dyDescent="0.2">
      <c r="S222" s="75"/>
    </row>
    <row r="223" spans="19:19" s="2" customFormat="1" ht="27.75" customHeight="1" x14ac:dyDescent="0.2">
      <c r="S223" s="75"/>
    </row>
    <row r="224" spans="19:19" s="2" customFormat="1" ht="27.75" customHeight="1" x14ac:dyDescent="0.2">
      <c r="S224" s="75"/>
    </row>
    <row r="225" spans="19:19" s="2" customFormat="1" ht="27.75" customHeight="1" x14ac:dyDescent="0.2">
      <c r="S225" s="75"/>
    </row>
    <row r="226" spans="19:19" s="2" customFormat="1" ht="27.75" customHeight="1" x14ac:dyDescent="0.2">
      <c r="S226" s="75"/>
    </row>
    <row r="227" spans="19:19" s="2" customFormat="1" ht="27.75" customHeight="1" x14ac:dyDescent="0.2">
      <c r="S227" s="75"/>
    </row>
    <row r="228" spans="19:19" s="2" customFormat="1" ht="27.75" customHeight="1" x14ac:dyDescent="0.2">
      <c r="S228" s="75"/>
    </row>
    <row r="229" spans="19:19" s="2" customFormat="1" ht="27.75" customHeight="1" x14ac:dyDescent="0.2">
      <c r="S229" s="75"/>
    </row>
    <row r="230" spans="19:19" s="2" customFormat="1" ht="27.75" customHeight="1" x14ac:dyDescent="0.2">
      <c r="S230" s="75"/>
    </row>
    <row r="231" spans="19:19" s="2" customFormat="1" ht="27.75" customHeight="1" x14ac:dyDescent="0.2">
      <c r="S231" s="75"/>
    </row>
    <row r="232" spans="19:19" s="2" customFormat="1" ht="27.75" customHeight="1" x14ac:dyDescent="0.2">
      <c r="S232" s="75"/>
    </row>
    <row r="233" spans="19:19" s="2" customFormat="1" ht="27.75" customHeight="1" x14ac:dyDescent="0.2">
      <c r="S233" s="75"/>
    </row>
    <row r="234" spans="19:19" s="2" customFormat="1" ht="27.75" customHeight="1" x14ac:dyDescent="0.2">
      <c r="S234" s="75"/>
    </row>
    <row r="235" spans="19:19" s="2" customFormat="1" ht="27.75" customHeight="1" x14ac:dyDescent="0.2">
      <c r="S235" s="75"/>
    </row>
    <row r="236" spans="19:19" s="2" customFormat="1" ht="27.75" customHeight="1" x14ac:dyDescent="0.2">
      <c r="S236" s="75"/>
    </row>
    <row r="237" spans="19:19" s="2" customFormat="1" ht="27.75" customHeight="1" x14ac:dyDescent="0.2">
      <c r="S237" s="75"/>
    </row>
    <row r="238" spans="19:19" s="2" customFormat="1" ht="27.75" customHeight="1" x14ac:dyDescent="0.2">
      <c r="S238" s="75"/>
    </row>
    <row r="239" spans="19:19" s="2" customFormat="1" ht="27.75" customHeight="1" x14ac:dyDescent="0.2">
      <c r="S239" s="75"/>
    </row>
    <row r="240" spans="19:19" s="2" customFormat="1" ht="27.75" customHeight="1" x14ac:dyDescent="0.2">
      <c r="S240" s="75"/>
    </row>
    <row r="241" spans="19:19" s="2" customFormat="1" ht="27.75" customHeight="1" x14ac:dyDescent="0.2">
      <c r="S241" s="75"/>
    </row>
    <row r="242" spans="19:19" s="2" customFormat="1" ht="27.75" customHeight="1" x14ac:dyDescent="0.2">
      <c r="S242" s="75"/>
    </row>
    <row r="243" spans="19:19" s="2" customFormat="1" ht="27.75" customHeight="1" x14ac:dyDescent="0.2">
      <c r="S243" s="75"/>
    </row>
    <row r="244" spans="19:19" s="2" customFormat="1" ht="27.75" customHeight="1" x14ac:dyDescent="0.2">
      <c r="S244" s="75"/>
    </row>
    <row r="245" spans="19:19" s="2" customFormat="1" ht="27.75" customHeight="1" x14ac:dyDescent="0.2">
      <c r="S245" s="75"/>
    </row>
    <row r="246" spans="19:19" s="2" customFormat="1" ht="27.75" customHeight="1" x14ac:dyDescent="0.2">
      <c r="S246" s="75"/>
    </row>
    <row r="247" spans="19:19" s="2" customFormat="1" ht="27.75" customHeight="1" x14ac:dyDescent="0.2">
      <c r="S247" s="75"/>
    </row>
    <row r="248" spans="19:19" s="2" customFormat="1" ht="27.75" customHeight="1" x14ac:dyDescent="0.2">
      <c r="S248" s="75"/>
    </row>
    <row r="249" spans="19:19" s="2" customFormat="1" ht="27.75" customHeight="1" x14ac:dyDescent="0.2">
      <c r="S249" s="75"/>
    </row>
    <row r="250" spans="19:19" s="2" customFormat="1" ht="27.75" customHeight="1" x14ac:dyDescent="0.2">
      <c r="S250" s="75"/>
    </row>
    <row r="251" spans="19:19" s="2" customFormat="1" ht="27.75" customHeight="1" x14ac:dyDescent="0.2">
      <c r="S251" s="75"/>
    </row>
    <row r="252" spans="19:19" s="2" customFormat="1" ht="27.75" customHeight="1" x14ac:dyDescent="0.2">
      <c r="S252" s="75"/>
    </row>
    <row r="253" spans="19:19" s="2" customFormat="1" ht="27.75" customHeight="1" x14ac:dyDescent="0.2">
      <c r="S253" s="75"/>
    </row>
    <row r="254" spans="19:19" s="2" customFormat="1" ht="27.75" customHeight="1" x14ac:dyDescent="0.2">
      <c r="S254" s="75"/>
    </row>
    <row r="255" spans="19:19" s="2" customFormat="1" ht="27.75" customHeight="1" x14ac:dyDescent="0.2">
      <c r="S255" s="75"/>
    </row>
    <row r="256" spans="19:19" s="2" customFormat="1" ht="27.75" customHeight="1" x14ac:dyDescent="0.2">
      <c r="S256" s="75"/>
    </row>
    <row r="257" spans="19:19" s="2" customFormat="1" ht="27.75" customHeight="1" x14ac:dyDescent="0.2">
      <c r="S257" s="75"/>
    </row>
    <row r="258" spans="19:19" s="2" customFormat="1" ht="27.75" customHeight="1" x14ac:dyDescent="0.2">
      <c r="S258" s="75"/>
    </row>
    <row r="259" spans="19:19" s="2" customFormat="1" ht="27.75" customHeight="1" x14ac:dyDescent="0.2">
      <c r="S259" s="75"/>
    </row>
    <row r="260" spans="19:19" s="2" customFormat="1" ht="27.75" customHeight="1" x14ac:dyDescent="0.2">
      <c r="S260" s="75"/>
    </row>
    <row r="261" spans="19:19" s="2" customFormat="1" ht="27.75" customHeight="1" x14ac:dyDescent="0.2">
      <c r="S261" s="75"/>
    </row>
    <row r="262" spans="19:19" s="2" customFormat="1" ht="27.75" customHeight="1" x14ac:dyDescent="0.2">
      <c r="S262" s="75"/>
    </row>
    <row r="263" spans="19:19" s="2" customFormat="1" ht="27.75" customHeight="1" x14ac:dyDescent="0.2">
      <c r="S263" s="75"/>
    </row>
    <row r="264" spans="19:19" s="2" customFormat="1" ht="27.75" customHeight="1" x14ac:dyDescent="0.2">
      <c r="S264" s="75"/>
    </row>
    <row r="265" spans="19:19" s="2" customFormat="1" ht="27.75" customHeight="1" x14ac:dyDescent="0.2">
      <c r="S265" s="75"/>
    </row>
    <row r="266" spans="19:19" s="2" customFormat="1" ht="27.75" customHeight="1" x14ac:dyDescent="0.2">
      <c r="S266" s="75"/>
    </row>
    <row r="267" spans="19:19" s="2" customFormat="1" ht="27.75" customHeight="1" x14ac:dyDescent="0.2">
      <c r="S267" s="75"/>
    </row>
    <row r="268" spans="19:19" s="2" customFormat="1" ht="27.75" customHeight="1" x14ac:dyDescent="0.2">
      <c r="S268" s="75"/>
    </row>
    <row r="269" spans="19:19" s="2" customFormat="1" ht="27.75" customHeight="1" x14ac:dyDescent="0.2">
      <c r="S269" s="75"/>
    </row>
    <row r="270" spans="19:19" s="2" customFormat="1" ht="27.75" customHeight="1" x14ac:dyDescent="0.2">
      <c r="S270" s="75"/>
    </row>
    <row r="271" spans="19:19" s="2" customFormat="1" ht="27.75" customHeight="1" x14ac:dyDescent="0.2">
      <c r="S271" s="75"/>
    </row>
    <row r="272" spans="19:19" s="2" customFormat="1" ht="27.75" customHeight="1" x14ac:dyDescent="0.2">
      <c r="S272" s="75"/>
    </row>
    <row r="273" spans="19:19" s="2" customFormat="1" ht="27.75" customHeight="1" x14ac:dyDescent="0.2">
      <c r="S273" s="75"/>
    </row>
    <row r="274" spans="19:19" s="2" customFormat="1" ht="27.75" customHeight="1" x14ac:dyDescent="0.2">
      <c r="S274" s="75"/>
    </row>
    <row r="275" spans="19:19" s="2" customFormat="1" ht="27.75" customHeight="1" x14ac:dyDescent="0.2">
      <c r="S275" s="75"/>
    </row>
    <row r="276" spans="19:19" s="2" customFormat="1" ht="27.75" customHeight="1" x14ac:dyDescent="0.2">
      <c r="S276" s="75"/>
    </row>
    <row r="277" spans="19:19" s="2" customFormat="1" ht="27.75" customHeight="1" x14ac:dyDescent="0.2">
      <c r="S277" s="75"/>
    </row>
    <row r="278" spans="19:19" s="2" customFormat="1" ht="27.75" customHeight="1" x14ac:dyDescent="0.2">
      <c r="S278" s="75"/>
    </row>
    <row r="279" spans="19:19" s="2" customFormat="1" ht="27.75" customHeight="1" x14ac:dyDescent="0.2">
      <c r="S279" s="75"/>
    </row>
    <row r="280" spans="19:19" s="2" customFormat="1" ht="27.75" customHeight="1" x14ac:dyDescent="0.2">
      <c r="S280" s="75"/>
    </row>
    <row r="281" spans="19:19" s="2" customFormat="1" ht="27.75" customHeight="1" x14ac:dyDescent="0.2">
      <c r="S281" s="75"/>
    </row>
    <row r="282" spans="19:19" s="2" customFormat="1" ht="27.75" customHeight="1" x14ac:dyDescent="0.2">
      <c r="S282" s="75"/>
    </row>
    <row r="283" spans="19:19" s="2" customFormat="1" ht="27.75" customHeight="1" x14ac:dyDescent="0.2">
      <c r="S283" s="75"/>
    </row>
    <row r="284" spans="19:19" s="2" customFormat="1" ht="27.75" customHeight="1" x14ac:dyDescent="0.2">
      <c r="S284" s="75"/>
    </row>
    <row r="285" spans="19:19" s="2" customFormat="1" ht="27.75" customHeight="1" x14ac:dyDescent="0.2">
      <c r="S285" s="75"/>
    </row>
    <row r="286" spans="19:19" s="2" customFormat="1" ht="27.75" customHeight="1" x14ac:dyDescent="0.2">
      <c r="S286" s="75"/>
    </row>
    <row r="287" spans="19:19" s="2" customFormat="1" ht="27.75" customHeight="1" x14ac:dyDescent="0.2">
      <c r="S287" s="75"/>
    </row>
    <row r="288" spans="19:19" s="2" customFormat="1" ht="27.75" customHeight="1" x14ac:dyDescent="0.2">
      <c r="S288" s="75"/>
    </row>
    <row r="289" spans="19:19" s="2" customFormat="1" ht="27.75" customHeight="1" x14ac:dyDescent="0.2">
      <c r="S289" s="75"/>
    </row>
    <row r="290" spans="19:19" s="2" customFormat="1" ht="27.75" customHeight="1" x14ac:dyDescent="0.2">
      <c r="S290" s="75"/>
    </row>
    <row r="291" spans="19:19" s="2" customFormat="1" ht="27.75" customHeight="1" x14ac:dyDescent="0.2">
      <c r="S291" s="75"/>
    </row>
    <row r="292" spans="19:19" s="2" customFormat="1" ht="27.75" customHeight="1" x14ac:dyDescent="0.2">
      <c r="S292" s="75"/>
    </row>
    <row r="293" spans="19:19" s="2" customFormat="1" ht="27.75" customHeight="1" x14ac:dyDescent="0.2">
      <c r="S293" s="75"/>
    </row>
    <row r="294" spans="19:19" s="2" customFormat="1" ht="27.75" customHeight="1" x14ac:dyDescent="0.2">
      <c r="S294" s="75"/>
    </row>
    <row r="295" spans="19:19" s="2" customFormat="1" ht="27.75" customHeight="1" x14ac:dyDescent="0.2">
      <c r="S295" s="75"/>
    </row>
    <row r="296" spans="19:19" s="2" customFormat="1" ht="27.75" customHeight="1" x14ac:dyDescent="0.2">
      <c r="S296" s="75"/>
    </row>
    <row r="297" spans="19:19" s="2" customFormat="1" ht="27.75" customHeight="1" x14ac:dyDescent="0.2">
      <c r="S297" s="75"/>
    </row>
    <row r="298" spans="19:19" s="2" customFormat="1" ht="27.75" customHeight="1" x14ac:dyDescent="0.2">
      <c r="S298" s="75"/>
    </row>
    <row r="299" spans="19:19" s="2" customFormat="1" ht="27.75" customHeight="1" x14ac:dyDescent="0.2">
      <c r="S299" s="75"/>
    </row>
    <row r="300" spans="19:19" s="2" customFormat="1" ht="27.75" customHeight="1" x14ac:dyDescent="0.2">
      <c r="S300" s="75"/>
    </row>
    <row r="301" spans="19:19" s="2" customFormat="1" ht="27.75" customHeight="1" x14ac:dyDescent="0.2">
      <c r="S301" s="75"/>
    </row>
    <row r="302" spans="19:19" s="2" customFormat="1" ht="27.75" customHeight="1" x14ac:dyDescent="0.2">
      <c r="S302" s="75"/>
    </row>
    <row r="303" spans="19:19" s="2" customFormat="1" ht="27.75" customHeight="1" x14ac:dyDescent="0.2">
      <c r="S303" s="75"/>
    </row>
    <row r="304" spans="19:19" s="2" customFormat="1" ht="27.75" customHeight="1" x14ac:dyDescent="0.2">
      <c r="S304" s="75"/>
    </row>
    <row r="305" spans="19:19" s="2" customFormat="1" ht="27.75" customHeight="1" x14ac:dyDescent="0.2">
      <c r="S305" s="75"/>
    </row>
    <row r="306" spans="19:19" s="2" customFormat="1" ht="27.75" customHeight="1" x14ac:dyDescent="0.2">
      <c r="S306" s="75"/>
    </row>
    <row r="307" spans="19:19" s="2" customFormat="1" ht="27.75" customHeight="1" x14ac:dyDescent="0.2">
      <c r="S307" s="75"/>
    </row>
    <row r="308" spans="19:19" s="2" customFormat="1" ht="27.75" customHeight="1" x14ac:dyDescent="0.2">
      <c r="S308" s="75"/>
    </row>
    <row r="309" spans="19:19" s="2" customFormat="1" ht="27.75" customHeight="1" x14ac:dyDescent="0.2">
      <c r="S309" s="75"/>
    </row>
    <row r="310" spans="19:19" s="2" customFormat="1" ht="27.75" customHeight="1" x14ac:dyDescent="0.2">
      <c r="S310" s="75"/>
    </row>
    <row r="311" spans="19:19" s="2" customFormat="1" ht="27.75" customHeight="1" x14ac:dyDescent="0.2">
      <c r="S311" s="75"/>
    </row>
    <row r="312" spans="19:19" s="2" customFormat="1" ht="27.75" customHeight="1" x14ac:dyDescent="0.2">
      <c r="S312" s="75"/>
    </row>
    <row r="313" spans="19:19" s="2" customFormat="1" ht="27.75" customHeight="1" x14ac:dyDescent="0.2">
      <c r="S313" s="75"/>
    </row>
    <row r="314" spans="19:19" s="2" customFormat="1" ht="27.75" customHeight="1" x14ac:dyDescent="0.2">
      <c r="S314" s="75"/>
    </row>
    <row r="315" spans="19:19" s="2" customFormat="1" ht="27.75" customHeight="1" x14ac:dyDescent="0.2">
      <c r="S315" s="75"/>
    </row>
    <row r="316" spans="19:19" s="2" customFormat="1" ht="27.75" customHeight="1" x14ac:dyDescent="0.2">
      <c r="S316" s="75"/>
    </row>
    <row r="317" spans="19:19" s="2" customFormat="1" ht="27.75" customHeight="1" x14ac:dyDescent="0.2">
      <c r="S317" s="75"/>
    </row>
    <row r="318" spans="19:19" s="2" customFormat="1" ht="27.75" customHeight="1" x14ac:dyDescent="0.2">
      <c r="S318" s="75"/>
    </row>
    <row r="319" spans="19:19" s="2" customFormat="1" ht="27.75" customHeight="1" x14ac:dyDescent="0.2">
      <c r="S319" s="75"/>
    </row>
    <row r="320" spans="19:19" s="2" customFormat="1" ht="27.75" customHeight="1" x14ac:dyDescent="0.2">
      <c r="S320" s="75"/>
    </row>
    <row r="321" spans="19:19" s="2" customFormat="1" ht="27.75" customHeight="1" x14ac:dyDescent="0.2">
      <c r="S321" s="75"/>
    </row>
    <row r="322" spans="19:19" s="2" customFormat="1" ht="27.75" customHeight="1" x14ac:dyDescent="0.2">
      <c r="S322" s="75"/>
    </row>
    <row r="323" spans="19:19" s="2" customFormat="1" ht="27.75" customHeight="1" x14ac:dyDescent="0.2">
      <c r="S323" s="75"/>
    </row>
    <row r="324" spans="19:19" s="2" customFormat="1" ht="27.75" customHeight="1" x14ac:dyDescent="0.2">
      <c r="S324" s="75"/>
    </row>
    <row r="325" spans="19:19" s="2" customFormat="1" ht="27.75" customHeight="1" x14ac:dyDescent="0.2">
      <c r="S325" s="75"/>
    </row>
    <row r="326" spans="19:19" s="2" customFormat="1" ht="27.75" customHeight="1" x14ac:dyDescent="0.2">
      <c r="S326" s="75"/>
    </row>
    <row r="327" spans="19:19" s="2" customFormat="1" ht="27.75" customHeight="1" x14ac:dyDescent="0.2">
      <c r="S327" s="75"/>
    </row>
    <row r="328" spans="19:19" s="2" customFormat="1" ht="27.75" customHeight="1" x14ac:dyDescent="0.2">
      <c r="S328" s="75"/>
    </row>
    <row r="329" spans="19:19" s="2" customFormat="1" ht="27.75" customHeight="1" x14ac:dyDescent="0.2">
      <c r="S329" s="75"/>
    </row>
    <row r="330" spans="19:19" s="2" customFormat="1" ht="27.75" customHeight="1" x14ac:dyDescent="0.2">
      <c r="S330" s="75"/>
    </row>
    <row r="331" spans="19:19" s="2" customFormat="1" ht="27.75" customHeight="1" x14ac:dyDescent="0.2">
      <c r="S331" s="75"/>
    </row>
    <row r="332" spans="19:19" s="2" customFormat="1" ht="27.75" customHeight="1" x14ac:dyDescent="0.2">
      <c r="S332" s="75"/>
    </row>
    <row r="333" spans="19:19" s="2" customFormat="1" ht="27.75" customHeight="1" x14ac:dyDescent="0.2">
      <c r="S333" s="75"/>
    </row>
    <row r="334" spans="19:19" s="2" customFormat="1" ht="27.75" customHeight="1" x14ac:dyDescent="0.2">
      <c r="S334" s="75"/>
    </row>
    <row r="335" spans="19:19" s="2" customFormat="1" ht="27.75" customHeight="1" x14ac:dyDescent="0.2">
      <c r="S335" s="75"/>
    </row>
    <row r="336" spans="19:19" s="2" customFormat="1" ht="27.75" customHeight="1" x14ac:dyDescent="0.2">
      <c r="S336" s="75"/>
    </row>
    <row r="337" spans="19:19" s="2" customFormat="1" ht="27.75" customHeight="1" x14ac:dyDescent="0.2">
      <c r="S337" s="75"/>
    </row>
    <row r="338" spans="19:19" s="2" customFormat="1" ht="27.75" customHeight="1" x14ac:dyDescent="0.2">
      <c r="S338" s="75"/>
    </row>
    <row r="339" spans="19:19" s="2" customFormat="1" ht="27.75" customHeight="1" x14ac:dyDescent="0.2">
      <c r="S339" s="75"/>
    </row>
    <row r="340" spans="19:19" s="2" customFormat="1" ht="27.75" customHeight="1" x14ac:dyDescent="0.2">
      <c r="S340" s="75"/>
    </row>
    <row r="341" spans="19:19" s="2" customFormat="1" ht="27.75" customHeight="1" x14ac:dyDescent="0.2">
      <c r="S341" s="75"/>
    </row>
    <row r="342" spans="19:19" s="2" customFormat="1" ht="27.75" customHeight="1" x14ac:dyDescent="0.2">
      <c r="S342" s="75"/>
    </row>
    <row r="343" spans="19:19" s="2" customFormat="1" ht="27.75" customHeight="1" x14ac:dyDescent="0.2">
      <c r="S343" s="75"/>
    </row>
    <row r="344" spans="19:19" s="2" customFormat="1" ht="27.75" customHeight="1" x14ac:dyDescent="0.2">
      <c r="S344" s="75"/>
    </row>
    <row r="345" spans="19:19" s="2" customFormat="1" ht="27.75" customHeight="1" x14ac:dyDescent="0.2">
      <c r="S345" s="75"/>
    </row>
    <row r="346" spans="19:19" s="2" customFormat="1" ht="27.75" customHeight="1" x14ac:dyDescent="0.2">
      <c r="S346" s="75"/>
    </row>
    <row r="347" spans="19:19" s="2" customFormat="1" ht="27.75" customHeight="1" x14ac:dyDescent="0.2">
      <c r="S347" s="75"/>
    </row>
    <row r="348" spans="19:19" s="2" customFormat="1" ht="27.75" customHeight="1" x14ac:dyDescent="0.2">
      <c r="S348" s="75"/>
    </row>
    <row r="349" spans="19:19" s="2" customFormat="1" ht="27.75" customHeight="1" x14ac:dyDescent="0.2">
      <c r="S349" s="75"/>
    </row>
    <row r="350" spans="19:19" s="2" customFormat="1" ht="27.75" customHeight="1" x14ac:dyDescent="0.2">
      <c r="S350" s="75"/>
    </row>
    <row r="351" spans="19:19" s="2" customFormat="1" ht="27.75" customHeight="1" x14ac:dyDescent="0.2">
      <c r="S351" s="75"/>
    </row>
    <row r="352" spans="19:19" s="2" customFormat="1" ht="27.75" customHeight="1" x14ac:dyDescent="0.2">
      <c r="S352" s="75"/>
    </row>
    <row r="353" spans="19:19" s="2" customFormat="1" ht="27.75" customHeight="1" x14ac:dyDescent="0.2">
      <c r="S353" s="75"/>
    </row>
    <row r="354" spans="19:19" s="2" customFormat="1" ht="27.75" customHeight="1" x14ac:dyDescent="0.2">
      <c r="S354" s="75"/>
    </row>
    <row r="355" spans="19:19" s="2" customFormat="1" ht="27.75" customHeight="1" x14ac:dyDescent="0.2">
      <c r="S355" s="75"/>
    </row>
    <row r="356" spans="19:19" s="2" customFormat="1" ht="27.75" customHeight="1" x14ac:dyDescent="0.2">
      <c r="S356" s="75"/>
    </row>
    <row r="357" spans="19:19" s="2" customFormat="1" ht="27.75" customHeight="1" x14ac:dyDescent="0.2">
      <c r="S357" s="75"/>
    </row>
    <row r="358" spans="19:19" s="2" customFormat="1" ht="27.75" customHeight="1" x14ac:dyDescent="0.2">
      <c r="S358" s="75"/>
    </row>
    <row r="359" spans="19:19" s="2" customFormat="1" ht="27.75" customHeight="1" x14ac:dyDescent="0.2">
      <c r="S359" s="75"/>
    </row>
    <row r="360" spans="19:19" s="2" customFormat="1" ht="27.75" customHeight="1" x14ac:dyDescent="0.2">
      <c r="S360" s="75"/>
    </row>
    <row r="361" spans="19:19" s="2" customFormat="1" ht="27.75" customHeight="1" x14ac:dyDescent="0.2">
      <c r="S361" s="75"/>
    </row>
    <row r="362" spans="19:19" s="2" customFormat="1" ht="27.75" customHeight="1" x14ac:dyDescent="0.2">
      <c r="S362" s="75"/>
    </row>
    <row r="363" spans="19:19" s="2" customFormat="1" ht="27.75" customHeight="1" x14ac:dyDescent="0.2">
      <c r="S363" s="75"/>
    </row>
    <row r="364" spans="19:19" s="2" customFormat="1" ht="27.75" customHeight="1" x14ac:dyDescent="0.2">
      <c r="S364" s="75"/>
    </row>
    <row r="365" spans="19:19" s="2" customFormat="1" ht="27.75" customHeight="1" x14ac:dyDescent="0.2">
      <c r="S365" s="75"/>
    </row>
    <row r="366" spans="19:19" s="2" customFormat="1" ht="27.75" customHeight="1" x14ac:dyDescent="0.2">
      <c r="S366" s="75"/>
    </row>
    <row r="367" spans="19:19" s="2" customFormat="1" ht="27.75" customHeight="1" x14ac:dyDescent="0.2">
      <c r="S367" s="75"/>
    </row>
    <row r="368" spans="19:19" s="2" customFormat="1" ht="27.75" customHeight="1" x14ac:dyDescent="0.2">
      <c r="S368" s="75"/>
    </row>
    <row r="369" spans="19:19" s="2" customFormat="1" ht="27.75" customHeight="1" x14ac:dyDescent="0.2">
      <c r="S369" s="75"/>
    </row>
    <row r="370" spans="19:19" s="2" customFormat="1" ht="27.75" customHeight="1" x14ac:dyDescent="0.2">
      <c r="S370" s="75"/>
    </row>
    <row r="371" spans="19:19" s="2" customFormat="1" ht="27.75" customHeight="1" x14ac:dyDescent="0.2">
      <c r="S371" s="75"/>
    </row>
    <row r="372" spans="19:19" s="2" customFormat="1" ht="27.75" customHeight="1" x14ac:dyDescent="0.2">
      <c r="S372" s="75"/>
    </row>
    <row r="373" spans="19:19" s="2" customFormat="1" ht="27.75" customHeight="1" x14ac:dyDescent="0.2">
      <c r="S373" s="75"/>
    </row>
    <row r="374" spans="19:19" s="2" customFormat="1" ht="27.75" customHeight="1" x14ac:dyDescent="0.2">
      <c r="S374" s="75"/>
    </row>
    <row r="375" spans="19:19" s="2" customFormat="1" ht="27.75" customHeight="1" x14ac:dyDescent="0.2">
      <c r="S375" s="75"/>
    </row>
    <row r="376" spans="19:19" s="2" customFormat="1" ht="27.75" customHeight="1" x14ac:dyDescent="0.2">
      <c r="S376" s="75"/>
    </row>
    <row r="377" spans="19:19" s="2" customFormat="1" ht="27.75" customHeight="1" x14ac:dyDescent="0.2">
      <c r="S377" s="75"/>
    </row>
    <row r="378" spans="19:19" s="2" customFormat="1" ht="27.75" customHeight="1" x14ac:dyDescent="0.2">
      <c r="S378" s="75"/>
    </row>
    <row r="379" spans="19:19" s="2" customFormat="1" ht="27.75" customHeight="1" x14ac:dyDescent="0.2">
      <c r="S379" s="75"/>
    </row>
    <row r="380" spans="19:19" s="2" customFormat="1" ht="27.75" customHeight="1" x14ac:dyDescent="0.2">
      <c r="S380" s="75"/>
    </row>
    <row r="381" spans="19:19" s="2" customFormat="1" ht="27.75" customHeight="1" x14ac:dyDescent="0.2">
      <c r="S381" s="75"/>
    </row>
    <row r="382" spans="19:19" s="2" customFormat="1" ht="27.75" customHeight="1" x14ac:dyDescent="0.2">
      <c r="S382" s="75"/>
    </row>
    <row r="383" spans="19:19" s="2" customFormat="1" ht="27.75" customHeight="1" x14ac:dyDescent="0.2">
      <c r="S383" s="75"/>
    </row>
    <row r="384" spans="19:19" s="2" customFormat="1" ht="27.75" customHeight="1" x14ac:dyDescent="0.2">
      <c r="S384" s="75"/>
    </row>
    <row r="385" spans="19:19" s="2" customFormat="1" ht="27.75" customHeight="1" x14ac:dyDescent="0.2">
      <c r="S385" s="75"/>
    </row>
    <row r="386" spans="19:19" s="2" customFormat="1" ht="27.75" customHeight="1" x14ac:dyDescent="0.2">
      <c r="S386" s="75"/>
    </row>
    <row r="387" spans="19:19" s="2" customFormat="1" ht="27.75" customHeight="1" x14ac:dyDescent="0.2">
      <c r="S387" s="75"/>
    </row>
    <row r="388" spans="19:19" s="2" customFormat="1" ht="27.75" customHeight="1" x14ac:dyDescent="0.2">
      <c r="S388" s="75"/>
    </row>
    <row r="389" spans="19:19" s="2" customFormat="1" ht="27.75" customHeight="1" x14ac:dyDescent="0.2">
      <c r="S389" s="75"/>
    </row>
    <row r="390" spans="19:19" s="2" customFormat="1" ht="27.75" customHeight="1" x14ac:dyDescent="0.2">
      <c r="S390" s="75"/>
    </row>
    <row r="391" spans="19:19" s="2" customFormat="1" ht="27.75" customHeight="1" x14ac:dyDescent="0.2">
      <c r="S391" s="75"/>
    </row>
    <row r="392" spans="19:19" s="2" customFormat="1" ht="27.75" customHeight="1" x14ac:dyDescent="0.2">
      <c r="S392" s="75"/>
    </row>
    <row r="393" spans="19:19" s="2" customFormat="1" ht="27.75" customHeight="1" x14ac:dyDescent="0.2">
      <c r="S393" s="75"/>
    </row>
    <row r="394" spans="19:19" s="2" customFormat="1" ht="27.75" customHeight="1" x14ac:dyDescent="0.2">
      <c r="S394" s="75"/>
    </row>
    <row r="395" spans="19:19" s="2" customFormat="1" ht="27.75" customHeight="1" x14ac:dyDescent="0.2">
      <c r="S395" s="75"/>
    </row>
    <row r="396" spans="19:19" s="2" customFormat="1" ht="27.75" customHeight="1" x14ac:dyDescent="0.2">
      <c r="S396" s="75"/>
    </row>
    <row r="397" spans="19:19" s="2" customFormat="1" ht="27.75" customHeight="1" x14ac:dyDescent="0.2">
      <c r="S397" s="75"/>
    </row>
    <row r="398" spans="19:19" s="2" customFormat="1" ht="27.75" customHeight="1" x14ac:dyDescent="0.2">
      <c r="S398" s="75"/>
    </row>
    <row r="399" spans="19:19" s="2" customFormat="1" ht="27.75" customHeight="1" x14ac:dyDescent="0.2">
      <c r="S399" s="75"/>
    </row>
    <row r="400" spans="19:19" s="2" customFormat="1" ht="27.75" customHeight="1" x14ac:dyDescent="0.2">
      <c r="S400" s="75"/>
    </row>
    <row r="401" spans="19:19" s="2" customFormat="1" ht="27.75" customHeight="1" x14ac:dyDescent="0.2">
      <c r="S401" s="75"/>
    </row>
    <row r="402" spans="19:19" s="2" customFormat="1" ht="27.75" customHeight="1" x14ac:dyDescent="0.2">
      <c r="S402" s="75"/>
    </row>
    <row r="403" spans="19:19" s="2" customFormat="1" ht="27.75" customHeight="1" x14ac:dyDescent="0.2">
      <c r="S403" s="75"/>
    </row>
    <row r="404" spans="19:19" s="2" customFormat="1" ht="27.75" customHeight="1" x14ac:dyDescent="0.2">
      <c r="S404" s="75"/>
    </row>
    <row r="405" spans="19:19" s="2" customFormat="1" ht="27.75" customHeight="1" x14ac:dyDescent="0.2">
      <c r="S405" s="75"/>
    </row>
    <row r="406" spans="19:19" s="2" customFormat="1" ht="27.75" customHeight="1" x14ac:dyDescent="0.2">
      <c r="S406" s="75"/>
    </row>
    <row r="407" spans="19:19" s="2" customFormat="1" ht="27.75" customHeight="1" x14ac:dyDescent="0.2">
      <c r="S407" s="75"/>
    </row>
    <row r="408" spans="19:19" s="2" customFormat="1" ht="27.75" customHeight="1" x14ac:dyDescent="0.2">
      <c r="S408" s="75"/>
    </row>
    <row r="409" spans="19:19" s="2" customFormat="1" ht="27.75" customHeight="1" x14ac:dyDescent="0.2">
      <c r="S409" s="75"/>
    </row>
    <row r="410" spans="19:19" s="2" customFormat="1" ht="27.75" customHeight="1" x14ac:dyDescent="0.2">
      <c r="S410" s="75"/>
    </row>
    <row r="411" spans="19:19" s="2" customFormat="1" ht="27.75" customHeight="1" x14ac:dyDescent="0.2">
      <c r="S411" s="75"/>
    </row>
    <row r="412" spans="19:19" s="2" customFormat="1" ht="27.75" customHeight="1" x14ac:dyDescent="0.2">
      <c r="S412" s="75"/>
    </row>
    <row r="413" spans="19:19" s="2" customFormat="1" ht="27.75" customHeight="1" x14ac:dyDescent="0.2">
      <c r="S413" s="75"/>
    </row>
    <row r="414" spans="19:19" s="2" customFormat="1" ht="27.75" customHeight="1" x14ac:dyDescent="0.2">
      <c r="S414" s="75"/>
    </row>
    <row r="415" spans="19:19" s="2" customFormat="1" ht="27.75" customHeight="1" x14ac:dyDescent="0.2">
      <c r="S415" s="75"/>
    </row>
    <row r="416" spans="19:19" s="2" customFormat="1" ht="27.75" customHeight="1" x14ac:dyDescent="0.2">
      <c r="S416" s="75"/>
    </row>
    <row r="417" spans="19:19" s="2" customFormat="1" ht="27.75" customHeight="1" x14ac:dyDescent="0.2">
      <c r="S417" s="75"/>
    </row>
    <row r="418" spans="19:19" s="2" customFormat="1" ht="27.75" customHeight="1" x14ac:dyDescent="0.2">
      <c r="S418" s="75"/>
    </row>
    <row r="419" spans="19:19" s="2" customFormat="1" ht="27.75" customHeight="1" x14ac:dyDescent="0.2">
      <c r="S419" s="75"/>
    </row>
    <row r="420" spans="19:19" s="2" customFormat="1" ht="27.75" customHeight="1" x14ac:dyDescent="0.2">
      <c r="S420" s="75"/>
    </row>
    <row r="421" spans="19:19" s="2" customFormat="1" ht="27.75" customHeight="1" x14ac:dyDescent="0.2">
      <c r="S421" s="75"/>
    </row>
    <row r="422" spans="19:19" s="2" customFormat="1" ht="27.75" customHeight="1" x14ac:dyDescent="0.2">
      <c r="S422" s="75"/>
    </row>
    <row r="423" spans="19:19" s="2" customFormat="1" ht="27.75" customHeight="1" x14ac:dyDescent="0.2">
      <c r="S423" s="75"/>
    </row>
    <row r="424" spans="19:19" s="2" customFormat="1" ht="27.75" customHeight="1" x14ac:dyDescent="0.2">
      <c r="S424" s="75"/>
    </row>
    <row r="425" spans="19:19" s="2" customFormat="1" ht="27.75" customHeight="1" x14ac:dyDescent="0.2">
      <c r="S425" s="75"/>
    </row>
    <row r="426" spans="19:19" s="2" customFormat="1" ht="27.75" customHeight="1" x14ac:dyDescent="0.2">
      <c r="S426" s="75"/>
    </row>
    <row r="427" spans="19:19" s="2" customFormat="1" ht="27.75" customHeight="1" x14ac:dyDescent="0.2">
      <c r="S427" s="75"/>
    </row>
    <row r="428" spans="19:19" s="2" customFormat="1" ht="27.75" customHeight="1" x14ac:dyDescent="0.2">
      <c r="S428" s="75"/>
    </row>
    <row r="429" spans="19:19" s="2" customFormat="1" ht="27.75" customHeight="1" x14ac:dyDescent="0.2">
      <c r="S429" s="75"/>
    </row>
    <row r="430" spans="19:19" s="2" customFormat="1" ht="27.75" customHeight="1" x14ac:dyDescent="0.2">
      <c r="S430" s="75"/>
    </row>
    <row r="431" spans="19:19" s="2" customFormat="1" ht="27.75" customHeight="1" x14ac:dyDescent="0.2">
      <c r="S431" s="75"/>
    </row>
    <row r="432" spans="19:19" s="2" customFormat="1" ht="27.75" customHeight="1" x14ac:dyDescent="0.2">
      <c r="S432" s="75"/>
    </row>
    <row r="433" spans="19:19" s="2" customFormat="1" ht="27.75" customHeight="1" x14ac:dyDescent="0.2">
      <c r="S433" s="75"/>
    </row>
    <row r="434" spans="19:19" s="2" customFormat="1" ht="27.75" customHeight="1" x14ac:dyDescent="0.2">
      <c r="S434" s="75"/>
    </row>
    <row r="435" spans="19:19" s="2" customFormat="1" ht="27.75" customHeight="1" x14ac:dyDescent="0.2">
      <c r="S435" s="75"/>
    </row>
    <row r="436" spans="19:19" s="2" customFormat="1" ht="27.75" customHeight="1" x14ac:dyDescent="0.2">
      <c r="S436" s="75"/>
    </row>
    <row r="437" spans="19:19" s="2" customFormat="1" ht="27.75" customHeight="1" x14ac:dyDescent="0.2">
      <c r="S437" s="75"/>
    </row>
    <row r="438" spans="19:19" s="2" customFormat="1" ht="27.75" customHeight="1" x14ac:dyDescent="0.2">
      <c r="S438" s="75"/>
    </row>
    <row r="439" spans="19:19" s="2" customFormat="1" ht="27.75" customHeight="1" x14ac:dyDescent="0.2">
      <c r="S439" s="75"/>
    </row>
    <row r="440" spans="19:19" s="2" customFormat="1" ht="27.75" customHeight="1" x14ac:dyDescent="0.2">
      <c r="S440" s="75"/>
    </row>
    <row r="441" spans="19:19" s="2" customFormat="1" ht="27.75" customHeight="1" x14ac:dyDescent="0.2">
      <c r="S441" s="75"/>
    </row>
    <row r="442" spans="19:19" s="2" customFormat="1" ht="27.75" customHeight="1" x14ac:dyDescent="0.2">
      <c r="S442" s="75"/>
    </row>
    <row r="443" spans="19:19" s="2" customFormat="1" ht="27.75" customHeight="1" x14ac:dyDescent="0.2">
      <c r="S443" s="75"/>
    </row>
    <row r="444" spans="19:19" s="2" customFormat="1" ht="27.75" customHeight="1" x14ac:dyDescent="0.2">
      <c r="S444" s="75"/>
    </row>
    <row r="445" spans="19:19" s="2" customFormat="1" ht="27.75" customHeight="1" x14ac:dyDescent="0.2">
      <c r="S445" s="75"/>
    </row>
    <row r="446" spans="19:19" s="2" customFormat="1" ht="27.75" customHeight="1" x14ac:dyDescent="0.2">
      <c r="S446" s="75"/>
    </row>
    <row r="447" spans="19:19" s="2" customFormat="1" ht="27.75" customHeight="1" x14ac:dyDescent="0.2">
      <c r="S447" s="75"/>
    </row>
    <row r="448" spans="19:19" s="2" customFormat="1" ht="27.75" customHeight="1" x14ac:dyDescent="0.2">
      <c r="S448" s="75"/>
    </row>
    <row r="449" spans="19:19" s="2" customFormat="1" ht="27.75" customHeight="1" x14ac:dyDescent="0.2">
      <c r="S449" s="75"/>
    </row>
    <row r="450" spans="19:19" s="2" customFormat="1" ht="27.75" customHeight="1" x14ac:dyDescent="0.2">
      <c r="S450" s="75"/>
    </row>
    <row r="451" spans="19:19" s="2" customFormat="1" ht="27.75" customHeight="1" x14ac:dyDescent="0.2">
      <c r="S451" s="75"/>
    </row>
    <row r="452" spans="19:19" s="2" customFormat="1" ht="27.75" customHeight="1" x14ac:dyDescent="0.2">
      <c r="S452" s="75"/>
    </row>
    <row r="453" spans="19:19" s="2" customFormat="1" ht="27.75" customHeight="1" x14ac:dyDescent="0.2">
      <c r="S453" s="75"/>
    </row>
    <row r="454" spans="19:19" s="2" customFormat="1" ht="27.75" customHeight="1" x14ac:dyDescent="0.2">
      <c r="S454" s="75"/>
    </row>
    <row r="455" spans="19:19" s="2" customFormat="1" ht="27.75" customHeight="1" x14ac:dyDescent="0.2">
      <c r="S455" s="75"/>
    </row>
    <row r="456" spans="19:19" s="2" customFormat="1" ht="27.75" customHeight="1" x14ac:dyDescent="0.2">
      <c r="S456" s="75"/>
    </row>
    <row r="457" spans="19:19" s="2" customFormat="1" ht="27.75" customHeight="1" x14ac:dyDescent="0.2">
      <c r="S457" s="75"/>
    </row>
    <row r="458" spans="19:19" s="2" customFormat="1" ht="27.75" customHeight="1" x14ac:dyDescent="0.2">
      <c r="S458" s="75"/>
    </row>
    <row r="459" spans="19:19" s="2" customFormat="1" ht="27.75" customHeight="1" x14ac:dyDescent="0.2">
      <c r="S459" s="75"/>
    </row>
    <row r="460" spans="19:19" s="2" customFormat="1" ht="27.75" customHeight="1" x14ac:dyDescent="0.2">
      <c r="S460" s="75"/>
    </row>
    <row r="461" spans="19:19" s="2" customFormat="1" ht="27.75" customHeight="1" x14ac:dyDescent="0.2">
      <c r="S461" s="75"/>
    </row>
    <row r="462" spans="19:19" s="2" customFormat="1" ht="27.75" customHeight="1" x14ac:dyDescent="0.2">
      <c r="S462" s="75"/>
    </row>
    <row r="463" spans="19:19" s="2" customFormat="1" ht="27.75" customHeight="1" x14ac:dyDescent="0.2">
      <c r="S463" s="75"/>
    </row>
    <row r="464" spans="19:19" s="2" customFormat="1" ht="27.75" customHeight="1" x14ac:dyDescent="0.2">
      <c r="S464" s="75"/>
    </row>
    <row r="465" spans="19:19" s="2" customFormat="1" ht="27.75" customHeight="1" x14ac:dyDescent="0.2">
      <c r="S465" s="75"/>
    </row>
    <row r="466" spans="19:19" s="2" customFormat="1" ht="27.75" customHeight="1" x14ac:dyDescent="0.2">
      <c r="S466" s="75"/>
    </row>
    <row r="467" spans="19:19" s="2" customFormat="1" ht="27.75" customHeight="1" x14ac:dyDescent="0.2">
      <c r="S467" s="75"/>
    </row>
    <row r="468" spans="19:19" s="2" customFormat="1" ht="27.75" customHeight="1" x14ac:dyDescent="0.2">
      <c r="S468" s="75"/>
    </row>
    <row r="469" spans="19:19" s="2" customFormat="1" ht="27.75" customHeight="1" x14ac:dyDescent="0.2">
      <c r="S469" s="75"/>
    </row>
    <row r="470" spans="19:19" s="2" customFormat="1" ht="27.75" customHeight="1" x14ac:dyDescent="0.2">
      <c r="S470" s="75"/>
    </row>
    <row r="471" spans="19:19" s="2" customFormat="1" ht="27.75" customHeight="1" x14ac:dyDescent="0.2">
      <c r="S471" s="75"/>
    </row>
    <row r="472" spans="19:19" s="2" customFormat="1" ht="27.75" customHeight="1" x14ac:dyDescent="0.2">
      <c r="S472" s="75"/>
    </row>
    <row r="473" spans="19:19" s="2" customFormat="1" ht="27.75" customHeight="1" x14ac:dyDescent="0.2">
      <c r="S473" s="75"/>
    </row>
    <row r="474" spans="19:19" s="2" customFormat="1" ht="27.75" customHeight="1" x14ac:dyDescent="0.2">
      <c r="S474" s="75"/>
    </row>
    <row r="475" spans="19:19" s="2" customFormat="1" ht="27.75" customHeight="1" x14ac:dyDescent="0.2">
      <c r="S475" s="75"/>
    </row>
    <row r="476" spans="19:19" s="2" customFormat="1" ht="27.75" customHeight="1" x14ac:dyDescent="0.2">
      <c r="S476" s="75"/>
    </row>
    <row r="477" spans="19:19" s="2" customFormat="1" ht="27.75" customHeight="1" x14ac:dyDescent="0.2">
      <c r="S477" s="75"/>
    </row>
    <row r="478" spans="19:19" s="2" customFormat="1" ht="27.75" customHeight="1" x14ac:dyDescent="0.2">
      <c r="S478" s="75"/>
    </row>
    <row r="479" spans="19:19" s="2" customFormat="1" ht="27.75" customHeight="1" x14ac:dyDescent="0.2">
      <c r="S479" s="75"/>
    </row>
    <row r="480" spans="19:19" s="2" customFormat="1" ht="27.75" customHeight="1" x14ac:dyDescent="0.2">
      <c r="S480" s="75"/>
    </row>
    <row r="481" spans="19:19" s="2" customFormat="1" ht="27.75" customHeight="1" x14ac:dyDescent="0.2">
      <c r="S481" s="75"/>
    </row>
    <row r="482" spans="19:19" s="2" customFormat="1" ht="27.75" customHeight="1" x14ac:dyDescent="0.2">
      <c r="S482" s="75"/>
    </row>
    <row r="483" spans="19:19" s="2" customFormat="1" ht="27.75" customHeight="1" x14ac:dyDescent="0.2">
      <c r="S483" s="75"/>
    </row>
    <row r="484" spans="19:19" s="2" customFormat="1" ht="27.75" customHeight="1" x14ac:dyDescent="0.2">
      <c r="S484" s="75"/>
    </row>
    <row r="485" spans="19:19" s="2" customFormat="1" ht="27.75" customHeight="1" x14ac:dyDescent="0.2">
      <c r="S485" s="75"/>
    </row>
    <row r="486" spans="19:19" s="2" customFormat="1" ht="27.75" customHeight="1" x14ac:dyDescent="0.2">
      <c r="S486" s="75"/>
    </row>
    <row r="487" spans="19:19" s="2" customFormat="1" ht="27.75" customHeight="1" x14ac:dyDescent="0.2">
      <c r="S487" s="75"/>
    </row>
    <row r="488" spans="19:19" s="2" customFormat="1" ht="27.75" customHeight="1" x14ac:dyDescent="0.2">
      <c r="S488" s="75"/>
    </row>
    <row r="489" spans="19:19" s="2" customFormat="1" ht="27.75" customHeight="1" x14ac:dyDescent="0.2">
      <c r="S489" s="75"/>
    </row>
    <row r="490" spans="19:19" s="2" customFormat="1" ht="27.75" customHeight="1" x14ac:dyDescent="0.2">
      <c r="S490" s="75"/>
    </row>
    <row r="491" spans="19:19" s="2" customFormat="1" ht="27.75" customHeight="1" x14ac:dyDescent="0.2">
      <c r="S491" s="75"/>
    </row>
    <row r="492" spans="19:19" s="2" customFormat="1" ht="27.75" customHeight="1" x14ac:dyDescent="0.2">
      <c r="S492" s="75"/>
    </row>
    <row r="493" spans="19:19" s="2" customFormat="1" ht="27.75" customHeight="1" x14ac:dyDescent="0.2">
      <c r="S493" s="75"/>
    </row>
    <row r="494" spans="19:19" s="2" customFormat="1" ht="27.75" customHeight="1" x14ac:dyDescent="0.2">
      <c r="S494" s="75"/>
    </row>
    <row r="495" spans="19:19" s="2" customFormat="1" ht="27.75" customHeight="1" x14ac:dyDescent="0.2">
      <c r="S495" s="75"/>
    </row>
    <row r="496" spans="19:19" s="2" customFormat="1" ht="27.75" customHeight="1" x14ac:dyDescent="0.2">
      <c r="S496" s="75"/>
    </row>
    <row r="497" spans="19:19" s="2" customFormat="1" ht="27.75" customHeight="1" x14ac:dyDescent="0.2">
      <c r="S497" s="75"/>
    </row>
    <row r="498" spans="19:19" s="2" customFormat="1" ht="27.75" customHeight="1" x14ac:dyDescent="0.2">
      <c r="S498" s="75"/>
    </row>
    <row r="499" spans="19:19" s="2" customFormat="1" ht="27.75" customHeight="1" x14ac:dyDescent="0.2">
      <c r="S499" s="75"/>
    </row>
    <row r="500" spans="19:19" s="2" customFormat="1" ht="27.75" customHeight="1" x14ac:dyDescent="0.2">
      <c r="S500" s="75"/>
    </row>
    <row r="501" spans="19:19" s="2" customFormat="1" ht="27.75" customHeight="1" x14ac:dyDescent="0.2">
      <c r="S501" s="75"/>
    </row>
    <row r="502" spans="19:19" s="2" customFormat="1" ht="27.75" customHeight="1" x14ac:dyDescent="0.2">
      <c r="S502" s="75"/>
    </row>
    <row r="503" spans="19:19" s="2" customFormat="1" ht="27.75" customHeight="1" x14ac:dyDescent="0.2">
      <c r="S503" s="75"/>
    </row>
    <row r="504" spans="19:19" s="2" customFormat="1" ht="27.75" customHeight="1" x14ac:dyDescent="0.2">
      <c r="S504" s="75"/>
    </row>
    <row r="505" spans="19:19" s="2" customFormat="1" ht="27.75" customHeight="1" x14ac:dyDescent="0.2">
      <c r="S505" s="75"/>
    </row>
    <row r="506" spans="19:19" s="2" customFormat="1" ht="27.75" customHeight="1" x14ac:dyDescent="0.2">
      <c r="S506" s="75"/>
    </row>
    <row r="507" spans="19:19" s="2" customFormat="1" ht="27.75" customHeight="1" x14ac:dyDescent="0.2">
      <c r="S507" s="75"/>
    </row>
    <row r="508" spans="19:19" s="2" customFormat="1" ht="27.75" customHeight="1" x14ac:dyDescent="0.2">
      <c r="S508" s="75"/>
    </row>
    <row r="509" spans="19:19" s="2" customFormat="1" ht="27.75" customHeight="1" x14ac:dyDescent="0.2">
      <c r="S509" s="75"/>
    </row>
    <row r="510" spans="19:19" s="2" customFormat="1" ht="27.75" customHeight="1" x14ac:dyDescent="0.2">
      <c r="S510" s="75"/>
    </row>
    <row r="511" spans="19:19" s="2" customFormat="1" ht="27.75" customHeight="1" x14ac:dyDescent="0.2">
      <c r="S511" s="75"/>
    </row>
    <row r="512" spans="19:19" s="2" customFormat="1" ht="27.75" customHeight="1" x14ac:dyDescent="0.2">
      <c r="S512" s="75"/>
    </row>
    <row r="513" spans="19:19" s="2" customFormat="1" ht="27.75" customHeight="1" x14ac:dyDescent="0.2">
      <c r="S513" s="75"/>
    </row>
    <row r="514" spans="19:19" s="2" customFormat="1" ht="27.75" customHeight="1" x14ac:dyDescent="0.2">
      <c r="S514" s="75"/>
    </row>
    <row r="515" spans="19:19" s="2" customFormat="1" ht="27.75" customHeight="1" x14ac:dyDescent="0.2">
      <c r="S515" s="75"/>
    </row>
    <row r="516" spans="19:19" s="2" customFormat="1" ht="27.75" customHeight="1" x14ac:dyDescent="0.2">
      <c r="S516" s="75"/>
    </row>
    <row r="517" spans="19:19" s="2" customFormat="1" ht="27.75" customHeight="1" x14ac:dyDescent="0.2">
      <c r="S517" s="75"/>
    </row>
    <row r="518" spans="19:19" s="2" customFormat="1" ht="27.75" customHeight="1" x14ac:dyDescent="0.2">
      <c r="S518" s="75"/>
    </row>
    <row r="519" spans="19:19" s="2" customFormat="1" ht="27.75" customHeight="1" x14ac:dyDescent="0.2">
      <c r="S519" s="75"/>
    </row>
    <row r="520" spans="19:19" s="2" customFormat="1" ht="27.75" customHeight="1" x14ac:dyDescent="0.2">
      <c r="S520" s="75"/>
    </row>
    <row r="521" spans="19:19" s="2" customFormat="1" ht="27.75" customHeight="1" x14ac:dyDescent="0.2">
      <c r="S521" s="75"/>
    </row>
    <row r="522" spans="19:19" s="2" customFormat="1" ht="27.75" customHeight="1" x14ac:dyDescent="0.2">
      <c r="S522" s="75"/>
    </row>
    <row r="523" spans="19:19" s="2" customFormat="1" ht="27.75" customHeight="1" x14ac:dyDescent="0.2">
      <c r="S523" s="75"/>
    </row>
    <row r="524" spans="19:19" s="2" customFormat="1" ht="27.75" customHeight="1" x14ac:dyDescent="0.2">
      <c r="S524" s="75"/>
    </row>
    <row r="525" spans="19:19" s="2" customFormat="1" ht="27.75" customHeight="1" x14ac:dyDescent="0.2">
      <c r="S525" s="75"/>
    </row>
    <row r="526" spans="19:19" s="2" customFormat="1" ht="27.75" customHeight="1" x14ac:dyDescent="0.2">
      <c r="S526" s="75"/>
    </row>
    <row r="527" spans="19:19" s="2" customFormat="1" ht="27.75" customHeight="1" x14ac:dyDescent="0.2">
      <c r="S527" s="75"/>
    </row>
  </sheetData>
  <autoFilter ref="A3:M26"/>
  <mergeCells count="9">
    <mergeCell ref="A1:L1"/>
    <mergeCell ref="J2:L2"/>
    <mergeCell ref="T2:W2"/>
    <mergeCell ref="A24:L25"/>
    <mergeCell ref="A26:B26"/>
    <mergeCell ref="C26:E26"/>
    <mergeCell ref="F26:H26"/>
    <mergeCell ref="I26:J26"/>
    <mergeCell ref="K26:L26"/>
  </mergeCells>
  <phoneticPr fontId="4" type="noConversion"/>
  <pageMargins left="0.75" right="0.75" top="1" bottom="1" header="0.5" footer="0.5"/>
  <pageSetup paperSize="9" scale="9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3"/>
  <sheetViews>
    <sheetView zoomScale="80" zoomScaleNormal="80" workbookViewId="0">
      <pane xSplit="8" ySplit="3" topLeftCell="I119" activePane="bottomRight" state="frozen"/>
      <selection pane="topRight" activeCell="J1" sqref="J1"/>
      <selection pane="bottomLeft" activeCell="A4" sqref="A4"/>
      <selection pane="bottomRight" activeCell="O120" sqref="O120:O144"/>
    </sheetView>
  </sheetViews>
  <sheetFormatPr defaultColWidth="9" defaultRowHeight="14.25" x14ac:dyDescent="0.2"/>
  <cols>
    <col min="1" max="1" width="4.375" style="17" customWidth="1"/>
    <col min="2" max="2" width="13.625" style="17" customWidth="1"/>
    <col min="3" max="3" width="21.875" style="17" customWidth="1"/>
    <col min="4" max="4" width="7.625" style="17" customWidth="1"/>
    <col min="5" max="5" width="22.375" style="17" bestFit="1" customWidth="1"/>
    <col min="6" max="6" width="24.375" style="17" bestFit="1" customWidth="1"/>
    <col min="7" max="7" width="6.25" style="67" customWidth="1"/>
    <col min="8" max="8" width="10.5" style="17" customWidth="1"/>
    <col min="9" max="10" width="5.5" style="68" customWidth="1"/>
    <col min="11" max="11" width="5.5" style="69" customWidth="1"/>
    <col min="12" max="13" width="6.375" style="17" customWidth="1"/>
    <col min="14" max="14" width="9.375" style="70" customWidth="1"/>
    <col min="15" max="15" width="8.5" style="70" customWidth="1"/>
    <col min="16" max="16" width="7.375" style="70" customWidth="1"/>
    <col min="17" max="17" width="7.5" style="71" bestFit="1" customWidth="1"/>
    <col min="18" max="18" width="11.375" style="17" customWidth="1"/>
    <col min="19" max="19" width="7.375" style="17" customWidth="1"/>
    <col min="20" max="20" width="7.375" style="67" customWidth="1"/>
    <col min="21" max="22" width="7.5" style="17" bestFit="1" customWidth="1"/>
    <col min="23" max="23" width="8.5" style="17" bestFit="1" customWidth="1"/>
    <col min="24" max="24" width="10.75" style="16" customWidth="1"/>
    <col min="25" max="16384" width="9" style="17"/>
  </cols>
  <sheetData>
    <row r="1" spans="1:26" ht="18" x14ac:dyDescent="0.2">
      <c r="A1" s="107" t="s">
        <v>64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8"/>
      <c r="M1" s="108"/>
      <c r="N1" s="109"/>
      <c r="O1" s="109"/>
      <c r="P1" s="110"/>
      <c r="Q1" s="108"/>
      <c r="R1" s="107"/>
      <c r="S1" s="107"/>
      <c r="T1" s="107"/>
      <c r="U1" s="111"/>
      <c r="V1" s="111"/>
      <c r="W1" s="15"/>
    </row>
    <row r="2" spans="1:26" x14ac:dyDescent="0.2">
      <c r="A2" s="98" t="s">
        <v>65</v>
      </c>
      <c r="B2" s="98" t="s">
        <v>66</v>
      </c>
      <c r="C2" s="98" t="s">
        <v>67</v>
      </c>
      <c r="D2" s="98" t="s">
        <v>68</v>
      </c>
      <c r="E2" s="98" t="s">
        <v>69</v>
      </c>
      <c r="F2" s="112" t="s">
        <v>70</v>
      </c>
      <c r="G2" s="98" t="s">
        <v>71</v>
      </c>
      <c r="H2" s="105" t="s">
        <v>72</v>
      </c>
      <c r="I2" s="105" t="s">
        <v>73</v>
      </c>
      <c r="J2" s="105"/>
      <c r="K2" s="105"/>
      <c r="L2" s="101" t="s">
        <v>74</v>
      </c>
      <c r="M2" s="102"/>
      <c r="N2" s="103" t="s">
        <v>75</v>
      </c>
      <c r="O2" s="103"/>
      <c r="P2" s="103"/>
      <c r="Q2" s="104" t="s">
        <v>76</v>
      </c>
      <c r="R2" s="105" t="s">
        <v>77</v>
      </c>
      <c r="S2" s="105"/>
      <c r="T2" s="105"/>
      <c r="U2" s="105"/>
      <c r="V2" s="105"/>
      <c r="W2" s="101" t="s">
        <v>78</v>
      </c>
      <c r="X2" s="106" t="s">
        <v>79</v>
      </c>
      <c r="Y2" s="101" t="s">
        <v>80</v>
      </c>
      <c r="Z2" s="101" t="s">
        <v>81</v>
      </c>
    </row>
    <row r="3" spans="1:26" x14ac:dyDescent="0.2">
      <c r="A3" s="98"/>
      <c r="B3" s="98"/>
      <c r="C3" s="98"/>
      <c r="D3" s="98"/>
      <c r="E3" s="98"/>
      <c r="F3" s="112"/>
      <c r="G3" s="98"/>
      <c r="H3" s="105"/>
      <c r="I3" s="18" t="s">
        <v>82</v>
      </c>
      <c r="J3" s="18" t="s">
        <v>83</v>
      </c>
      <c r="K3" s="19" t="s">
        <v>84</v>
      </c>
      <c r="L3" s="20" t="s">
        <v>85</v>
      </c>
      <c r="M3" s="20" t="s">
        <v>86</v>
      </c>
      <c r="N3" s="21" t="s">
        <v>87</v>
      </c>
      <c r="O3" s="21" t="s">
        <v>88</v>
      </c>
      <c r="P3" s="21" t="s">
        <v>86</v>
      </c>
      <c r="Q3" s="104"/>
      <c r="R3" s="22" t="s">
        <v>89</v>
      </c>
      <c r="S3" s="19" t="s">
        <v>90</v>
      </c>
      <c r="T3" s="19" t="s">
        <v>91</v>
      </c>
      <c r="U3" s="23" t="s">
        <v>92</v>
      </c>
      <c r="V3" s="20" t="s">
        <v>93</v>
      </c>
      <c r="W3" s="101"/>
      <c r="X3" s="106"/>
      <c r="Y3" s="101"/>
      <c r="Z3" s="101"/>
    </row>
    <row r="4" spans="1:26" ht="14.25" customHeight="1" x14ac:dyDescent="0.2">
      <c r="A4" s="98">
        <v>1</v>
      </c>
      <c r="B4" s="98" t="s">
        <v>396</v>
      </c>
      <c r="C4" s="98" t="s">
        <v>94</v>
      </c>
      <c r="D4" s="24">
        <v>1</v>
      </c>
      <c r="E4" s="24" t="s">
        <v>95</v>
      </c>
      <c r="F4" s="25" t="s">
        <v>96</v>
      </c>
      <c r="G4" s="19">
        <v>1</v>
      </c>
      <c r="H4" s="26" t="s">
        <v>97</v>
      </c>
      <c r="I4" s="27">
        <v>552</v>
      </c>
      <c r="J4" s="27">
        <v>10</v>
      </c>
      <c r="K4" s="28">
        <v>1</v>
      </c>
      <c r="L4" s="29">
        <v>4.5999999999999996</v>
      </c>
      <c r="M4" s="29">
        <v>2.6</v>
      </c>
      <c r="N4" s="30">
        <f>(J4-K4)*K4*0.02466*I4/1000</f>
        <v>0.12251088000000002</v>
      </c>
      <c r="O4" s="30">
        <v>0.12206700000000001</v>
      </c>
      <c r="P4" s="30">
        <f>N4-O4</f>
        <v>4.438800000000076E-4</v>
      </c>
      <c r="Q4" s="31">
        <f>(L4*N4-M4*P4)*G4</f>
        <v>0.56239596000000003</v>
      </c>
      <c r="R4" s="25" t="s">
        <v>98</v>
      </c>
      <c r="S4" s="19"/>
      <c r="T4" s="19">
        <v>1</v>
      </c>
      <c r="U4" s="32">
        <v>0.08</v>
      </c>
      <c r="V4" s="32">
        <f>T4*U4</f>
        <v>0.08</v>
      </c>
      <c r="W4" s="99">
        <v>1.1200000000000001</v>
      </c>
      <c r="X4" s="97">
        <f>W4*(Q30+V30-Q10-Q11-Q22)+(Q10+Q11+Q22)*1.03</f>
        <v>27.505736530221697</v>
      </c>
      <c r="Y4" s="100" t="s">
        <v>99</v>
      </c>
      <c r="Z4" s="97">
        <f>X4+Y30</f>
        <v>28.695736530221698</v>
      </c>
    </row>
    <row r="5" spans="1:26" x14ac:dyDescent="0.2">
      <c r="A5" s="98"/>
      <c r="B5" s="98"/>
      <c r="C5" s="98"/>
      <c r="D5" s="24"/>
      <c r="E5" s="24"/>
      <c r="F5" s="25"/>
      <c r="G5" s="19"/>
      <c r="H5" s="26"/>
      <c r="I5" s="27"/>
      <c r="J5" s="27"/>
      <c r="K5" s="28"/>
      <c r="L5" s="29"/>
      <c r="M5" s="29"/>
      <c r="N5" s="30"/>
      <c r="O5" s="30"/>
      <c r="P5" s="30"/>
      <c r="Q5" s="31"/>
      <c r="R5" s="25" t="s">
        <v>100</v>
      </c>
      <c r="S5" s="19"/>
      <c r="T5" s="19">
        <v>2</v>
      </c>
      <c r="U5" s="32">
        <v>0.05</v>
      </c>
      <c r="V5" s="32">
        <f t="shared" ref="V5:V26" si="0">T5*U5</f>
        <v>0.1</v>
      </c>
      <c r="W5" s="99"/>
      <c r="X5" s="97"/>
      <c r="Y5" s="100"/>
      <c r="Z5" s="97"/>
    </row>
    <row r="6" spans="1:26" x14ac:dyDescent="0.2">
      <c r="A6" s="98"/>
      <c r="B6" s="98"/>
      <c r="C6" s="98"/>
      <c r="D6" s="24">
        <v>2</v>
      </c>
      <c r="E6" s="24" t="s">
        <v>101</v>
      </c>
      <c r="F6" s="25" t="s">
        <v>102</v>
      </c>
      <c r="G6" s="19">
        <v>1</v>
      </c>
      <c r="H6" s="26" t="s">
        <v>103</v>
      </c>
      <c r="I6" s="27">
        <f>392+11+1.6*2</f>
        <v>406.2</v>
      </c>
      <c r="J6" s="27">
        <f>150+1.6*2</f>
        <v>153.19999999999999</v>
      </c>
      <c r="K6" s="28">
        <v>1.6</v>
      </c>
      <c r="L6" s="32">
        <v>5.18</v>
      </c>
      <c r="M6" s="32">
        <v>2.6</v>
      </c>
      <c r="N6" s="33">
        <f>I6*J6*K6*7.85/1000000</f>
        <v>0.78160679040000003</v>
      </c>
      <c r="O6" s="33">
        <v>0.75925200000000004</v>
      </c>
      <c r="P6" s="30">
        <f t="shared" ref="P6" si="1">N6-O6</f>
        <v>2.2354790399999991E-2</v>
      </c>
      <c r="Q6" s="31">
        <f>(L6*N6-M6*P6)*G6</f>
        <v>3.9906007192320003</v>
      </c>
      <c r="R6" s="25" t="s">
        <v>104</v>
      </c>
      <c r="S6" s="25" t="s">
        <v>105</v>
      </c>
      <c r="T6" s="19">
        <v>1</v>
      </c>
      <c r="U6" s="32">
        <v>0.25</v>
      </c>
      <c r="V6" s="32">
        <f t="shared" si="0"/>
        <v>0.25</v>
      </c>
      <c r="W6" s="99"/>
      <c r="X6" s="97"/>
      <c r="Y6" s="100"/>
      <c r="Z6" s="97"/>
    </row>
    <row r="7" spans="1:26" x14ac:dyDescent="0.2">
      <c r="A7" s="98"/>
      <c r="B7" s="98"/>
      <c r="C7" s="98"/>
      <c r="D7" s="24"/>
      <c r="E7" s="24"/>
      <c r="F7" s="25"/>
      <c r="G7" s="19"/>
      <c r="H7" s="26"/>
      <c r="I7" s="27"/>
      <c r="J7" s="27"/>
      <c r="K7" s="28"/>
      <c r="L7" s="32"/>
      <c r="M7" s="32"/>
      <c r="N7" s="30"/>
      <c r="O7" s="30"/>
      <c r="P7" s="30"/>
      <c r="Q7" s="31"/>
      <c r="R7" s="25" t="s">
        <v>106</v>
      </c>
      <c r="S7" s="25" t="s">
        <v>105</v>
      </c>
      <c r="T7" s="19">
        <v>1</v>
      </c>
      <c r="U7" s="32">
        <v>0.25</v>
      </c>
      <c r="V7" s="32">
        <f t="shared" si="0"/>
        <v>0.25</v>
      </c>
      <c r="W7" s="99"/>
      <c r="X7" s="97"/>
      <c r="Y7" s="100"/>
      <c r="Z7" s="97"/>
    </row>
    <row r="8" spans="1:26" x14ac:dyDescent="0.2">
      <c r="A8" s="98"/>
      <c r="B8" s="98"/>
      <c r="C8" s="98"/>
      <c r="D8" s="24"/>
      <c r="E8" s="24"/>
      <c r="F8" s="25"/>
      <c r="G8" s="19"/>
      <c r="H8" s="26"/>
      <c r="I8" s="27"/>
      <c r="J8" s="27"/>
      <c r="K8" s="28"/>
      <c r="L8" s="32"/>
      <c r="M8" s="32"/>
      <c r="N8" s="30"/>
      <c r="O8" s="30"/>
      <c r="P8" s="30"/>
      <c r="Q8" s="31"/>
      <c r="R8" s="25" t="s">
        <v>107</v>
      </c>
      <c r="S8" s="25" t="s">
        <v>108</v>
      </c>
      <c r="T8" s="19">
        <v>1</v>
      </c>
      <c r="U8" s="32">
        <v>0.15</v>
      </c>
      <c r="V8" s="32">
        <f t="shared" si="0"/>
        <v>0.15</v>
      </c>
      <c r="W8" s="99"/>
      <c r="X8" s="97"/>
      <c r="Y8" s="100"/>
      <c r="Z8" s="97"/>
    </row>
    <row r="9" spans="1:26" x14ac:dyDescent="0.2">
      <c r="A9" s="98"/>
      <c r="B9" s="98"/>
      <c r="C9" s="98"/>
      <c r="D9" s="24">
        <v>3</v>
      </c>
      <c r="E9" s="24" t="s">
        <v>109</v>
      </c>
      <c r="F9" s="25" t="s">
        <v>110</v>
      </c>
      <c r="G9" s="19">
        <v>1</v>
      </c>
      <c r="H9" s="26" t="s">
        <v>111</v>
      </c>
      <c r="I9" s="27">
        <f>84+3.2</f>
        <v>87.2</v>
      </c>
      <c r="J9" s="27">
        <f>45+3.2</f>
        <v>48.2</v>
      </c>
      <c r="K9" s="28">
        <v>1.6</v>
      </c>
      <c r="L9" s="32">
        <v>5.18</v>
      </c>
      <c r="M9" s="32">
        <v>2.6</v>
      </c>
      <c r="N9" s="33">
        <f>I9*J9*K9*7.85/1000000</f>
        <v>5.2790182399999996E-2</v>
      </c>
      <c r="O9" s="33">
        <v>4.7476799999999993E-2</v>
      </c>
      <c r="P9" s="30">
        <f t="shared" ref="P9:P12" si="2">N9-O9</f>
        <v>5.3133824000000038E-3</v>
      </c>
      <c r="Q9" s="31">
        <f>(L9*N9-M9*P9)*G9</f>
        <v>0.25963835059199997</v>
      </c>
      <c r="R9" s="25" t="s">
        <v>112</v>
      </c>
      <c r="S9" s="25" t="s">
        <v>113</v>
      </c>
      <c r="T9" s="19">
        <v>1</v>
      </c>
      <c r="U9" s="32">
        <v>0.04</v>
      </c>
      <c r="V9" s="32">
        <f t="shared" si="0"/>
        <v>0.04</v>
      </c>
      <c r="W9" s="99"/>
      <c r="X9" s="97"/>
      <c r="Y9" s="100"/>
      <c r="Z9" s="97"/>
    </row>
    <row r="10" spans="1:26" x14ac:dyDescent="0.2">
      <c r="A10" s="98"/>
      <c r="B10" s="98"/>
      <c r="C10" s="98"/>
      <c r="D10" s="24">
        <v>4</v>
      </c>
      <c r="E10" s="24" t="s">
        <v>114</v>
      </c>
      <c r="F10" s="34" t="s">
        <v>115</v>
      </c>
      <c r="G10" s="19">
        <v>4</v>
      </c>
      <c r="H10" s="26"/>
      <c r="I10" s="27"/>
      <c r="J10" s="27"/>
      <c r="K10" s="28"/>
      <c r="L10" s="32">
        <v>0.1137</v>
      </c>
      <c r="M10" s="32"/>
      <c r="N10" s="30"/>
      <c r="O10" s="30"/>
      <c r="P10" s="30"/>
      <c r="Q10" s="31">
        <f>G10*L10</f>
        <v>0.45479999999999998</v>
      </c>
      <c r="R10" s="25"/>
      <c r="S10" s="25"/>
      <c r="T10" s="19"/>
      <c r="U10" s="32"/>
      <c r="V10" s="32">
        <f t="shared" si="0"/>
        <v>0</v>
      </c>
      <c r="W10" s="99"/>
      <c r="X10" s="97"/>
      <c r="Y10" s="100"/>
      <c r="Z10" s="97"/>
    </row>
    <row r="11" spans="1:26" x14ac:dyDescent="0.2">
      <c r="A11" s="98"/>
      <c r="B11" s="98"/>
      <c r="C11" s="98"/>
      <c r="D11" s="24">
        <v>5</v>
      </c>
      <c r="E11" s="24" t="s">
        <v>116</v>
      </c>
      <c r="F11" s="34" t="s">
        <v>117</v>
      </c>
      <c r="G11" s="19">
        <v>1</v>
      </c>
      <c r="H11" s="26" t="s">
        <v>118</v>
      </c>
      <c r="I11" s="27">
        <f>285+80</f>
        <v>365</v>
      </c>
      <c r="J11" s="27">
        <v>5</v>
      </c>
      <c r="K11" s="28"/>
      <c r="L11" s="32">
        <f>9/1.13</f>
        <v>7.9646017699115053</v>
      </c>
      <c r="M11" s="32"/>
      <c r="N11" s="30">
        <f>J11*J11*0.00617*I11/1000</f>
        <v>5.6301249999999997E-2</v>
      </c>
      <c r="O11" s="30">
        <v>5.6301249999999997E-2</v>
      </c>
      <c r="P11" s="30">
        <f t="shared" si="2"/>
        <v>0</v>
      </c>
      <c r="Q11" s="31">
        <f>L11*N11*G11</f>
        <v>0.44841703539823013</v>
      </c>
      <c r="R11" s="25" t="s">
        <v>119</v>
      </c>
      <c r="S11" s="25"/>
      <c r="T11" s="19"/>
      <c r="U11" s="32"/>
      <c r="V11" s="32">
        <f t="shared" si="0"/>
        <v>0</v>
      </c>
      <c r="W11" s="99"/>
      <c r="X11" s="97"/>
      <c r="Y11" s="100"/>
      <c r="Z11" s="97"/>
    </row>
    <row r="12" spans="1:26" x14ac:dyDescent="0.2">
      <c r="A12" s="98"/>
      <c r="B12" s="98"/>
      <c r="C12" s="98"/>
      <c r="D12" s="24">
        <v>6</v>
      </c>
      <c r="E12" s="24" t="s">
        <v>120</v>
      </c>
      <c r="F12" s="25" t="s">
        <v>121</v>
      </c>
      <c r="G12" s="19">
        <v>1</v>
      </c>
      <c r="H12" s="26" t="s">
        <v>122</v>
      </c>
      <c r="I12" s="27">
        <v>632</v>
      </c>
      <c r="J12" s="27">
        <v>25</v>
      </c>
      <c r="K12" s="28">
        <v>2</v>
      </c>
      <c r="L12" s="29">
        <v>4.5999999999999996</v>
      </c>
      <c r="M12" s="32">
        <v>2.6</v>
      </c>
      <c r="N12" s="30">
        <f>(J12-K12)*K12*0.02466*I12/1000</f>
        <v>0.71691552000000003</v>
      </c>
      <c r="O12" s="30">
        <v>0.71464680000000003</v>
      </c>
      <c r="P12" s="30">
        <f t="shared" si="2"/>
        <v>2.2687200000000018E-3</v>
      </c>
      <c r="Q12" s="31">
        <f>(L12*N12-M12*P12)*G12</f>
        <v>3.29191272</v>
      </c>
      <c r="R12" s="25" t="s">
        <v>98</v>
      </c>
      <c r="S12" s="19"/>
      <c r="T12" s="19">
        <v>1</v>
      </c>
      <c r="U12" s="32">
        <v>0.08</v>
      </c>
      <c r="V12" s="32">
        <f>T12*U12</f>
        <v>0.08</v>
      </c>
      <c r="W12" s="99"/>
      <c r="X12" s="97"/>
      <c r="Y12" s="100"/>
      <c r="Z12" s="97"/>
    </row>
    <row r="13" spans="1:26" x14ac:dyDescent="0.2">
      <c r="A13" s="98"/>
      <c r="B13" s="98"/>
      <c r="C13" s="98"/>
      <c r="D13" s="24"/>
      <c r="E13" s="24"/>
      <c r="F13" s="25"/>
      <c r="G13" s="19"/>
      <c r="H13" s="26"/>
      <c r="I13" s="27"/>
      <c r="J13" s="27"/>
      <c r="K13" s="28"/>
      <c r="L13" s="32"/>
      <c r="M13" s="32"/>
      <c r="N13" s="30"/>
      <c r="O13" s="30"/>
      <c r="P13" s="30"/>
      <c r="Q13" s="31"/>
      <c r="R13" s="25" t="s">
        <v>123</v>
      </c>
      <c r="S13" s="19"/>
      <c r="T13" s="19">
        <v>2</v>
      </c>
      <c r="U13" s="32">
        <v>0.05</v>
      </c>
      <c r="V13" s="32">
        <f t="shared" ref="V13:V14" si="3">T13*U13</f>
        <v>0.1</v>
      </c>
      <c r="W13" s="99"/>
      <c r="X13" s="97"/>
      <c r="Y13" s="100"/>
      <c r="Z13" s="97"/>
    </row>
    <row r="14" spans="1:26" x14ac:dyDescent="0.2">
      <c r="A14" s="98"/>
      <c r="B14" s="98"/>
      <c r="C14" s="98"/>
      <c r="D14" s="24"/>
      <c r="E14" s="24"/>
      <c r="F14" s="25"/>
      <c r="G14" s="19"/>
      <c r="H14" s="26"/>
      <c r="I14" s="27"/>
      <c r="J14" s="27"/>
      <c r="K14" s="28"/>
      <c r="L14" s="32"/>
      <c r="M14" s="32"/>
      <c r="N14" s="30"/>
      <c r="O14" s="30"/>
      <c r="P14" s="30"/>
      <c r="Q14" s="31"/>
      <c r="R14" s="25" t="s">
        <v>124</v>
      </c>
      <c r="S14" s="19" t="s">
        <v>125</v>
      </c>
      <c r="T14" s="19">
        <v>2</v>
      </c>
      <c r="U14" s="32">
        <v>0.03</v>
      </c>
      <c r="V14" s="32">
        <f t="shared" si="3"/>
        <v>0.06</v>
      </c>
      <c r="W14" s="99"/>
      <c r="X14" s="97"/>
      <c r="Y14" s="100"/>
      <c r="Z14" s="97"/>
    </row>
    <row r="15" spans="1:26" x14ac:dyDescent="0.2">
      <c r="A15" s="98"/>
      <c r="B15" s="98"/>
      <c r="C15" s="98"/>
      <c r="D15" s="24">
        <v>7</v>
      </c>
      <c r="E15" s="24" t="s">
        <v>126</v>
      </c>
      <c r="F15" s="25" t="s">
        <v>127</v>
      </c>
      <c r="G15" s="19">
        <v>2</v>
      </c>
      <c r="H15" s="26" t="s">
        <v>128</v>
      </c>
      <c r="I15" s="27">
        <v>55</v>
      </c>
      <c r="J15" s="27">
        <v>19</v>
      </c>
      <c r="K15" s="28">
        <v>1.5</v>
      </c>
      <c r="L15" s="29">
        <v>4.5999999999999996</v>
      </c>
      <c r="M15" s="32">
        <v>2.6</v>
      </c>
      <c r="N15" s="30">
        <f>(J15-K15)*K15*0.02466*I15/1000</f>
        <v>3.5602875000000006E-2</v>
      </c>
      <c r="O15" s="30">
        <v>3.5602875000000006E-2</v>
      </c>
      <c r="P15" s="30">
        <f t="shared" ref="P15" si="4">N15-O15</f>
        <v>0</v>
      </c>
      <c r="Q15" s="31">
        <f>(L15*N15-M15*P15)*G15</f>
        <v>0.32754645000000004</v>
      </c>
      <c r="R15" s="25" t="s">
        <v>98</v>
      </c>
      <c r="S15" s="19"/>
      <c r="T15" s="19">
        <v>2</v>
      </c>
      <c r="U15" s="32">
        <v>0.08</v>
      </c>
      <c r="V15" s="32">
        <f>T15*U15</f>
        <v>0.16</v>
      </c>
      <c r="W15" s="99"/>
      <c r="X15" s="97"/>
      <c r="Y15" s="100"/>
      <c r="Z15" s="97"/>
    </row>
    <row r="16" spans="1:26" x14ac:dyDescent="0.2">
      <c r="A16" s="98"/>
      <c r="B16" s="98"/>
      <c r="C16" s="98"/>
      <c r="D16" s="24"/>
      <c r="E16" s="24"/>
      <c r="F16" s="25"/>
      <c r="G16" s="19"/>
      <c r="H16" s="26"/>
      <c r="I16" s="27"/>
      <c r="J16" s="27"/>
      <c r="K16" s="28"/>
      <c r="L16" s="32"/>
      <c r="M16" s="32"/>
      <c r="N16" s="30"/>
      <c r="O16" s="30"/>
      <c r="P16" s="30"/>
      <c r="Q16" s="31"/>
      <c r="R16" s="25" t="s">
        <v>129</v>
      </c>
      <c r="S16" s="19"/>
      <c r="T16" s="19">
        <v>4</v>
      </c>
      <c r="U16" s="32">
        <v>0.05</v>
      </c>
      <c r="V16" s="32">
        <f t="shared" ref="V16:V19" si="5">T16*U16</f>
        <v>0.2</v>
      </c>
      <c r="W16" s="99"/>
      <c r="X16" s="97"/>
      <c r="Y16" s="100"/>
      <c r="Z16" s="97"/>
    </row>
    <row r="17" spans="1:26" x14ac:dyDescent="0.2">
      <c r="A17" s="98"/>
      <c r="B17" s="98"/>
      <c r="C17" s="98"/>
      <c r="D17" s="24">
        <v>8</v>
      </c>
      <c r="E17" s="24" t="s">
        <v>130</v>
      </c>
      <c r="F17" s="25" t="s">
        <v>131</v>
      </c>
      <c r="G17" s="19">
        <v>2</v>
      </c>
      <c r="H17" s="26" t="s">
        <v>132</v>
      </c>
      <c r="I17" s="27">
        <f>120+5</f>
        <v>125</v>
      </c>
      <c r="J17" s="27">
        <f>80+5</f>
        <v>85</v>
      </c>
      <c r="K17" s="28">
        <v>2.5</v>
      </c>
      <c r="L17" s="35">
        <v>4.8</v>
      </c>
      <c r="M17" s="29">
        <v>2.6</v>
      </c>
      <c r="N17" s="33">
        <f>I17*J17*K17*7.85/1000000</f>
        <v>0.20851562500000001</v>
      </c>
      <c r="O17" s="33">
        <v>0.18840000000000001</v>
      </c>
      <c r="P17" s="30">
        <f t="shared" ref="P17" si="6">N17-O17</f>
        <v>2.0115624999999998E-2</v>
      </c>
      <c r="Q17" s="31">
        <f>(L17*N17-M17*P17)*G17</f>
        <v>1.8971487499999999</v>
      </c>
      <c r="R17" s="25" t="s">
        <v>133</v>
      </c>
      <c r="S17" s="25" t="s">
        <v>113</v>
      </c>
      <c r="T17" s="19">
        <v>2</v>
      </c>
      <c r="U17" s="32">
        <v>0.04</v>
      </c>
      <c r="V17" s="32">
        <f t="shared" si="5"/>
        <v>0.08</v>
      </c>
      <c r="W17" s="99"/>
      <c r="X17" s="97"/>
      <c r="Y17" s="100"/>
      <c r="Z17" s="97"/>
    </row>
    <row r="18" spans="1:26" x14ac:dyDescent="0.2">
      <c r="A18" s="98"/>
      <c r="B18" s="98"/>
      <c r="C18" s="98"/>
      <c r="D18" s="24"/>
      <c r="E18" s="24"/>
      <c r="F18" s="25"/>
      <c r="G18" s="19"/>
      <c r="H18" s="26"/>
      <c r="I18" s="27"/>
      <c r="J18" s="27"/>
      <c r="K18" s="28"/>
      <c r="L18" s="35"/>
      <c r="M18" s="29"/>
      <c r="N18" s="33"/>
      <c r="O18" s="33"/>
      <c r="P18" s="30"/>
      <c r="Q18" s="31"/>
      <c r="R18" s="25" t="s">
        <v>134</v>
      </c>
      <c r="S18" s="25" t="s">
        <v>113</v>
      </c>
      <c r="T18" s="19">
        <v>2</v>
      </c>
      <c r="U18" s="32">
        <v>0.04</v>
      </c>
      <c r="V18" s="32">
        <f t="shared" si="5"/>
        <v>0.08</v>
      </c>
      <c r="W18" s="99"/>
      <c r="X18" s="97"/>
      <c r="Y18" s="100"/>
      <c r="Z18" s="97"/>
    </row>
    <row r="19" spans="1:26" x14ac:dyDescent="0.2">
      <c r="A19" s="98"/>
      <c r="B19" s="98"/>
      <c r="C19" s="98"/>
      <c r="D19" s="24"/>
      <c r="E19" s="24"/>
      <c r="F19" s="25"/>
      <c r="G19" s="19"/>
      <c r="H19" s="26"/>
      <c r="I19" s="27"/>
      <c r="J19" s="27"/>
      <c r="K19" s="28"/>
      <c r="L19" s="35"/>
      <c r="M19" s="29"/>
      <c r="N19" s="33"/>
      <c r="O19" s="33"/>
      <c r="P19" s="30"/>
      <c r="Q19" s="31"/>
      <c r="R19" s="25" t="s">
        <v>135</v>
      </c>
      <c r="S19" s="25" t="s">
        <v>113</v>
      </c>
      <c r="T19" s="19">
        <v>2</v>
      </c>
      <c r="U19" s="32">
        <v>0.04</v>
      </c>
      <c r="V19" s="32">
        <f t="shared" si="5"/>
        <v>0.08</v>
      </c>
      <c r="W19" s="99"/>
      <c r="X19" s="97"/>
      <c r="Y19" s="100"/>
      <c r="Z19" s="97"/>
    </row>
    <row r="20" spans="1:26" x14ac:dyDescent="0.2">
      <c r="A20" s="98"/>
      <c r="B20" s="98"/>
      <c r="C20" s="98"/>
      <c r="D20" s="24">
        <v>9</v>
      </c>
      <c r="E20" s="24" t="s">
        <v>114</v>
      </c>
      <c r="F20" s="34" t="s">
        <v>136</v>
      </c>
      <c r="G20" s="19">
        <v>4</v>
      </c>
      <c r="H20" s="26"/>
      <c r="I20" s="27"/>
      <c r="J20" s="27"/>
      <c r="K20" s="28"/>
      <c r="L20" s="29">
        <v>3.3000000000000002E-2</v>
      </c>
      <c r="M20" s="29"/>
      <c r="N20" s="30"/>
      <c r="O20" s="30"/>
      <c r="P20" s="30"/>
      <c r="Q20" s="31">
        <f>G20*L20</f>
        <v>0.13200000000000001</v>
      </c>
      <c r="R20" s="25"/>
      <c r="S20" s="25"/>
      <c r="T20" s="19"/>
      <c r="U20" s="32"/>
      <c r="V20" s="32">
        <f t="shared" si="0"/>
        <v>0</v>
      </c>
      <c r="W20" s="99"/>
      <c r="X20" s="97"/>
      <c r="Y20" s="100"/>
      <c r="Z20" s="97"/>
    </row>
    <row r="21" spans="1:26" x14ac:dyDescent="0.2">
      <c r="A21" s="98"/>
      <c r="B21" s="98"/>
      <c r="C21" s="98"/>
      <c r="D21" s="24">
        <v>10</v>
      </c>
      <c r="E21" s="24" t="s">
        <v>137</v>
      </c>
      <c r="F21" s="25" t="s">
        <v>138</v>
      </c>
      <c r="G21" s="19">
        <v>1</v>
      </c>
      <c r="H21" s="26"/>
      <c r="I21" s="27">
        <f>352</f>
        <v>352</v>
      </c>
      <c r="J21" s="27">
        <v>20</v>
      </c>
      <c r="K21" s="28">
        <v>2</v>
      </c>
      <c r="L21" s="29">
        <v>4.5999999999999996</v>
      </c>
      <c r="M21" s="29">
        <v>2.6</v>
      </c>
      <c r="N21" s="30">
        <f>(J21-K21)*K21*0.02466*I21/1000</f>
        <v>0.31249152000000002</v>
      </c>
      <c r="O21" s="30">
        <v>0.31071599999999999</v>
      </c>
      <c r="P21" s="30">
        <f t="shared" ref="P21:P24" si="7">N21-O21</f>
        <v>1.7755200000000304E-3</v>
      </c>
      <c r="Q21" s="31">
        <f>(L21*N21-M21*P21)*G21</f>
        <v>1.4328446400000001</v>
      </c>
      <c r="R21" s="25" t="s">
        <v>98</v>
      </c>
      <c r="S21" s="19"/>
      <c r="T21" s="19">
        <v>1</v>
      </c>
      <c r="U21" s="32">
        <v>0.08</v>
      </c>
      <c r="V21" s="32">
        <f>T21*U21</f>
        <v>0.08</v>
      </c>
      <c r="W21" s="99"/>
      <c r="X21" s="97"/>
      <c r="Y21" s="100"/>
      <c r="Z21" s="97"/>
    </row>
    <row r="22" spans="1:26" x14ac:dyDescent="0.2">
      <c r="A22" s="98"/>
      <c r="B22" s="98"/>
      <c r="C22" s="98"/>
      <c r="D22" s="24">
        <v>11</v>
      </c>
      <c r="E22" s="24" t="s">
        <v>139</v>
      </c>
      <c r="F22" s="25" t="s">
        <v>140</v>
      </c>
      <c r="G22" s="19">
        <v>1</v>
      </c>
      <c r="H22" s="26" t="s">
        <v>141</v>
      </c>
      <c r="I22" s="27">
        <f>270+25+25</f>
        <v>320</v>
      </c>
      <c r="J22" s="27">
        <v>6</v>
      </c>
      <c r="K22" s="28"/>
      <c r="L22" s="32">
        <f>9/1.13</f>
        <v>7.9646017699115053</v>
      </c>
      <c r="M22" s="32"/>
      <c r="N22" s="30">
        <f>J22*J22*0.00617*I22/1000</f>
        <v>7.10784E-2</v>
      </c>
      <c r="O22" s="30">
        <v>7.10784E-2</v>
      </c>
      <c r="P22" s="30">
        <f t="shared" si="7"/>
        <v>0</v>
      </c>
      <c r="Q22" s="31">
        <f>(L22*N22-M22*P22)*G22</f>
        <v>0.56611115044247795</v>
      </c>
      <c r="R22" s="25"/>
      <c r="S22" s="25"/>
      <c r="T22" s="19"/>
      <c r="U22" s="32"/>
      <c r="V22" s="32">
        <f t="shared" si="0"/>
        <v>0</v>
      </c>
      <c r="W22" s="99"/>
      <c r="X22" s="97"/>
      <c r="Y22" s="100"/>
      <c r="Z22" s="97"/>
    </row>
    <row r="23" spans="1:26" x14ac:dyDescent="0.2">
      <c r="A23" s="98"/>
      <c r="B23" s="98"/>
      <c r="C23" s="98"/>
      <c r="D23" s="24">
        <v>12</v>
      </c>
      <c r="E23" s="24" t="s">
        <v>142</v>
      </c>
      <c r="F23" s="25" t="s">
        <v>143</v>
      </c>
      <c r="G23" s="19">
        <v>1</v>
      </c>
      <c r="H23" s="26" t="s">
        <v>144</v>
      </c>
      <c r="I23" s="27">
        <f>84+3.2</f>
        <v>87.2</v>
      </c>
      <c r="J23" s="27">
        <f>45+3.2</f>
        <v>48.2</v>
      </c>
      <c r="K23" s="28">
        <v>1.6</v>
      </c>
      <c r="L23" s="32">
        <v>5.18</v>
      </c>
      <c r="M23" s="32">
        <v>2.6</v>
      </c>
      <c r="N23" s="33">
        <f>I23*J23*K23*7.85/1000000</f>
        <v>5.2790182399999996E-2</v>
      </c>
      <c r="O23" s="33">
        <v>4.7476799999999993E-2</v>
      </c>
      <c r="P23" s="30">
        <f t="shared" si="7"/>
        <v>5.3133824000000038E-3</v>
      </c>
      <c r="Q23" s="31">
        <f>(L23*N23-M23*P23)*G23</f>
        <v>0.25963835059199997</v>
      </c>
      <c r="R23" s="25" t="s">
        <v>145</v>
      </c>
      <c r="S23" s="25" t="s">
        <v>146</v>
      </c>
      <c r="T23" s="19">
        <v>1</v>
      </c>
      <c r="U23" s="32">
        <v>0.04</v>
      </c>
      <c r="V23" s="32">
        <f t="shared" si="0"/>
        <v>0.04</v>
      </c>
      <c r="W23" s="99"/>
      <c r="X23" s="97"/>
      <c r="Y23" s="100"/>
      <c r="Z23" s="97"/>
    </row>
    <row r="24" spans="1:26" x14ac:dyDescent="0.2">
      <c r="A24" s="98"/>
      <c r="B24" s="98"/>
      <c r="C24" s="98"/>
      <c r="D24" s="24">
        <v>13</v>
      </c>
      <c r="E24" s="24" t="s">
        <v>147</v>
      </c>
      <c r="F24" s="25" t="s">
        <v>148</v>
      </c>
      <c r="G24" s="19">
        <v>1</v>
      </c>
      <c r="H24" s="26" t="s">
        <v>149</v>
      </c>
      <c r="I24" s="27">
        <f>392+11+1.6*2</f>
        <v>406.2</v>
      </c>
      <c r="J24" s="27">
        <f>150+1.6*2</f>
        <v>153.19999999999999</v>
      </c>
      <c r="K24" s="28">
        <v>1.6</v>
      </c>
      <c r="L24" s="32">
        <v>5.18</v>
      </c>
      <c r="M24" s="32">
        <v>2.6</v>
      </c>
      <c r="N24" s="33">
        <f>I24*J24*K24*7.85/1000000</f>
        <v>0.78160679040000003</v>
      </c>
      <c r="O24" s="33">
        <v>0.75925200000000004</v>
      </c>
      <c r="P24" s="30">
        <f t="shared" si="7"/>
        <v>2.2354790399999991E-2</v>
      </c>
      <c r="Q24" s="31">
        <f>(L24*N24-M24*P24)*G24</f>
        <v>3.9906007192320003</v>
      </c>
      <c r="R24" s="25" t="s">
        <v>150</v>
      </c>
      <c r="S24" s="25" t="s">
        <v>151</v>
      </c>
      <c r="T24" s="19">
        <v>1</v>
      </c>
      <c r="U24" s="32">
        <v>0.25</v>
      </c>
      <c r="V24" s="32">
        <f t="shared" si="0"/>
        <v>0.25</v>
      </c>
      <c r="W24" s="99"/>
      <c r="X24" s="97"/>
      <c r="Y24" s="100"/>
      <c r="Z24" s="97"/>
    </row>
    <row r="25" spans="1:26" x14ac:dyDescent="0.2">
      <c r="A25" s="98"/>
      <c r="B25" s="98"/>
      <c r="C25" s="98"/>
      <c r="D25" s="24"/>
      <c r="E25" s="24"/>
      <c r="F25" s="25"/>
      <c r="G25" s="19"/>
      <c r="H25" s="25"/>
      <c r="I25" s="27"/>
      <c r="J25" s="27"/>
      <c r="K25" s="28"/>
      <c r="L25" s="32"/>
      <c r="M25" s="32"/>
      <c r="N25" s="30"/>
      <c r="O25" s="30"/>
      <c r="P25" s="30"/>
      <c r="Q25" s="31"/>
      <c r="R25" s="25" t="s">
        <v>152</v>
      </c>
      <c r="S25" s="25" t="s">
        <v>151</v>
      </c>
      <c r="T25" s="19">
        <v>1</v>
      </c>
      <c r="U25" s="32">
        <v>0.25</v>
      </c>
      <c r="V25" s="32">
        <f t="shared" si="0"/>
        <v>0.25</v>
      </c>
      <c r="W25" s="99"/>
      <c r="X25" s="97"/>
      <c r="Y25" s="100"/>
      <c r="Z25" s="97"/>
    </row>
    <row r="26" spans="1:26" x14ac:dyDescent="0.2">
      <c r="A26" s="98"/>
      <c r="B26" s="98"/>
      <c r="C26" s="98"/>
      <c r="D26" s="24"/>
      <c r="E26" s="24"/>
      <c r="F26" s="25"/>
      <c r="G26" s="19"/>
      <c r="H26" s="25"/>
      <c r="I26" s="27"/>
      <c r="J26" s="27"/>
      <c r="K26" s="28"/>
      <c r="L26" s="32"/>
      <c r="M26" s="32"/>
      <c r="N26" s="30"/>
      <c r="O26" s="30"/>
      <c r="P26" s="30"/>
      <c r="Q26" s="31"/>
      <c r="R26" s="25" t="s">
        <v>153</v>
      </c>
      <c r="S26" s="25" t="s">
        <v>154</v>
      </c>
      <c r="T26" s="19">
        <v>1</v>
      </c>
      <c r="U26" s="32">
        <v>0.15</v>
      </c>
      <c r="V26" s="32">
        <f t="shared" si="0"/>
        <v>0.15</v>
      </c>
      <c r="W26" s="99"/>
      <c r="X26" s="97"/>
      <c r="Y26" s="100"/>
      <c r="Z26" s="97"/>
    </row>
    <row r="27" spans="1:26" x14ac:dyDescent="0.2">
      <c r="A27" s="98"/>
      <c r="B27" s="98"/>
      <c r="C27" s="98"/>
      <c r="D27" s="24"/>
      <c r="E27" s="24"/>
      <c r="F27" s="25"/>
      <c r="G27" s="19"/>
      <c r="H27" s="25"/>
      <c r="I27" s="27"/>
      <c r="J27" s="27"/>
      <c r="K27" s="28"/>
      <c r="L27" s="32"/>
      <c r="M27" s="32"/>
      <c r="N27" s="30"/>
      <c r="O27" s="30"/>
      <c r="P27" s="30"/>
      <c r="Q27" s="31"/>
      <c r="R27" s="25" t="s">
        <v>155</v>
      </c>
      <c r="S27" s="25"/>
      <c r="T27" s="19">
        <f>4*2.5+2*3*1+6*1.5+4*0.5+4*1+4*0.5+4*3*1+2*3*1</f>
        <v>51</v>
      </c>
      <c r="U27" s="32">
        <v>0.05</v>
      </c>
      <c r="V27" s="32">
        <f>T27*U27</f>
        <v>2.5500000000000003</v>
      </c>
      <c r="W27" s="99"/>
      <c r="X27" s="97"/>
      <c r="Y27" s="100"/>
      <c r="Z27" s="97"/>
    </row>
    <row r="28" spans="1:26" x14ac:dyDescent="0.2">
      <c r="A28" s="98"/>
      <c r="B28" s="98"/>
      <c r="C28" s="98"/>
      <c r="D28" s="24"/>
      <c r="E28" s="24"/>
      <c r="F28" s="25"/>
      <c r="G28" s="19"/>
      <c r="H28" s="25"/>
      <c r="I28" s="27"/>
      <c r="J28" s="27"/>
      <c r="K28" s="28"/>
      <c r="L28" s="32"/>
      <c r="M28" s="32"/>
      <c r="N28" s="30"/>
      <c r="O28" s="30"/>
      <c r="P28" s="30"/>
      <c r="Q28" s="31"/>
      <c r="R28" s="25" t="s">
        <v>156</v>
      </c>
      <c r="S28" s="25"/>
      <c r="T28" s="19">
        <v>1</v>
      </c>
      <c r="U28" s="32">
        <v>0.5</v>
      </c>
      <c r="V28" s="32">
        <f>T28*U28</f>
        <v>0.5</v>
      </c>
      <c r="W28" s="99"/>
      <c r="X28" s="97"/>
      <c r="Y28" s="100"/>
      <c r="Z28" s="97"/>
    </row>
    <row r="29" spans="1:26" x14ac:dyDescent="0.2">
      <c r="A29" s="98"/>
      <c r="B29" s="98"/>
      <c r="C29" s="98"/>
      <c r="D29" s="24"/>
      <c r="E29" s="24"/>
      <c r="F29" s="25"/>
      <c r="G29" s="19"/>
      <c r="H29" s="25"/>
      <c r="I29" s="27"/>
      <c r="J29" s="27"/>
      <c r="K29" s="28"/>
      <c r="L29" s="32"/>
      <c r="M29" s="32"/>
      <c r="N29" s="30"/>
      <c r="O29" s="30"/>
      <c r="P29" s="30"/>
      <c r="Q29" s="31"/>
      <c r="R29" s="25" t="s">
        <v>157</v>
      </c>
      <c r="S29" s="25"/>
      <c r="T29" s="19">
        <f>0.4745*0.359*2*0.3</f>
        <v>0.10220729999999999</v>
      </c>
      <c r="U29" s="32">
        <v>15</v>
      </c>
      <c r="V29" s="32">
        <f>T29*U29</f>
        <v>1.5331094999999999</v>
      </c>
      <c r="W29" s="99"/>
      <c r="X29" s="97"/>
      <c r="Y29" s="100"/>
      <c r="Z29" s="97"/>
    </row>
    <row r="30" spans="1:26" x14ac:dyDescent="0.2">
      <c r="A30" s="98"/>
      <c r="B30" s="98"/>
      <c r="C30" s="98"/>
      <c r="D30" s="24"/>
      <c r="E30" s="24"/>
      <c r="F30" s="25" t="s">
        <v>158</v>
      </c>
      <c r="G30" s="19"/>
      <c r="H30" s="25"/>
      <c r="I30" s="27"/>
      <c r="J30" s="27"/>
      <c r="K30" s="28"/>
      <c r="L30" s="32"/>
      <c r="M30" s="32"/>
      <c r="N30" s="30"/>
      <c r="O30" s="30"/>
      <c r="P30" s="30"/>
      <c r="Q30" s="31">
        <f>SUM(Q4:Q29)</f>
        <v>17.613654845488707</v>
      </c>
      <c r="R30" s="25"/>
      <c r="S30" s="25"/>
      <c r="T30" s="19"/>
      <c r="U30" s="32"/>
      <c r="V30" s="32">
        <f>SUM(V4:V29)</f>
        <v>7.0631095000000004</v>
      </c>
      <c r="W30" s="99"/>
      <c r="X30" s="97">
        <f>SUM(Q30:W30)*W4</f>
        <v>27.637976066947353</v>
      </c>
      <c r="Y30" s="36">
        <v>1.19</v>
      </c>
      <c r="Z30" s="97"/>
    </row>
    <row r="31" spans="1:26" ht="14.25" customHeight="1" x14ac:dyDescent="0.2">
      <c r="A31" s="98">
        <v>2</v>
      </c>
      <c r="B31" s="98" t="s">
        <v>159</v>
      </c>
      <c r="C31" s="98" t="s">
        <v>160</v>
      </c>
      <c r="D31" s="24">
        <v>1</v>
      </c>
      <c r="E31" s="24" t="s">
        <v>161</v>
      </c>
      <c r="F31" s="25" t="s">
        <v>162</v>
      </c>
      <c r="G31" s="19">
        <v>1</v>
      </c>
      <c r="H31" s="26" t="s">
        <v>97</v>
      </c>
      <c r="I31" s="27">
        <f>590+2</f>
        <v>592</v>
      </c>
      <c r="J31" s="27">
        <v>10</v>
      </c>
      <c r="K31" s="37">
        <v>1</v>
      </c>
      <c r="L31" s="29">
        <v>4.5999999999999996</v>
      </c>
      <c r="M31" s="29">
        <v>2.6</v>
      </c>
      <c r="N31" s="30">
        <f>(J31-K31)*K31*0.02466*I31/1000</f>
        <v>0.13138848</v>
      </c>
      <c r="O31" s="30">
        <v>0.13094460000000002</v>
      </c>
      <c r="P31" s="30">
        <f t="shared" ref="P31" si="8">N31-O31</f>
        <v>4.4387999999997985E-4</v>
      </c>
      <c r="Q31" s="31">
        <f>(L31*N31-M31*P31)*G31</f>
        <v>0.60323292000000006</v>
      </c>
      <c r="R31" s="25" t="s">
        <v>98</v>
      </c>
      <c r="S31" s="19"/>
      <c r="T31" s="19">
        <v>1</v>
      </c>
      <c r="U31" s="32">
        <v>0.08</v>
      </c>
      <c r="V31" s="32">
        <f>T31*U31</f>
        <v>0.08</v>
      </c>
      <c r="W31" s="99">
        <v>1.1200000000000001</v>
      </c>
      <c r="X31" s="97">
        <f>W31*(Q61+V61-Q37-Q38-Q50-Q58)+(Q37+Q38+Q50+Q58)*1.03</f>
        <v>31.364376875169111</v>
      </c>
      <c r="Y31" s="100" t="s">
        <v>163</v>
      </c>
      <c r="Z31" s="97">
        <f>X31+Y61</f>
        <v>32.554376875169112</v>
      </c>
    </row>
    <row r="32" spans="1:26" x14ac:dyDescent="0.2">
      <c r="A32" s="98"/>
      <c r="B32" s="98"/>
      <c r="C32" s="98"/>
      <c r="D32" s="24"/>
      <c r="E32" s="24"/>
      <c r="F32" s="25"/>
      <c r="G32" s="19"/>
      <c r="H32" s="26"/>
      <c r="I32" s="27"/>
      <c r="J32" s="27"/>
      <c r="K32" s="28"/>
      <c r="L32" s="29"/>
      <c r="M32" s="29"/>
      <c r="N32" s="30"/>
      <c r="O32" s="30"/>
      <c r="P32" s="30"/>
      <c r="Q32" s="31"/>
      <c r="R32" s="25" t="s">
        <v>164</v>
      </c>
      <c r="S32" s="19"/>
      <c r="T32" s="19">
        <v>2</v>
      </c>
      <c r="U32" s="32">
        <v>0.05</v>
      </c>
      <c r="V32" s="32">
        <f t="shared" ref="V32:V56" si="9">T32*U32</f>
        <v>0.1</v>
      </c>
      <c r="W32" s="99"/>
      <c r="X32" s="97"/>
      <c r="Y32" s="100"/>
      <c r="Z32" s="97"/>
    </row>
    <row r="33" spans="1:26" x14ac:dyDescent="0.2">
      <c r="A33" s="98"/>
      <c r="B33" s="98"/>
      <c r="C33" s="98"/>
      <c r="D33" s="24">
        <v>2</v>
      </c>
      <c r="E33" s="24" t="s">
        <v>165</v>
      </c>
      <c r="F33" s="25" t="s">
        <v>166</v>
      </c>
      <c r="G33" s="19">
        <v>1</v>
      </c>
      <c r="H33" s="26" t="s">
        <v>149</v>
      </c>
      <c r="I33" s="27">
        <f>392+11+1.6*2</f>
        <v>406.2</v>
      </c>
      <c r="J33" s="27">
        <f>150+1.6*2</f>
        <v>153.19999999999999</v>
      </c>
      <c r="K33" s="28">
        <v>1.6</v>
      </c>
      <c r="L33" s="32">
        <v>5.18</v>
      </c>
      <c r="M33" s="32">
        <v>2.6</v>
      </c>
      <c r="N33" s="33">
        <f>I33*J33*K33*7.85/1000000</f>
        <v>0.78160679040000003</v>
      </c>
      <c r="O33" s="33">
        <v>0.75925200000000004</v>
      </c>
      <c r="P33" s="30">
        <f t="shared" ref="P33" si="10">N33-O33</f>
        <v>2.2354790399999991E-2</v>
      </c>
      <c r="Q33" s="31">
        <f>(L33*N33-M33*P33)*G33</f>
        <v>3.9906007192320003</v>
      </c>
      <c r="R33" s="25" t="s">
        <v>167</v>
      </c>
      <c r="S33" s="25" t="s">
        <v>168</v>
      </c>
      <c r="T33" s="19">
        <v>1</v>
      </c>
      <c r="U33" s="32">
        <v>0.25</v>
      </c>
      <c r="V33" s="32">
        <f t="shared" si="9"/>
        <v>0.25</v>
      </c>
      <c r="W33" s="99"/>
      <c r="X33" s="97"/>
      <c r="Y33" s="100"/>
      <c r="Z33" s="97"/>
    </row>
    <row r="34" spans="1:26" x14ac:dyDescent="0.2">
      <c r="A34" s="98"/>
      <c r="B34" s="98"/>
      <c r="C34" s="98"/>
      <c r="D34" s="24"/>
      <c r="E34" s="24"/>
      <c r="F34" s="25"/>
      <c r="G34" s="19"/>
      <c r="H34" s="26"/>
      <c r="I34" s="27"/>
      <c r="J34" s="27"/>
      <c r="K34" s="28"/>
      <c r="L34" s="32"/>
      <c r="M34" s="32"/>
      <c r="N34" s="30"/>
      <c r="O34" s="30"/>
      <c r="P34" s="30"/>
      <c r="Q34" s="31"/>
      <c r="R34" s="25" t="s">
        <v>169</v>
      </c>
      <c r="S34" s="25" t="s">
        <v>168</v>
      </c>
      <c r="T34" s="19">
        <v>1</v>
      </c>
      <c r="U34" s="32">
        <v>0.25</v>
      </c>
      <c r="V34" s="32">
        <f t="shared" si="9"/>
        <v>0.25</v>
      </c>
      <c r="W34" s="99"/>
      <c r="X34" s="97"/>
      <c r="Y34" s="100"/>
      <c r="Z34" s="97"/>
    </row>
    <row r="35" spans="1:26" x14ac:dyDescent="0.2">
      <c r="A35" s="98"/>
      <c r="B35" s="98"/>
      <c r="C35" s="98"/>
      <c r="D35" s="24"/>
      <c r="E35" s="24"/>
      <c r="F35" s="25"/>
      <c r="G35" s="19"/>
      <c r="H35" s="26"/>
      <c r="I35" s="27"/>
      <c r="J35" s="27"/>
      <c r="K35" s="28"/>
      <c r="L35" s="32"/>
      <c r="M35" s="32"/>
      <c r="N35" s="30"/>
      <c r="O35" s="30"/>
      <c r="P35" s="30"/>
      <c r="Q35" s="31"/>
      <c r="R35" s="25" t="s">
        <v>170</v>
      </c>
      <c r="S35" s="25" t="s">
        <v>171</v>
      </c>
      <c r="T35" s="19">
        <v>1</v>
      </c>
      <c r="U35" s="32">
        <v>0.15</v>
      </c>
      <c r="V35" s="32">
        <f t="shared" si="9"/>
        <v>0.15</v>
      </c>
      <c r="W35" s="99"/>
      <c r="X35" s="97"/>
      <c r="Y35" s="100"/>
      <c r="Z35" s="97"/>
    </row>
    <row r="36" spans="1:26" x14ac:dyDescent="0.2">
      <c r="A36" s="98"/>
      <c r="B36" s="98"/>
      <c r="C36" s="98"/>
      <c r="D36" s="24">
        <v>3</v>
      </c>
      <c r="E36" s="24" t="s">
        <v>109</v>
      </c>
      <c r="F36" s="25" t="s">
        <v>172</v>
      </c>
      <c r="G36" s="19">
        <v>1</v>
      </c>
      <c r="H36" s="26" t="s">
        <v>149</v>
      </c>
      <c r="I36" s="27">
        <f>84+3.2</f>
        <v>87.2</v>
      </c>
      <c r="J36" s="27">
        <f>45+3.2</f>
        <v>48.2</v>
      </c>
      <c r="K36" s="28">
        <v>1.6</v>
      </c>
      <c r="L36" s="32">
        <v>5.18</v>
      </c>
      <c r="M36" s="32">
        <v>2.6</v>
      </c>
      <c r="N36" s="33">
        <f>I36*J36*K36*7.85/1000000</f>
        <v>5.2790182399999996E-2</v>
      </c>
      <c r="O36" s="33">
        <v>4.7476799999999993E-2</v>
      </c>
      <c r="P36" s="30">
        <f t="shared" ref="P36" si="11">N36-O36</f>
        <v>5.3133824000000038E-3</v>
      </c>
      <c r="Q36" s="31">
        <f>(L36*N36-M36*P36)*G36</f>
        <v>0.25963835059199997</v>
      </c>
      <c r="R36" s="25" t="s">
        <v>145</v>
      </c>
      <c r="S36" s="25" t="s">
        <v>146</v>
      </c>
      <c r="T36" s="19">
        <v>1</v>
      </c>
      <c r="U36" s="32">
        <v>0.04</v>
      </c>
      <c r="V36" s="32">
        <f t="shared" si="9"/>
        <v>0.04</v>
      </c>
      <c r="W36" s="99"/>
      <c r="X36" s="97"/>
      <c r="Y36" s="100"/>
      <c r="Z36" s="97"/>
    </row>
    <row r="37" spans="1:26" x14ac:dyDescent="0.2">
      <c r="A37" s="98"/>
      <c r="B37" s="98"/>
      <c r="C37" s="98"/>
      <c r="D37" s="24">
        <v>4</v>
      </c>
      <c r="E37" s="24" t="s">
        <v>173</v>
      </c>
      <c r="F37" s="34" t="s">
        <v>174</v>
      </c>
      <c r="G37" s="19">
        <v>4</v>
      </c>
      <c r="H37" s="26"/>
      <c r="I37" s="27"/>
      <c r="J37" s="27"/>
      <c r="K37" s="28"/>
      <c r="L37" s="32">
        <v>0.1137</v>
      </c>
      <c r="M37" s="32"/>
      <c r="N37" s="30"/>
      <c r="O37" s="30"/>
      <c r="P37" s="30"/>
      <c r="Q37" s="31">
        <f>G37*L37</f>
        <v>0.45479999999999998</v>
      </c>
      <c r="R37" s="25"/>
      <c r="S37" s="25"/>
      <c r="T37" s="19"/>
      <c r="U37" s="32"/>
      <c r="V37" s="32">
        <f t="shared" si="9"/>
        <v>0</v>
      </c>
      <c r="W37" s="99"/>
      <c r="X37" s="97"/>
      <c r="Y37" s="100"/>
      <c r="Z37" s="97"/>
    </row>
    <row r="38" spans="1:26" x14ac:dyDescent="0.2">
      <c r="A38" s="98"/>
      <c r="B38" s="98"/>
      <c r="C38" s="98"/>
      <c r="D38" s="24">
        <v>5</v>
      </c>
      <c r="E38" s="24" t="s">
        <v>175</v>
      </c>
      <c r="F38" s="34" t="s">
        <v>176</v>
      </c>
      <c r="G38" s="19">
        <v>1</v>
      </c>
      <c r="H38" s="26" t="s">
        <v>177</v>
      </c>
      <c r="I38" s="27">
        <v>395</v>
      </c>
      <c r="J38" s="27">
        <v>5</v>
      </c>
      <c r="K38" s="28"/>
      <c r="L38" s="32">
        <f>9/1.13</f>
        <v>7.9646017699115053</v>
      </c>
      <c r="M38" s="32"/>
      <c r="N38" s="30">
        <f>J38*J38*0.00617*I38/1000</f>
        <v>6.0928750000000004E-2</v>
      </c>
      <c r="O38" s="30"/>
      <c r="P38" s="30"/>
      <c r="Q38" s="31">
        <f>(L38*N38-M38*P38)*G38</f>
        <v>0.48527323008849566</v>
      </c>
      <c r="R38" s="25"/>
      <c r="S38" s="25"/>
      <c r="T38" s="19"/>
      <c r="U38" s="32"/>
      <c r="V38" s="32">
        <f t="shared" si="9"/>
        <v>0</v>
      </c>
      <c r="W38" s="99"/>
      <c r="X38" s="97"/>
      <c r="Y38" s="100"/>
      <c r="Z38" s="97"/>
    </row>
    <row r="39" spans="1:26" x14ac:dyDescent="0.2">
      <c r="A39" s="98"/>
      <c r="B39" s="98"/>
      <c r="C39" s="98"/>
      <c r="D39" s="24">
        <v>6</v>
      </c>
      <c r="E39" s="24" t="s">
        <v>178</v>
      </c>
      <c r="F39" s="25" t="s">
        <v>179</v>
      </c>
      <c r="G39" s="19">
        <v>1</v>
      </c>
      <c r="H39" s="26" t="s">
        <v>180</v>
      </c>
      <c r="I39" s="27">
        <v>527</v>
      </c>
      <c r="J39" s="27">
        <v>25</v>
      </c>
      <c r="K39" s="28">
        <v>2</v>
      </c>
      <c r="L39" s="32">
        <v>4.5999999999999996</v>
      </c>
      <c r="M39" s="32">
        <v>2.6</v>
      </c>
      <c r="N39" s="30">
        <f>(J39-K39)*K39*0.02466*I39/1000</f>
        <v>0.59780772000000004</v>
      </c>
      <c r="O39" s="30">
        <v>0.59553900000000004</v>
      </c>
      <c r="P39" s="30">
        <f t="shared" ref="P39" si="12">N39-O39</f>
        <v>2.2687200000000018E-3</v>
      </c>
      <c r="Q39" s="31">
        <f>(L39*N39-M39*P39)*G39</f>
        <v>2.74401684</v>
      </c>
      <c r="R39" s="25" t="s">
        <v>98</v>
      </c>
      <c r="S39" s="19"/>
      <c r="T39" s="19">
        <v>1</v>
      </c>
      <c r="U39" s="32">
        <v>0.08</v>
      </c>
      <c r="V39" s="32">
        <f t="shared" si="9"/>
        <v>0.08</v>
      </c>
      <c r="W39" s="99"/>
      <c r="X39" s="97"/>
      <c r="Y39" s="100"/>
      <c r="Z39" s="97"/>
    </row>
    <row r="40" spans="1:26" x14ac:dyDescent="0.2">
      <c r="A40" s="98"/>
      <c r="B40" s="98"/>
      <c r="C40" s="98"/>
      <c r="D40" s="24"/>
      <c r="E40" s="24"/>
      <c r="F40" s="25"/>
      <c r="G40" s="19"/>
      <c r="H40" s="26"/>
      <c r="I40" s="27"/>
      <c r="J40" s="27"/>
      <c r="K40" s="28"/>
      <c r="L40" s="32"/>
      <c r="M40" s="32"/>
      <c r="N40" s="30"/>
      <c r="O40" s="30"/>
      <c r="P40" s="30"/>
      <c r="Q40" s="31"/>
      <c r="R40" s="25" t="s">
        <v>181</v>
      </c>
      <c r="S40" s="19"/>
      <c r="T40" s="19">
        <v>2</v>
      </c>
      <c r="U40" s="32">
        <v>0.05</v>
      </c>
      <c r="V40" s="32">
        <f t="shared" si="9"/>
        <v>0.1</v>
      </c>
      <c r="W40" s="99"/>
      <c r="X40" s="97"/>
      <c r="Y40" s="100"/>
      <c r="Z40" s="97"/>
    </row>
    <row r="41" spans="1:26" x14ac:dyDescent="0.2">
      <c r="A41" s="98"/>
      <c r="B41" s="98"/>
      <c r="C41" s="98"/>
      <c r="D41" s="24"/>
      <c r="E41" s="24"/>
      <c r="F41" s="25"/>
      <c r="G41" s="19"/>
      <c r="H41" s="26"/>
      <c r="I41" s="27"/>
      <c r="J41" s="27"/>
      <c r="K41" s="28"/>
      <c r="L41" s="32"/>
      <c r="M41" s="32"/>
      <c r="N41" s="30"/>
      <c r="O41" s="30"/>
      <c r="P41" s="30"/>
      <c r="Q41" s="31"/>
      <c r="R41" s="25" t="s">
        <v>124</v>
      </c>
      <c r="S41" s="19" t="s">
        <v>125</v>
      </c>
      <c r="T41" s="19">
        <v>2</v>
      </c>
      <c r="U41" s="32">
        <v>0.03</v>
      </c>
      <c r="V41" s="32">
        <f t="shared" si="9"/>
        <v>0.06</v>
      </c>
      <c r="W41" s="99"/>
      <c r="X41" s="97"/>
      <c r="Y41" s="100"/>
      <c r="Z41" s="97"/>
    </row>
    <row r="42" spans="1:26" x14ac:dyDescent="0.2">
      <c r="A42" s="98"/>
      <c r="B42" s="98"/>
      <c r="C42" s="98"/>
      <c r="D42" s="24">
        <v>7</v>
      </c>
      <c r="E42" s="24" t="s">
        <v>126</v>
      </c>
      <c r="F42" s="25" t="s">
        <v>127</v>
      </c>
      <c r="G42" s="19">
        <v>2</v>
      </c>
      <c r="H42" s="26" t="s">
        <v>128</v>
      </c>
      <c r="I42" s="27">
        <v>55</v>
      </c>
      <c r="J42" s="27">
        <v>19</v>
      </c>
      <c r="K42" s="28">
        <v>1.5</v>
      </c>
      <c r="L42" s="29">
        <v>4.5999999999999996</v>
      </c>
      <c r="M42" s="32">
        <v>2.6</v>
      </c>
      <c r="N42" s="30">
        <f>(J42-K42)*K42*0.02466*I42/1000</f>
        <v>3.5602875000000006E-2</v>
      </c>
      <c r="O42" s="30">
        <v>3.5602875000000006E-2</v>
      </c>
      <c r="P42" s="30">
        <f t="shared" ref="P42" si="13">N42-O42</f>
        <v>0</v>
      </c>
      <c r="Q42" s="31">
        <f>(L42*N42-M42*P42)*G42</f>
        <v>0.32754645000000004</v>
      </c>
      <c r="R42" s="25" t="s">
        <v>98</v>
      </c>
      <c r="S42" s="19"/>
      <c r="T42" s="19">
        <v>2</v>
      </c>
      <c r="U42" s="32">
        <v>0.08</v>
      </c>
      <c r="V42" s="32">
        <f t="shared" si="9"/>
        <v>0.16</v>
      </c>
      <c r="W42" s="99"/>
      <c r="X42" s="97"/>
      <c r="Y42" s="100"/>
      <c r="Z42" s="97"/>
    </row>
    <row r="43" spans="1:26" x14ac:dyDescent="0.2">
      <c r="A43" s="98"/>
      <c r="B43" s="98"/>
      <c r="C43" s="98"/>
      <c r="D43" s="24"/>
      <c r="E43" s="24"/>
      <c r="F43" s="25"/>
      <c r="G43" s="19"/>
      <c r="H43" s="26"/>
      <c r="I43" s="27"/>
      <c r="J43" s="27"/>
      <c r="K43" s="28"/>
      <c r="L43" s="32"/>
      <c r="M43" s="32"/>
      <c r="N43" s="30"/>
      <c r="O43" s="30"/>
      <c r="P43" s="30"/>
      <c r="Q43" s="31"/>
      <c r="R43" s="25" t="s">
        <v>182</v>
      </c>
      <c r="S43" s="19"/>
      <c r="T43" s="19">
        <v>4</v>
      </c>
      <c r="U43" s="32">
        <v>0.05</v>
      </c>
      <c r="V43" s="32">
        <f t="shared" si="9"/>
        <v>0.2</v>
      </c>
      <c r="W43" s="99"/>
      <c r="X43" s="97"/>
      <c r="Y43" s="100"/>
      <c r="Z43" s="97"/>
    </row>
    <row r="44" spans="1:26" x14ac:dyDescent="0.2">
      <c r="A44" s="98"/>
      <c r="B44" s="98"/>
      <c r="C44" s="98"/>
      <c r="D44" s="24">
        <v>8</v>
      </c>
      <c r="E44" s="24" t="s">
        <v>183</v>
      </c>
      <c r="F44" s="25" t="s">
        <v>184</v>
      </c>
      <c r="G44" s="19">
        <v>2</v>
      </c>
      <c r="H44" s="26" t="s">
        <v>185</v>
      </c>
      <c r="I44" s="27">
        <f>120+5</f>
        <v>125</v>
      </c>
      <c r="J44" s="27">
        <f>80+5</f>
        <v>85</v>
      </c>
      <c r="K44" s="28">
        <v>2.5</v>
      </c>
      <c r="L44" s="35">
        <v>4.8</v>
      </c>
      <c r="M44" s="29">
        <v>2.6</v>
      </c>
      <c r="N44" s="33">
        <f>I44*J44*K44*7.85/1000000</f>
        <v>0.20851562500000001</v>
      </c>
      <c r="O44" s="33">
        <v>0.18840000000000001</v>
      </c>
      <c r="P44" s="30">
        <f t="shared" ref="P44" si="14">N44-O44</f>
        <v>2.0115624999999998E-2</v>
      </c>
      <c r="Q44" s="31">
        <f>(L44*N44-M44*P44)*G44</f>
        <v>1.8971487499999999</v>
      </c>
      <c r="R44" s="25" t="s">
        <v>186</v>
      </c>
      <c r="S44" s="25" t="s">
        <v>187</v>
      </c>
      <c r="T44" s="19">
        <v>2</v>
      </c>
      <c r="U44" s="32">
        <v>0.04</v>
      </c>
      <c r="V44" s="32">
        <f t="shared" si="9"/>
        <v>0.08</v>
      </c>
      <c r="W44" s="99"/>
      <c r="X44" s="97"/>
      <c r="Y44" s="100"/>
      <c r="Z44" s="97"/>
    </row>
    <row r="45" spans="1:26" x14ac:dyDescent="0.2">
      <c r="A45" s="98"/>
      <c r="B45" s="98"/>
      <c r="C45" s="98"/>
      <c r="D45" s="24"/>
      <c r="E45" s="24"/>
      <c r="F45" s="25"/>
      <c r="G45" s="19"/>
      <c r="H45" s="26"/>
      <c r="I45" s="27"/>
      <c r="J45" s="27"/>
      <c r="K45" s="28"/>
      <c r="L45" s="35"/>
      <c r="M45" s="29"/>
      <c r="N45" s="33"/>
      <c r="O45" s="33"/>
      <c r="P45" s="30"/>
      <c r="Q45" s="31"/>
      <c r="R45" s="25" t="s">
        <v>188</v>
      </c>
      <c r="S45" s="25" t="s">
        <v>187</v>
      </c>
      <c r="T45" s="19">
        <v>2</v>
      </c>
      <c r="U45" s="32">
        <v>0.04</v>
      </c>
      <c r="V45" s="32">
        <f t="shared" si="9"/>
        <v>0.08</v>
      </c>
      <c r="W45" s="99"/>
      <c r="X45" s="97"/>
      <c r="Y45" s="100"/>
      <c r="Z45" s="97"/>
    </row>
    <row r="46" spans="1:26" x14ac:dyDescent="0.2">
      <c r="A46" s="98"/>
      <c r="B46" s="98"/>
      <c r="C46" s="98"/>
      <c r="D46" s="24"/>
      <c r="E46" s="24"/>
      <c r="F46" s="25"/>
      <c r="G46" s="19"/>
      <c r="H46" s="26"/>
      <c r="I46" s="27"/>
      <c r="J46" s="27"/>
      <c r="K46" s="28"/>
      <c r="L46" s="35"/>
      <c r="M46" s="29"/>
      <c r="N46" s="33"/>
      <c r="O46" s="33"/>
      <c r="P46" s="30"/>
      <c r="Q46" s="31"/>
      <c r="R46" s="25" t="s">
        <v>189</v>
      </c>
      <c r="S46" s="25" t="s">
        <v>187</v>
      </c>
      <c r="T46" s="19">
        <v>2</v>
      </c>
      <c r="U46" s="32">
        <v>0.04</v>
      </c>
      <c r="V46" s="32">
        <f t="shared" si="9"/>
        <v>0.08</v>
      </c>
      <c r="W46" s="99"/>
      <c r="X46" s="97"/>
      <c r="Y46" s="100"/>
      <c r="Z46" s="97"/>
    </row>
    <row r="47" spans="1:26" x14ac:dyDescent="0.2">
      <c r="A47" s="98"/>
      <c r="B47" s="98"/>
      <c r="C47" s="98"/>
      <c r="D47" s="24">
        <v>9</v>
      </c>
      <c r="E47" s="24" t="s">
        <v>190</v>
      </c>
      <c r="F47" s="34" t="s">
        <v>191</v>
      </c>
      <c r="G47" s="19">
        <v>1</v>
      </c>
      <c r="H47" s="26" t="s">
        <v>192</v>
      </c>
      <c r="I47" s="27">
        <f>135+3.2</f>
        <v>138.19999999999999</v>
      </c>
      <c r="J47" s="27">
        <f>65+3.2</f>
        <v>68.2</v>
      </c>
      <c r="K47" s="28">
        <v>1.6</v>
      </c>
      <c r="L47" s="32">
        <v>5.18</v>
      </c>
      <c r="M47" s="32">
        <v>2.6</v>
      </c>
      <c r="N47" s="33">
        <f>I47*J47*K47*7.85/1000000</f>
        <v>0.1183810144</v>
      </c>
      <c r="O47" s="33">
        <v>0.11021400000000001</v>
      </c>
      <c r="P47" s="30">
        <f t="shared" ref="P47" si="15">N47-O47</f>
        <v>8.1670143999999917E-3</v>
      </c>
      <c r="Q47" s="31">
        <f>(L47*N47-M47*P47)*G47</f>
        <v>0.59197941715199998</v>
      </c>
      <c r="R47" s="25" t="s">
        <v>193</v>
      </c>
      <c r="S47" s="25" t="s">
        <v>187</v>
      </c>
      <c r="T47" s="19">
        <v>1</v>
      </c>
      <c r="U47" s="32">
        <v>0.04</v>
      </c>
      <c r="V47" s="32">
        <f t="shared" si="9"/>
        <v>0.04</v>
      </c>
      <c r="W47" s="99"/>
      <c r="X47" s="97"/>
      <c r="Y47" s="100"/>
      <c r="Z47" s="97"/>
    </row>
    <row r="48" spans="1:26" x14ac:dyDescent="0.2">
      <c r="A48" s="98"/>
      <c r="B48" s="98"/>
      <c r="C48" s="98"/>
      <c r="D48" s="24"/>
      <c r="E48" s="24"/>
      <c r="F48" s="34"/>
      <c r="G48" s="19"/>
      <c r="H48" s="26"/>
      <c r="I48" s="27"/>
      <c r="J48" s="27"/>
      <c r="K48" s="28"/>
      <c r="L48" s="29"/>
      <c r="M48" s="29"/>
      <c r="N48" s="30"/>
      <c r="O48" s="30"/>
      <c r="P48" s="30"/>
      <c r="Q48" s="31"/>
      <c r="R48" s="25" t="s">
        <v>194</v>
      </c>
      <c r="S48" s="25" t="s">
        <v>187</v>
      </c>
      <c r="T48" s="19">
        <v>1</v>
      </c>
      <c r="U48" s="32">
        <v>0.04</v>
      </c>
      <c r="V48" s="32">
        <f t="shared" si="9"/>
        <v>0.04</v>
      </c>
      <c r="W48" s="99"/>
      <c r="X48" s="97"/>
      <c r="Y48" s="100"/>
      <c r="Z48" s="97"/>
    </row>
    <row r="49" spans="1:26" x14ac:dyDescent="0.2">
      <c r="A49" s="98"/>
      <c r="B49" s="98"/>
      <c r="C49" s="98"/>
      <c r="D49" s="24"/>
      <c r="E49" s="24"/>
      <c r="F49" s="34"/>
      <c r="G49" s="19"/>
      <c r="H49" s="26"/>
      <c r="I49" s="27"/>
      <c r="J49" s="27"/>
      <c r="K49" s="28"/>
      <c r="L49" s="29"/>
      <c r="M49" s="29"/>
      <c r="N49" s="30"/>
      <c r="O49" s="30"/>
      <c r="P49" s="30"/>
      <c r="Q49" s="31"/>
      <c r="R49" s="25" t="s">
        <v>195</v>
      </c>
      <c r="S49" s="25" t="s">
        <v>187</v>
      </c>
      <c r="T49" s="19">
        <v>1</v>
      </c>
      <c r="U49" s="32">
        <v>0.04</v>
      </c>
      <c r="V49" s="32">
        <f t="shared" si="9"/>
        <v>0.04</v>
      </c>
      <c r="W49" s="99"/>
      <c r="X49" s="97"/>
      <c r="Y49" s="100"/>
      <c r="Z49" s="97"/>
    </row>
    <row r="50" spans="1:26" x14ac:dyDescent="0.2">
      <c r="A50" s="98"/>
      <c r="B50" s="98"/>
      <c r="C50" s="98"/>
      <c r="D50" s="24">
        <v>10</v>
      </c>
      <c r="E50" s="24" t="s">
        <v>196</v>
      </c>
      <c r="F50" s="34" t="s">
        <v>197</v>
      </c>
      <c r="G50" s="19">
        <v>2</v>
      </c>
      <c r="H50" s="38"/>
      <c r="I50" s="39"/>
      <c r="J50" s="39"/>
      <c r="K50" s="40"/>
      <c r="L50" s="41">
        <v>3.3000000000000002E-2</v>
      </c>
      <c r="M50" s="42"/>
      <c r="N50" s="43"/>
      <c r="O50" s="43"/>
      <c r="P50" s="44"/>
      <c r="Q50" s="45">
        <f>G50*L50</f>
        <v>6.6000000000000003E-2</v>
      </c>
      <c r="R50" s="25"/>
      <c r="S50" s="25"/>
      <c r="T50" s="19"/>
      <c r="U50" s="32"/>
      <c r="V50" s="32">
        <f t="shared" si="9"/>
        <v>0</v>
      </c>
      <c r="W50" s="99"/>
      <c r="X50" s="97"/>
      <c r="Y50" s="100"/>
      <c r="Z50" s="97"/>
    </row>
    <row r="51" spans="1:26" x14ac:dyDescent="0.2">
      <c r="A51" s="98"/>
      <c r="B51" s="98"/>
      <c r="C51" s="98"/>
      <c r="D51" s="24">
        <v>11</v>
      </c>
      <c r="E51" s="24" t="s">
        <v>198</v>
      </c>
      <c r="F51" s="25" t="s">
        <v>199</v>
      </c>
      <c r="G51" s="19">
        <v>1</v>
      </c>
      <c r="H51" s="26" t="s">
        <v>192</v>
      </c>
      <c r="I51" s="27">
        <f>430+3.2</f>
        <v>433.2</v>
      </c>
      <c r="J51" s="27">
        <f>150+3.2</f>
        <v>153.19999999999999</v>
      </c>
      <c r="K51" s="28">
        <v>1.6</v>
      </c>
      <c r="L51" s="32">
        <v>5.18</v>
      </c>
      <c r="M51" s="32">
        <v>2.6</v>
      </c>
      <c r="N51" s="33">
        <f>I51*J51*K51*7.85/1000000</f>
        <v>0.83355997439999996</v>
      </c>
      <c r="O51" s="33">
        <v>0.81011999999999995</v>
      </c>
      <c r="P51" s="30">
        <f t="shared" ref="P51" si="16">N51-O51</f>
        <v>2.3439974400000008E-2</v>
      </c>
      <c r="Q51" s="31">
        <f>(L51*N51-M51*P51)*G51</f>
        <v>4.2568967339519999</v>
      </c>
      <c r="R51" s="25" t="s">
        <v>200</v>
      </c>
      <c r="S51" s="25" t="s">
        <v>201</v>
      </c>
      <c r="T51" s="19">
        <v>1</v>
      </c>
      <c r="U51" s="32">
        <v>0.25</v>
      </c>
      <c r="V51" s="32">
        <f t="shared" si="9"/>
        <v>0.25</v>
      </c>
      <c r="W51" s="99"/>
      <c r="X51" s="97"/>
      <c r="Y51" s="100"/>
      <c r="Z51" s="97"/>
    </row>
    <row r="52" spans="1:26" x14ac:dyDescent="0.2">
      <c r="A52" s="98"/>
      <c r="B52" s="98"/>
      <c r="C52" s="98"/>
      <c r="D52" s="24"/>
      <c r="E52" s="24"/>
      <c r="F52" s="25"/>
      <c r="G52" s="19"/>
      <c r="H52" s="26"/>
      <c r="I52" s="27"/>
      <c r="J52" s="27"/>
      <c r="K52" s="28"/>
      <c r="L52" s="29"/>
      <c r="M52" s="29"/>
      <c r="N52" s="30"/>
      <c r="O52" s="30"/>
      <c r="P52" s="30"/>
      <c r="Q52" s="31"/>
      <c r="R52" s="25" t="s">
        <v>202</v>
      </c>
      <c r="S52" s="25" t="s">
        <v>201</v>
      </c>
      <c r="T52" s="19">
        <v>1</v>
      </c>
      <c r="U52" s="32">
        <v>0.25</v>
      </c>
      <c r="V52" s="32">
        <f t="shared" si="9"/>
        <v>0.25</v>
      </c>
      <c r="W52" s="99"/>
      <c r="X52" s="97"/>
      <c r="Y52" s="100"/>
      <c r="Z52" s="97"/>
    </row>
    <row r="53" spans="1:26" x14ac:dyDescent="0.2">
      <c r="A53" s="98"/>
      <c r="B53" s="98"/>
      <c r="C53" s="98"/>
      <c r="D53" s="24"/>
      <c r="E53" s="24"/>
      <c r="F53" s="25"/>
      <c r="G53" s="19"/>
      <c r="H53" s="26"/>
      <c r="I53" s="27"/>
      <c r="J53" s="27"/>
      <c r="K53" s="28"/>
      <c r="L53" s="29"/>
      <c r="M53" s="29"/>
      <c r="N53" s="30"/>
      <c r="O53" s="30"/>
      <c r="P53" s="30"/>
      <c r="Q53" s="31"/>
      <c r="R53" s="25" t="s">
        <v>203</v>
      </c>
      <c r="S53" s="25" t="s">
        <v>204</v>
      </c>
      <c r="T53" s="19">
        <v>1</v>
      </c>
      <c r="U53" s="32">
        <v>0.15</v>
      </c>
      <c r="V53" s="32">
        <f t="shared" si="9"/>
        <v>0.15</v>
      </c>
      <c r="W53" s="99"/>
      <c r="X53" s="97"/>
      <c r="Y53" s="100"/>
      <c r="Z53" s="97"/>
    </row>
    <row r="54" spans="1:26" x14ac:dyDescent="0.2">
      <c r="A54" s="98"/>
      <c r="B54" s="98"/>
      <c r="C54" s="98"/>
      <c r="D54" s="24">
        <v>12</v>
      </c>
      <c r="E54" s="24" t="s">
        <v>205</v>
      </c>
      <c r="F54" s="25" t="s">
        <v>206</v>
      </c>
      <c r="G54" s="19">
        <v>1</v>
      </c>
      <c r="H54" s="26" t="s">
        <v>192</v>
      </c>
      <c r="I54" s="27">
        <f>420+3.2</f>
        <v>423.2</v>
      </c>
      <c r="J54" s="27">
        <f>85+3.2</f>
        <v>88.2</v>
      </c>
      <c r="K54" s="28">
        <v>1.6</v>
      </c>
      <c r="L54" s="32">
        <v>5.18</v>
      </c>
      <c r="M54" s="32">
        <v>2.6</v>
      </c>
      <c r="N54" s="33">
        <f>I54*J54*K54*7.85/1000000</f>
        <v>0.46881757439999994</v>
      </c>
      <c r="O54" s="33">
        <v>0.44839200000000001</v>
      </c>
      <c r="P54" s="30">
        <f t="shared" ref="P54" si="17">N54-O54</f>
        <v>2.0425574399999924E-2</v>
      </c>
      <c r="Q54" s="31">
        <f>(L54*N54-M54*P54)*G54</f>
        <v>2.3753685419520001</v>
      </c>
      <c r="R54" s="25" t="s">
        <v>207</v>
      </c>
      <c r="S54" s="25" t="s">
        <v>208</v>
      </c>
      <c r="T54" s="19">
        <v>1</v>
      </c>
      <c r="U54" s="32">
        <v>0.2</v>
      </c>
      <c r="V54" s="32">
        <f t="shared" si="9"/>
        <v>0.2</v>
      </c>
      <c r="W54" s="99"/>
      <c r="X54" s="97"/>
      <c r="Y54" s="100"/>
      <c r="Z54" s="97"/>
    </row>
    <row r="55" spans="1:26" x14ac:dyDescent="0.2">
      <c r="A55" s="98"/>
      <c r="B55" s="98"/>
      <c r="C55" s="98"/>
      <c r="D55" s="24"/>
      <c r="E55" s="24"/>
      <c r="F55" s="25"/>
      <c r="G55" s="19"/>
      <c r="H55" s="26"/>
      <c r="I55" s="27"/>
      <c r="J55" s="27"/>
      <c r="K55" s="28"/>
      <c r="L55" s="32"/>
      <c r="M55" s="32"/>
      <c r="N55" s="33"/>
      <c r="O55" s="33"/>
      <c r="P55" s="30"/>
      <c r="Q55" s="31"/>
      <c r="R55" s="25" t="s">
        <v>169</v>
      </c>
      <c r="S55" s="25" t="s">
        <v>208</v>
      </c>
      <c r="T55" s="19">
        <v>1</v>
      </c>
      <c r="U55" s="32">
        <v>0.2</v>
      </c>
      <c r="V55" s="32">
        <f t="shared" si="9"/>
        <v>0.2</v>
      </c>
      <c r="W55" s="99"/>
      <c r="X55" s="97"/>
      <c r="Y55" s="100"/>
      <c r="Z55" s="97"/>
    </row>
    <row r="56" spans="1:26" x14ac:dyDescent="0.2">
      <c r="A56" s="98"/>
      <c r="B56" s="98"/>
      <c r="C56" s="98"/>
      <c r="D56" s="24">
        <v>13</v>
      </c>
      <c r="E56" s="24" t="s">
        <v>209</v>
      </c>
      <c r="F56" s="25" t="s">
        <v>210</v>
      </c>
      <c r="G56" s="19">
        <v>1</v>
      </c>
      <c r="H56" s="26" t="s">
        <v>128</v>
      </c>
      <c r="I56" s="27">
        <v>362</v>
      </c>
      <c r="J56" s="27">
        <v>20</v>
      </c>
      <c r="K56" s="28">
        <v>2</v>
      </c>
      <c r="L56" s="32">
        <v>4.5999999999999996</v>
      </c>
      <c r="M56" s="32">
        <v>2.6</v>
      </c>
      <c r="N56" s="30">
        <f>(J56-K56)*K56*0.02466*I56/1000</f>
        <v>0.32136912000000006</v>
      </c>
      <c r="O56" s="30">
        <v>0.31959360000000003</v>
      </c>
      <c r="P56" s="30">
        <f t="shared" ref="P56:P57" si="18">N56-O56</f>
        <v>1.7755200000000304E-3</v>
      </c>
      <c r="Q56" s="31">
        <f>(L56*N56-M56*P56)*G56</f>
        <v>1.4736816000000001</v>
      </c>
      <c r="R56" s="25" t="s">
        <v>98</v>
      </c>
      <c r="S56" s="25"/>
      <c r="T56" s="19">
        <v>1</v>
      </c>
      <c r="U56" s="32">
        <v>0.08</v>
      </c>
      <c r="V56" s="32">
        <f t="shared" si="9"/>
        <v>0.08</v>
      </c>
      <c r="W56" s="99"/>
      <c r="X56" s="97"/>
      <c r="Y56" s="100"/>
      <c r="Z56" s="97"/>
    </row>
    <row r="57" spans="1:26" x14ac:dyDescent="0.2">
      <c r="A57" s="98"/>
      <c r="B57" s="98"/>
      <c r="C57" s="98"/>
      <c r="D57" s="24">
        <v>14</v>
      </c>
      <c r="E57" s="24" t="s">
        <v>211</v>
      </c>
      <c r="F57" s="25" t="s">
        <v>212</v>
      </c>
      <c r="G57" s="19">
        <v>2</v>
      </c>
      <c r="H57" s="25" t="s">
        <v>213</v>
      </c>
      <c r="I57" s="27">
        <v>22</v>
      </c>
      <c r="J57" s="27">
        <v>25.8</v>
      </c>
      <c r="K57" s="28">
        <v>2</v>
      </c>
      <c r="L57" s="19">
        <v>5</v>
      </c>
      <c r="M57" s="32">
        <v>2.6</v>
      </c>
      <c r="N57" s="30">
        <f>(J57-K57)*K57*0.02466*I57/1000</f>
        <v>2.5823952000000004E-2</v>
      </c>
      <c r="O57" s="30">
        <v>2.3476320000000005E-2</v>
      </c>
      <c r="P57" s="30">
        <f t="shared" si="18"/>
        <v>2.3476319999999988E-3</v>
      </c>
      <c r="Q57" s="31">
        <f>(L57*N57-M57*P57)*G57</f>
        <v>0.24603183360000005</v>
      </c>
      <c r="R57" s="25" t="s">
        <v>214</v>
      </c>
      <c r="S57" s="25"/>
      <c r="T57" s="19">
        <v>1</v>
      </c>
      <c r="U57" s="32">
        <v>0.1</v>
      </c>
      <c r="V57" s="32">
        <v>0.2</v>
      </c>
      <c r="W57" s="99"/>
      <c r="X57" s="97"/>
      <c r="Y57" s="100"/>
      <c r="Z57" s="97"/>
    </row>
    <row r="58" spans="1:26" x14ac:dyDescent="0.2">
      <c r="A58" s="98"/>
      <c r="B58" s="98"/>
      <c r="C58" s="98"/>
      <c r="D58" s="24">
        <v>15</v>
      </c>
      <c r="E58" s="24" t="s">
        <v>215</v>
      </c>
      <c r="F58" s="25" t="s">
        <v>216</v>
      </c>
      <c r="G58" s="19">
        <v>1</v>
      </c>
      <c r="H58" s="25" t="s">
        <v>213</v>
      </c>
      <c r="I58" s="27">
        <v>350</v>
      </c>
      <c r="J58" s="27">
        <v>6</v>
      </c>
      <c r="K58" s="28"/>
      <c r="L58" s="32">
        <f>9/1.13</f>
        <v>7.9646017699115053</v>
      </c>
      <c r="M58" s="32"/>
      <c r="N58" s="30">
        <f>J58*J58*0.00617*I58/1000</f>
        <v>7.7742000000000006E-2</v>
      </c>
      <c r="O58" s="30"/>
      <c r="P58" s="30"/>
      <c r="Q58" s="31">
        <f>(L58*N58-M58*P58)*G58</f>
        <v>0.61918407079646032</v>
      </c>
      <c r="R58" s="25" t="s">
        <v>217</v>
      </c>
      <c r="S58" s="25"/>
      <c r="T58" s="19">
        <f>4*2.5+2*3*1+6*1.5+4*0.5+4*1+4*0.5+4*3*1+2*3*1</f>
        <v>51</v>
      </c>
      <c r="U58" s="32">
        <v>0.05</v>
      </c>
      <c r="V58" s="32">
        <f t="shared" ref="V58:V60" si="19">T58*U58</f>
        <v>2.5500000000000003</v>
      </c>
      <c r="W58" s="99"/>
      <c r="X58" s="97"/>
      <c r="Y58" s="100"/>
      <c r="Z58" s="97"/>
    </row>
    <row r="59" spans="1:26" x14ac:dyDescent="0.2">
      <c r="A59" s="98"/>
      <c r="B59" s="98"/>
      <c r="C59" s="98"/>
      <c r="D59" s="24"/>
      <c r="E59" s="24"/>
      <c r="F59" s="25"/>
      <c r="G59" s="19"/>
      <c r="H59" s="25"/>
      <c r="I59" s="27"/>
      <c r="J59" s="27"/>
      <c r="K59" s="28"/>
      <c r="L59" s="32"/>
      <c r="M59" s="32"/>
      <c r="N59" s="30"/>
      <c r="O59" s="30"/>
      <c r="P59" s="30"/>
      <c r="Q59" s="31"/>
      <c r="R59" s="25" t="s">
        <v>218</v>
      </c>
      <c r="S59" s="25"/>
      <c r="T59" s="19">
        <v>1</v>
      </c>
      <c r="U59" s="32">
        <v>0.5</v>
      </c>
      <c r="V59" s="32">
        <f t="shared" si="19"/>
        <v>0.5</v>
      </c>
      <c r="W59" s="99"/>
      <c r="X59" s="97"/>
      <c r="Y59" s="100"/>
      <c r="Z59" s="97"/>
    </row>
    <row r="60" spans="1:26" x14ac:dyDescent="0.2">
      <c r="A60" s="98"/>
      <c r="B60" s="98"/>
      <c r="C60" s="98"/>
      <c r="D60" s="24"/>
      <c r="E60" s="24"/>
      <c r="F60" s="25"/>
      <c r="G60" s="19"/>
      <c r="H60" s="25"/>
      <c r="I60" s="27"/>
      <c r="J60" s="27"/>
      <c r="K60" s="28"/>
      <c r="L60" s="32"/>
      <c r="M60" s="32"/>
      <c r="N60" s="30"/>
      <c r="O60" s="30"/>
      <c r="P60" s="30"/>
      <c r="Q60" s="31"/>
      <c r="R60" s="25" t="s">
        <v>219</v>
      </c>
      <c r="S60" s="25"/>
      <c r="T60" s="19">
        <f>0.4745*0.359*2*0.3</f>
        <v>0.10220729999999999</v>
      </c>
      <c r="U60" s="32">
        <v>15</v>
      </c>
      <c r="V60" s="32">
        <f t="shared" si="19"/>
        <v>1.5331094999999999</v>
      </c>
      <c r="W60" s="99"/>
      <c r="X60" s="97"/>
      <c r="Y60" s="100"/>
      <c r="Z60" s="97"/>
    </row>
    <row r="61" spans="1:26" x14ac:dyDescent="0.2">
      <c r="A61" s="98"/>
      <c r="B61" s="98"/>
      <c r="C61" s="98"/>
      <c r="D61" s="24"/>
      <c r="E61" s="24"/>
      <c r="F61" s="25" t="s">
        <v>158</v>
      </c>
      <c r="G61" s="19"/>
      <c r="H61" s="25"/>
      <c r="I61" s="27"/>
      <c r="J61" s="27"/>
      <c r="K61" s="28"/>
      <c r="L61" s="32"/>
      <c r="M61" s="32"/>
      <c r="N61" s="30"/>
      <c r="O61" s="30"/>
      <c r="P61" s="30"/>
      <c r="Q61" s="31">
        <f>SUM(Q31:Q60)</f>
        <v>20.391399457364955</v>
      </c>
      <c r="R61" s="25"/>
      <c r="S61" s="25"/>
      <c r="T61" s="19"/>
      <c r="U61" s="32"/>
      <c r="V61" s="32">
        <f>SUM(V31:V60)</f>
        <v>7.743109500000001</v>
      </c>
      <c r="W61" s="99"/>
      <c r="X61" s="97">
        <f>SUM(Q61:W61)</f>
        <v>28.134508957364957</v>
      </c>
      <c r="Y61" s="36">
        <v>1.19</v>
      </c>
      <c r="Z61" s="97"/>
    </row>
    <row r="62" spans="1:26" ht="14.25" customHeight="1" x14ac:dyDescent="0.2">
      <c r="A62" s="98">
        <v>3</v>
      </c>
      <c r="B62" s="98" t="s">
        <v>220</v>
      </c>
      <c r="C62" s="98" t="s">
        <v>221</v>
      </c>
      <c r="D62" s="24">
        <v>1</v>
      </c>
      <c r="E62" s="24" t="s">
        <v>222</v>
      </c>
      <c r="F62" s="25" t="s">
        <v>223</v>
      </c>
      <c r="G62" s="19">
        <v>1</v>
      </c>
      <c r="H62" s="26" t="s">
        <v>224</v>
      </c>
      <c r="I62" s="27">
        <f>170+6</f>
        <v>176</v>
      </c>
      <c r="J62" s="27">
        <f>140+6</f>
        <v>146</v>
      </c>
      <c r="K62" s="28">
        <v>3</v>
      </c>
      <c r="L62" s="29">
        <v>4.8</v>
      </c>
      <c r="M62" s="29">
        <v>2.6</v>
      </c>
      <c r="N62" s="33">
        <f>I62*J62*K62*7.85/1000000</f>
        <v>0.60514079999999992</v>
      </c>
      <c r="O62" s="33">
        <v>0.56049000000000004</v>
      </c>
      <c r="P62" s="30">
        <f t="shared" ref="P62" si="20">N62-O62</f>
        <v>4.4650799999999879E-2</v>
      </c>
      <c r="Q62" s="31">
        <f>(L62*N62-M62*P62)*G62</f>
        <v>2.7885837599999999</v>
      </c>
      <c r="R62" s="25" t="s">
        <v>225</v>
      </c>
      <c r="S62" s="19" t="s">
        <v>226</v>
      </c>
      <c r="T62" s="19">
        <v>1</v>
      </c>
      <c r="U62" s="32">
        <v>7.0000000000000007E-2</v>
      </c>
      <c r="V62" s="32">
        <f t="shared" ref="V62:V94" si="21">T62*U62</f>
        <v>7.0000000000000007E-2</v>
      </c>
      <c r="W62" s="99">
        <v>1.1200000000000001</v>
      </c>
      <c r="X62" s="97">
        <f>W62*(Q95+V95-Q84-Q85)+(Q84+Q85)*1.03</f>
        <v>53.268412333387609</v>
      </c>
      <c r="Y62" s="100" t="s">
        <v>227</v>
      </c>
      <c r="Z62" s="97">
        <f>X62+Y95</f>
        <v>60.408412333387609</v>
      </c>
    </row>
    <row r="63" spans="1:26" x14ac:dyDescent="0.2">
      <c r="A63" s="98"/>
      <c r="B63" s="98"/>
      <c r="C63" s="98"/>
      <c r="D63" s="24"/>
      <c r="E63" s="24"/>
      <c r="F63" s="25"/>
      <c r="G63" s="19"/>
      <c r="H63" s="26"/>
      <c r="I63" s="27"/>
      <c r="J63" s="27"/>
      <c r="K63" s="28"/>
      <c r="L63" s="29"/>
      <c r="M63" s="29"/>
      <c r="N63" s="33"/>
      <c r="O63" s="33"/>
      <c r="P63" s="30"/>
      <c r="Q63" s="31"/>
      <c r="R63" s="25" t="s">
        <v>228</v>
      </c>
      <c r="S63" s="19" t="s">
        <v>229</v>
      </c>
      <c r="T63" s="19">
        <v>1</v>
      </c>
      <c r="U63" s="32">
        <v>0.05</v>
      </c>
      <c r="V63" s="32">
        <f t="shared" si="21"/>
        <v>0.05</v>
      </c>
      <c r="W63" s="99"/>
      <c r="X63" s="97"/>
      <c r="Y63" s="100"/>
      <c r="Z63" s="97"/>
    </row>
    <row r="64" spans="1:26" x14ac:dyDescent="0.2">
      <c r="A64" s="98"/>
      <c r="B64" s="98"/>
      <c r="C64" s="98"/>
      <c r="D64" s="24">
        <v>2</v>
      </c>
      <c r="E64" s="24" t="s">
        <v>230</v>
      </c>
      <c r="F64" s="25" t="s">
        <v>231</v>
      </c>
      <c r="G64" s="19">
        <v>1</v>
      </c>
      <c r="H64" s="26" t="s">
        <v>213</v>
      </c>
      <c r="I64" s="27">
        <f>170+6</f>
        <v>176</v>
      </c>
      <c r="J64" s="27">
        <f>140+6</f>
        <v>146</v>
      </c>
      <c r="K64" s="28">
        <v>3</v>
      </c>
      <c r="L64" s="29">
        <v>4.8</v>
      </c>
      <c r="M64" s="29">
        <v>2.6</v>
      </c>
      <c r="N64" s="33">
        <f>I64*J64*K64*7.85/1000000</f>
        <v>0.60514079999999992</v>
      </c>
      <c r="O64" s="33">
        <v>0.56049000000000004</v>
      </c>
      <c r="P64" s="30">
        <f t="shared" ref="P64" si="22">N64-O64</f>
        <v>4.4650799999999879E-2</v>
      </c>
      <c r="Q64" s="31">
        <f>(L64*N64-M64*P64)*G64</f>
        <v>2.7885837599999999</v>
      </c>
      <c r="R64" s="25" t="s">
        <v>145</v>
      </c>
      <c r="S64" s="19" t="s">
        <v>232</v>
      </c>
      <c r="T64" s="19">
        <v>1</v>
      </c>
      <c r="U64" s="32">
        <v>7.0000000000000007E-2</v>
      </c>
      <c r="V64" s="32">
        <f t="shared" si="21"/>
        <v>7.0000000000000007E-2</v>
      </c>
      <c r="W64" s="99"/>
      <c r="X64" s="97"/>
      <c r="Y64" s="100"/>
      <c r="Z64" s="97"/>
    </row>
    <row r="65" spans="1:26" x14ac:dyDescent="0.2">
      <c r="A65" s="98"/>
      <c r="B65" s="98"/>
      <c r="C65" s="98"/>
      <c r="D65" s="24"/>
      <c r="E65" s="24"/>
      <c r="F65" s="25"/>
      <c r="G65" s="19"/>
      <c r="H65" s="26"/>
      <c r="I65" s="27"/>
      <c r="J65" s="27"/>
      <c r="K65" s="28"/>
      <c r="L65" s="32"/>
      <c r="M65" s="32"/>
      <c r="N65" s="30"/>
      <c r="O65" s="30"/>
      <c r="P65" s="30"/>
      <c r="Q65" s="31"/>
      <c r="R65" s="25" t="s">
        <v>124</v>
      </c>
      <c r="S65" s="19" t="s">
        <v>233</v>
      </c>
      <c r="T65" s="19">
        <v>1</v>
      </c>
      <c r="U65" s="32">
        <v>0.05</v>
      </c>
      <c r="V65" s="32">
        <f t="shared" si="21"/>
        <v>0.05</v>
      </c>
      <c r="W65" s="99"/>
      <c r="X65" s="97"/>
      <c r="Y65" s="100"/>
      <c r="Z65" s="97"/>
    </row>
    <row r="66" spans="1:26" x14ac:dyDescent="0.2">
      <c r="A66" s="98"/>
      <c r="B66" s="98"/>
      <c r="C66" s="98"/>
      <c r="D66" s="24">
        <v>3</v>
      </c>
      <c r="E66" s="24" t="s">
        <v>234</v>
      </c>
      <c r="F66" s="25" t="s">
        <v>235</v>
      </c>
      <c r="G66" s="19">
        <v>1</v>
      </c>
      <c r="H66" s="26" t="s">
        <v>128</v>
      </c>
      <c r="I66" s="27">
        <f>720+30+30+2</f>
        <v>782</v>
      </c>
      <c r="J66" s="27">
        <v>8</v>
      </c>
      <c r="K66" s="28">
        <v>1</v>
      </c>
      <c r="L66" s="32">
        <v>4.5999999999999996</v>
      </c>
      <c r="M66" s="32">
        <v>2.6</v>
      </c>
      <c r="N66" s="30">
        <f>(J66-K66)*K66*0.02466*I66/1000</f>
        <v>0.13498884</v>
      </c>
      <c r="O66" s="30">
        <v>0.1346436</v>
      </c>
      <c r="P66" s="30">
        <f t="shared" ref="P66" si="23">N66-O66</f>
        <v>3.4523999999999666E-4</v>
      </c>
      <c r="Q66" s="31">
        <f>(L66*N66-M66*P66)*G66</f>
        <v>0.62005103999999989</v>
      </c>
      <c r="R66" s="25" t="s">
        <v>236</v>
      </c>
      <c r="S66" s="25"/>
      <c r="T66" s="19">
        <v>1</v>
      </c>
      <c r="U66" s="32">
        <v>0.08</v>
      </c>
      <c r="V66" s="32">
        <f t="shared" si="21"/>
        <v>0.08</v>
      </c>
      <c r="W66" s="99"/>
      <c r="X66" s="97"/>
      <c r="Y66" s="100"/>
      <c r="Z66" s="97"/>
    </row>
    <row r="67" spans="1:26" x14ac:dyDescent="0.2">
      <c r="A67" s="98"/>
      <c r="B67" s="98"/>
      <c r="C67" s="98"/>
      <c r="D67" s="24"/>
      <c r="E67" s="24"/>
      <c r="F67" s="25"/>
      <c r="G67" s="19"/>
      <c r="H67" s="26"/>
      <c r="I67" s="27"/>
      <c r="J67" s="27"/>
      <c r="K67" s="28"/>
      <c r="L67" s="32"/>
      <c r="M67" s="32"/>
      <c r="N67" s="30"/>
      <c r="O67" s="30"/>
      <c r="P67" s="30"/>
      <c r="Q67" s="31"/>
      <c r="R67" s="25" t="s">
        <v>237</v>
      </c>
      <c r="S67" s="25"/>
      <c r="T67" s="19">
        <v>2</v>
      </c>
      <c r="U67" s="32">
        <v>0.05</v>
      </c>
      <c r="V67" s="32">
        <f t="shared" si="21"/>
        <v>0.1</v>
      </c>
      <c r="W67" s="99"/>
      <c r="X67" s="97"/>
      <c r="Y67" s="100"/>
      <c r="Z67" s="97"/>
    </row>
    <row r="68" spans="1:26" x14ac:dyDescent="0.2">
      <c r="A68" s="98"/>
      <c r="B68" s="98"/>
      <c r="C68" s="98"/>
      <c r="D68" s="24">
        <v>4</v>
      </c>
      <c r="E68" s="24" t="s">
        <v>238</v>
      </c>
      <c r="F68" s="34" t="s">
        <v>239</v>
      </c>
      <c r="G68" s="19">
        <v>1</v>
      </c>
      <c r="H68" s="26" t="s">
        <v>149</v>
      </c>
      <c r="I68" s="27">
        <f>144+6</f>
        <v>150</v>
      </c>
      <c r="J68" s="27">
        <f>90+6</f>
        <v>96</v>
      </c>
      <c r="K68" s="28">
        <v>3</v>
      </c>
      <c r="L68" s="29">
        <v>5.18</v>
      </c>
      <c r="M68" s="29">
        <v>2.6</v>
      </c>
      <c r="N68" s="33">
        <f>I68*J68*K68*7.85/1000000</f>
        <v>0.33911999999999998</v>
      </c>
      <c r="O68" s="33">
        <v>0.30520799999999998</v>
      </c>
      <c r="P68" s="30">
        <f t="shared" ref="P68" si="24">N68-O68</f>
        <v>3.3911999999999998E-2</v>
      </c>
      <c r="Q68" s="31">
        <f>(L68*N68-M68*P68)*G68</f>
        <v>1.6684703999999999</v>
      </c>
      <c r="R68" s="25" t="s">
        <v>225</v>
      </c>
      <c r="S68" s="19" t="s">
        <v>226</v>
      </c>
      <c r="T68" s="19">
        <v>1</v>
      </c>
      <c r="U68" s="32">
        <v>7.0000000000000007E-2</v>
      </c>
      <c r="V68" s="32">
        <f t="shared" si="21"/>
        <v>7.0000000000000007E-2</v>
      </c>
      <c r="W68" s="99"/>
      <c r="X68" s="97"/>
      <c r="Y68" s="100"/>
      <c r="Z68" s="97"/>
    </row>
    <row r="69" spans="1:26" x14ac:dyDescent="0.2">
      <c r="A69" s="98"/>
      <c r="B69" s="98"/>
      <c r="C69" s="98"/>
      <c r="D69" s="24"/>
      <c r="E69" s="24"/>
      <c r="F69" s="34"/>
      <c r="G69" s="19"/>
      <c r="H69" s="26"/>
      <c r="I69" s="27"/>
      <c r="J69" s="27"/>
      <c r="K69" s="28"/>
      <c r="L69" s="29"/>
      <c r="M69" s="29"/>
      <c r="N69" s="30"/>
      <c r="O69" s="30"/>
      <c r="P69" s="30"/>
      <c r="Q69" s="31"/>
      <c r="R69" s="25" t="s">
        <v>202</v>
      </c>
      <c r="S69" s="19" t="s">
        <v>226</v>
      </c>
      <c r="T69" s="19">
        <v>1</v>
      </c>
      <c r="U69" s="32">
        <v>7.0000000000000007E-2</v>
      </c>
      <c r="V69" s="32">
        <f t="shared" si="21"/>
        <v>7.0000000000000007E-2</v>
      </c>
      <c r="W69" s="99"/>
      <c r="X69" s="97"/>
      <c r="Y69" s="100"/>
      <c r="Z69" s="97"/>
    </row>
    <row r="70" spans="1:26" x14ac:dyDescent="0.2">
      <c r="A70" s="98"/>
      <c r="B70" s="98"/>
      <c r="C70" s="98"/>
      <c r="D70" s="24">
        <v>5</v>
      </c>
      <c r="E70" s="24" t="s">
        <v>240</v>
      </c>
      <c r="F70" s="34" t="s">
        <v>241</v>
      </c>
      <c r="G70" s="19">
        <v>1</v>
      </c>
      <c r="H70" s="26" t="s">
        <v>213</v>
      </c>
      <c r="I70" s="27">
        <f>100+6</f>
        <v>106</v>
      </c>
      <c r="J70" s="27">
        <f>47+6</f>
        <v>53</v>
      </c>
      <c r="K70" s="28">
        <v>3</v>
      </c>
      <c r="L70" s="29">
        <v>4.8</v>
      </c>
      <c r="M70" s="29">
        <v>2.6</v>
      </c>
      <c r="N70" s="33">
        <f>I70*J70*K70*7.85/1000000</f>
        <v>0.1323039</v>
      </c>
      <c r="O70" s="33">
        <v>0.11068500000000001</v>
      </c>
      <c r="P70" s="30">
        <f t="shared" ref="P70" si="25">N70-O70</f>
        <v>2.1618899999999996E-2</v>
      </c>
      <c r="Q70" s="31">
        <f>(L70*N70-M70*P70)*G70</f>
        <v>0.57884957999999997</v>
      </c>
      <c r="R70" s="25" t="s">
        <v>167</v>
      </c>
      <c r="S70" s="19" t="s">
        <v>233</v>
      </c>
      <c r="T70" s="19">
        <v>1</v>
      </c>
      <c r="U70" s="32">
        <v>0.05</v>
      </c>
      <c r="V70" s="32">
        <f t="shared" si="21"/>
        <v>0.05</v>
      </c>
      <c r="W70" s="99"/>
      <c r="X70" s="97"/>
      <c r="Y70" s="100"/>
      <c r="Z70" s="97"/>
    </row>
    <row r="71" spans="1:26" x14ac:dyDescent="0.2">
      <c r="A71" s="98"/>
      <c r="B71" s="98"/>
      <c r="C71" s="98"/>
      <c r="D71" s="24"/>
      <c r="E71" s="24"/>
      <c r="F71" s="34"/>
      <c r="G71" s="19"/>
      <c r="H71" s="26"/>
      <c r="I71" s="27"/>
      <c r="J71" s="27"/>
      <c r="K71" s="28"/>
      <c r="L71" s="32"/>
      <c r="M71" s="32"/>
      <c r="N71" s="30"/>
      <c r="O71" s="30"/>
      <c r="P71" s="30"/>
      <c r="Q71" s="31"/>
      <c r="R71" s="25" t="s">
        <v>169</v>
      </c>
      <c r="S71" s="19" t="s">
        <v>233</v>
      </c>
      <c r="T71" s="19">
        <v>1</v>
      </c>
      <c r="U71" s="32">
        <v>0.05</v>
      </c>
      <c r="V71" s="32">
        <f t="shared" si="21"/>
        <v>0.05</v>
      </c>
      <c r="W71" s="99"/>
      <c r="X71" s="97"/>
      <c r="Y71" s="100"/>
      <c r="Z71" s="97"/>
    </row>
    <row r="72" spans="1:26" x14ac:dyDescent="0.2">
      <c r="A72" s="98"/>
      <c r="B72" s="98"/>
      <c r="C72" s="98"/>
      <c r="D72" s="24">
        <v>6</v>
      </c>
      <c r="E72" s="24" t="s">
        <v>242</v>
      </c>
      <c r="F72" s="34" t="s">
        <v>243</v>
      </c>
      <c r="G72" s="19">
        <v>1</v>
      </c>
      <c r="H72" s="26" t="s">
        <v>141</v>
      </c>
      <c r="I72" s="27">
        <f>100+6</f>
        <v>106</v>
      </c>
      <c r="J72" s="27">
        <f>60+6</f>
        <v>66</v>
      </c>
      <c r="K72" s="28">
        <v>3</v>
      </c>
      <c r="L72" s="29">
        <v>4.8</v>
      </c>
      <c r="M72" s="29">
        <v>2.6</v>
      </c>
      <c r="N72" s="33">
        <f>I72*J72*K72*7.85/1000000</f>
        <v>0.16475579999999998</v>
      </c>
      <c r="O72" s="33">
        <v>0.14130000000000001</v>
      </c>
      <c r="P72" s="30">
        <f t="shared" ref="P72" si="26">N72-O72</f>
        <v>2.3455799999999971E-2</v>
      </c>
      <c r="Q72" s="31">
        <f>(L72*N72-M72*P72)*G72</f>
        <v>0.72984275999999992</v>
      </c>
      <c r="R72" s="25" t="s">
        <v>225</v>
      </c>
      <c r="S72" s="19" t="s">
        <v>229</v>
      </c>
      <c r="T72" s="19">
        <v>1</v>
      </c>
      <c r="U72" s="32">
        <v>0.05</v>
      </c>
      <c r="V72" s="32">
        <f t="shared" si="21"/>
        <v>0.05</v>
      </c>
      <c r="W72" s="99"/>
      <c r="X72" s="97"/>
      <c r="Y72" s="100"/>
      <c r="Z72" s="97"/>
    </row>
    <row r="73" spans="1:26" x14ac:dyDescent="0.2">
      <c r="A73" s="98"/>
      <c r="B73" s="98"/>
      <c r="C73" s="98"/>
      <c r="D73" s="24"/>
      <c r="E73" s="24"/>
      <c r="F73" s="34"/>
      <c r="G73" s="19"/>
      <c r="H73" s="26"/>
      <c r="I73" s="27"/>
      <c r="J73" s="27"/>
      <c r="K73" s="28"/>
      <c r="L73" s="32"/>
      <c r="M73" s="32"/>
      <c r="N73" s="30"/>
      <c r="O73" s="30"/>
      <c r="P73" s="30"/>
      <c r="Q73" s="31"/>
      <c r="R73" s="25" t="s">
        <v>202</v>
      </c>
      <c r="S73" s="19" t="s">
        <v>229</v>
      </c>
      <c r="T73" s="19">
        <v>1</v>
      </c>
      <c r="U73" s="32">
        <v>0.05</v>
      </c>
      <c r="V73" s="32">
        <f t="shared" si="21"/>
        <v>0.05</v>
      </c>
      <c r="W73" s="99"/>
      <c r="X73" s="97"/>
      <c r="Y73" s="100"/>
      <c r="Z73" s="97"/>
    </row>
    <row r="74" spans="1:26" x14ac:dyDescent="0.2">
      <c r="A74" s="98"/>
      <c r="B74" s="98"/>
      <c r="C74" s="98"/>
      <c r="D74" s="24">
        <v>7</v>
      </c>
      <c r="E74" s="24" t="s">
        <v>244</v>
      </c>
      <c r="F74" s="25" t="s">
        <v>245</v>
      </c>
      <c r="G74" s="19">
        <v>2</v>
      </c>
      <c r="H74" s="26" t="s">
        <v>180</v>
      </c>
      <c r="I74" s="27">
        <f>400+2</f>
        <v>402</v>
      </c>
      <c r="J74" s="27">
        <v>19</v>
      </c>
      <c r="K74" s="28">
        <v>2</v>
      </c>
      <c r="L74" s="32">
        <v>4.5999999999999996</v>
      </c>
      <c r="M74" s="32">
        <v>2.6</v>
      </c>
      <c r="N74" s="30">
        <f>(J74-K74)*K74*0.02466*I74/1000</f>
        <v>0.33705288</v>
      </c>
      <c r="O74" s="30">
        <v>0.33537600000000001</v>
      </c>
      <c r="P74" s="30">
        <f t="shared" ref="P74" si="27">N74-O74</f>
        <v>1.6768799999999917E-3</v>
      </c>
      <c r="Q74" s="31">
        <f>(L74*N74-M74*P74)*G74</f>
        <v>3.0921667199999998</v>
      </c>
      <c r="R74" s="25" t="s">
        <v>246</v>
      </c>
      <c r="S74" s="25"/>
      <c r="T74" s="19">
        <v>1</v>
      </c>
      <c r="U74" s="32">
        <v>0.08</v>
      </c>
      <c r="V74" s="32">
        <f t="shared" si="21"/>
        <v>0.08</v>
      </c>
      <c r="W74" s="99"/>
      <c r="X74" s="97"/>
      <c r="Y74" s="100"/>
      <c r="Z74" s="97"/>
    </row>
    <row r="75" spans="1:26" x14ac:dyDescent="0.2">
      <c r="A75" s="98"/>
      <c r="B75" s="98"/>
      <c r="C75" s="98"/>
      <c r="D75" s="24"/>
      <c r="E75" s="24"/>
      <c r="F75" s="25"/>
      <c r="G75" s="19"/>
      <c r="H75" s="26"/>
      <c r="I75" s="27"/>
      <c r="J75" s="27"/>
      <c r="K75" s="28"/>
      <c r="L75" s="32"/>
      <c r="M75" s="32"/>
      <c r="N75" s="30"/>
      <c r="O75" s="30"/>
      <c r="P75" s="30"/>
      <c r="Q75" s="31"/>
      <c r="R75" s="25" t="s">
        <v>247</v>
      </c>
      <c r="S75" s="25"/>
      <c r="T75" s="19">
        <v>1</v>
      </c>
      <c r="U75" s="32">
        <v>0.05</v>
      </c>
      <c r="V75" s="32">
        <f t="shared" si="21"/>
        <v>0.05</v>
      </c>
      <c r="W75" s="99"/>
      <c r="X75" s="97"/>
      <c r="Y75" s="100"/>
      <c r="Z75" s="97"/>
    </row>
    <row r="76" spans="1:26" x14ac:dyDescent="0.2">
      <c r="A76" s="98"/>
      <c r="B76" s="98"/>
      <c r="C76" s="98"/>
      <c r="D76" s="24"/>
      <c r="E76" s="24"/>
      <c r="F76" s="25"/>
      <c r="G76" s="19"/>
      <c r="H76" s="26"/>
      <c r="I76" s="27"/>
      <c r="J76" s="27"/>
      <c r="K76" s="28"/>
      <c r="L76" s="32"/>
      <c r="M76" s="32"/>
      <c r="N76" s="30"/>
      <c r="O76" s="30"/>
      <c r="P76" s="30"/>
      <c r="Q76" s="31"/>
      <c r="R76" s="25" t="s">
        <v>248</v>
      </c>
      <c r="S76" s="25" t="s">
        <v>249</v>
      </c>
      <c r="T76" s="19">
        <v>1</v>
      </c>
      <c r="U76" s="32">
        <v>0.03</v>
      </c>
      <c r="V76" s="32">
        <f t="shared" si="21"/>
        <v>0.03</v>
      </c>
      <c r="W76" s="99"/>
      <c r="X76" s="97"/>
      <c r="Y76" s="100"/>
      <c r="Z76" s="97"/>
    </row>
    <row r="77" spans="1:26" x14ac:dyDescent="0.2">
      <c r="A77" s="98"/>
      <c r="B77" s="98"/>
      <c r="C77" s="98"/>
      <c r="D77" s="24">
        <v>8</v>
      </c>
      <c r="E77" s="24" t="s">
        <v>250</v>
      </c>
      <c r="F77" s="25" t="s">
        <v>251</v>
      </c>
      <c r="G77" s="19">
        <v>1</v>
      </c>
      <c r="H77" s="26" t="s">
        <v>252</v>
      </c>
      <c r="I77" s="27">
        <f>1800+2</f>
        <v>1802</v>
      </c>
      <c r="J77" s="27">
        <v>25</v>
      </c>
      <c r="K77" s="28">
        <v>2</v>
      </c>
      <c r="L77" s="32">
        <v>4.5999999999999996</v>
      </c>
      <c r="M77" s="32">
        <v>2.6</v>
      </c>
      <c r="N77" s="30">
        <f>(J77-K77)*K77*0.02466*I77/1000</f>
        <v>2.0441167199999999</v>
      </c>
      <c r="O77" s="30">
        <v>2.0418479999999999</v>
      </c>
      <c r="P77" s="30">
        <f t="shared" ref="P77" si="28">N77-O77</f>
        <v>2.2687200000000018E-3</v>
      </c>
      <c r="Q77" s="31">
        <f>(L77*N77-M77*P77)*G77</f>
        <v>9.3970382399999988</v>
      </c>
      <c r="R77" s="25" t="s">
        <v>236</v>
      </c>
      <c r="S77" s="25"/>
      <c r="T77" s="19">
        <v>1</v>
      </c>
      <c r="U77" s="32">
        <v>0.08</v>
      </c>
      <c r="V77" s="32">
        <f t="shared" si="21"/>
        <v>0.08</v>
      </c>
      <c r="W77" s="99"/>
      <c r="X77" s="97"/>
      <c r="Y77" s="100"/>
      <c r="Z77" s="97"/>
    </row>
    <row r="78" spans="1:26" x14ac:dyDescent="0.2">
      <c r="A78" s="98"/>
      <c r="B78" s="98"/>
      <c r="C78" s="98"/>
      <c r="D78" s="24"/>
      <c r="E78" s="24"/>
      <c r="F78" s="25"/>
      <c r="G78" s="19"/>
      <c r="H78" s="26"/>
      <c r="I78" s="27"/>
      <c r="J78" s="27"/>
      <c r="K78" s="28"/>
      <c r="L78" s="32"/>
      <c r="M78" s="32"/>
      <c r="N78" s="30"/>
      <c r="O78" s="30"/>
      <c r="P78" s="30"/>
      <c r="Q78" s="31"/>
      <c r="R78" s="25" t="s">
        <v>237</v>
      </c>
      <c r="S78" s="25"/>
      <c r="T78" s="19">
        <v>2</v>
      </c>
      <c r="U78" s="32">
        <v>0.05</v>
      </c>
      <c r="V78" s="32">
        <f t="shared" si="21"/>
        <v>0.1</v>
      </c>
      <c r="W78" s="99"/>
      <c r="X78" s="97"/>
      <c r="Y78" s="100"/>
      <c r="Z78" s="97"/>
    </row>
    <row r="79" spans="1:26" x14ac:dyDescent="0.2">
      <c r="A79" s="98"/>
      <c r="B79" s="98"/>
      <c r="C79" s="98"/>
      <c r="D79" s="24"/>
      <c r="E79" s="24"/>
      <c r="F79" s="25"/>
      <c r="G79" s="19"/>
      <c r="H79" s="26"/>
      <c r="I79" s="27"/>
      <c r="J79" s="27"/>
      <c r="K79" s="28"/>
      <c r="L79" s="32"/>
      <c r="M79" s="32"/>
      <c r="N79" s="30"/>
      <c r="O79" s="30"/>
      <c r="P79" s="30"/>
      <c r="Q79" s="31"/>
      <c r="R79" s="25" t="s">
        <v>124</v>
      </c>
      <c r="S79" s="25" t="s">
        <v>125</v>
      </c>
      <c r="T79" s="19">
        <v>4</v>
      </c>
      <c r="U79" s="32">
        <v>0.03</v>
      </c>
      <c r="V79" s="32">
        <f t="shared" si="21"/>
        <v>0.12</v>
      </c>
      <c r="W79" s="99"/>
      <c r="X79" s="97"/>
      <c r="Y79" s="100"/>
      <c r="Z79" s="97"/>
    </row>
    <row r="80" spans="1:26" x14ac:dyDescent="0.2">
      <c r="A80" s="98"/>
      <c r="B80" s="98"/>
      <c r="C80" s="98"/>
      <c r="D80" s="24">
        <v>9</v>
      </c>
      <c r="E80" s="24" t="s">
        <v>126</v>
      </c>
      <c r="F80" s="25" t="s">
        <v>127</v>
      </c>
      <c r="G80" s="19">
        <v>4</v>
      </c>
      <c r="H80" s="26" t="s">
        <v>128</v>
      </c>
      <c r="I80" s="27">
        <v>55</v>
      </c>
      <c r="J80" s="27">
        <v>19</v>
      </c>
      <c r="K80" s="28">
        <v>1.5</v>
      </c>
      <c r="L80" s="29">
        <v>4.5999999999999996</v>
      </c>
      <c r="M80" s="32">
        <v>2.6</v>
      </c>
      <c r="N80" s="30">
        <f>(J80-K80)*K80*0.02466*I80/1000</f>
        <v>3.5602875000000006E-2</v>
      </c>
      <c r="O80" s="30">
        <v>3.5602875000000006E-2</v>
      </c>
      <c r="P80" s="30">
        <f t="shared" ref="P80" si="29">N80-O80</f>
        <v>0</v>
      </c>
      <c r="Q80" s="31">
        <f>(L80*N80-M80*P80)*G80</f>
        <v>0.65509290000000009</v>
      </c>
      <c r="R80" s="25" t="s">
        <v>98</v>
      </c>
      <c r="S80" s="19"/>
      <c r="T80" s="19">
        <v>4</v>
      </c>
      <c r="U80" s="32">
        <v>0.08</v>
      </c>
      <c r="V80" s="32">
        <f t="shared" si="21"/>
        <v>0.32</v>
      </c>
      <c r="W80" s="99"/>
      <c r="X80" s="97"/>
      <c r="Y80" s="100"/>
      <c r="Z80" s="97"/>
    </row>
    <row r="81" spans="1:26" x14ac:dyDescent="0.2">
      <c r="A81" s="98"/>
      <c r="B81" s="98"/>
      <c r="C81" s="98"/>
      <c r="D81" s="24"/>
      <c r="E81" s="24"/>
      <c r="F81" s="25"/>
      <c r="G81" s="19"/>
      <c r="H81" s="26"/>
      <c r="I81" s="27"/>
      <c r="J81" s="27"/>
      <c r="K81" s="28"/>
      <c r="L81" s="32"/>
      <c r="M81" s="32"/>
      <c r="N81" s="30"/>
      <c r="O81" s="30"/>
      <c r="P81" s="30"/>
      <c r="Q81" s="31"/>
      <c r="R81" s="25" t="s">
        <v>253</v>
      </c>
      <c r="S81" s="19"/>
      <c r="T81" s="19">
        <v>8</v>
      </c>
      <c r="U81" s="32">
        <v>0.05</v>
      </c>
      <c r="V81" s="32">
        <f t="shared" si="21"/>
        <v>0.4</v>
      </c>
      <c r="W81" s="99"/>
      <c r="X81" s="97"/>
      <c r="Y81" s="100"/>
      <c r="Z81" s="97"/>
    </row>
    <row r="82" spans="1:26" x14ac:dyDescent="0.2">
      <c r="A82" s="98"/>
      <c r="B82" s="98"/>
      <c r="C82" s="98"/>
      <c r="D82" s="24">
        <v>10</v>
      </c>
      <c r="E82" s="24" t="s">
        <v>254</v>
      </c>
      <c r="F82" s="25" t="s">
        <v>255</v>
      </c>
      <c r="G82" s="19">
        <v>1</v>
      </c>
      <c r="H82" s="38" t="s">
        <v>224</v>
      </c>
      <c r="I82" s="39">
        <v>532</v>
      </c>
      <c r="J82" s="39">
        <v>50</v>
      </c>
      <c r="K82" s="40">
        <v>1.5</v>
      </c>
      <c r="L82" s="42">
        <v>4.88</v>
      </c>
      <c r="M82" s="42">
        <v>2.6</v>
      </c>
      <c r="N82" s="44">
        <v>1.2150000000000001</v>
      </c>
      <c r="O82" s="44">
        <v>1.2150000000000001</v>
      </c>
      <c r="P82" s="44">
        <f>N82-O82</f>
        <v>0</v>
      </c>
      <c r="Q82" s="45">
        <f>(L82*N82-M82*P82)*G82</f>
        <v>5.9292000000000007</v>
      </c>
      <c r="R82" s="25" t="s">
        <v>98</v>
      </c>
      <c r="S82" s="19"/>
      <c r="T82" s="19">
        <v>4</v>
      </c>
      <c r="U82" s="32">
        <v>0.1</v>
      </c>
      <c r="V82" s="32">
        <f t="shared" si="21"/>
        <v>0.4</v>
      </c>
      <c r="W82" s="99"/>
      <c r="X82" s="97"/>
      <c r="Y82" s="100"/>
      <c r="Z82" s="97"/>
    </row>
    <row r="83" spans="1:26" x14ac:dyDescent="0.2">
      <c r="A83" s="98"/>
      <c r="B83" s="98"/>
      <c r="C83" s="98"/>
      <c r="D83" s="24"/>
      <c r="E83" s="24"/>
      <c r="F83" s="25"/>
      <c r="G83" s="19"/>
      <c r="H83" s="26"/>
      <c r="I83" s="27"/>
      <c r="J83" s="27"/>
      <c r="K83" s="28"/>
      <c r="L83" s="29"/>
      <c r="M83" s="29"/>
      <c r="N83" s="30"/>
      <c r="O83" s="30"/>
      <c r="P83" s="30"/>
      <c r="Q83" s="31"/>
      <c r="R83" s="25" t="s">
        <v>256</v>
      </c>
      <c r="S83" s="19" t="s">
        <v>229</v>
      </c>
      <c r="T83" s="19">
        <v>2</v>
      </c>
      <c r="U83" s="32">
        <v>0.05</v>
      </c>
      <c r="V83" s="32">
        <f t="shared" si="21"/>
        <v>0.1</v>
      </c>
      <c r="W83" s="99"/>
      <c r="X83" s="97"/>
      <c r="Y83" s="100"/>
      <c r="Z83" s="97"/>
    </row>
    <row r="84" spans="1:26" x14ac:dyDescent="0.2">
      <c r="A84" s="98"/>
      <c r="B84" s="98"/>
      <c r="C84" s="98"/>
      <c r="D84" s="24">
        <v>11</v>
      </c>
      <c r="E84" s="24" t="s">
        <v>257</v>
      </c>
      <c r="F84" s="34" t="s">
        <v>258</v>
      </c>
      <c r="G84" s="19">
        <v>1</v>
      </c>
      <c r="H84" s="26" t="s">
        <v>213</v>
      </c>
      <c r="I84" s="27">
        <f>720+35+35</f>
        <v>790</v>
      </c>
      <c r="J84" s="27">
        <v>5</v>
      </c>
      <c r="K84" s="28"/>
      <c r="L84" s="32">
        <f>9/1.13</f>
        <v>7.9646017699115053</v>
      </c>
      <c r="M84" s="32"/>
      <c r="N84" s="30">
        <f>J84*J84*0.00617*I84/1000</f>
        <v>0.12185750000000001</v>
      </c>
      <c r="O84" s="30"/>
      <c r="P84" s="30"/>
      <c r="Q84" s="31">
        <f>(L84*N84-M84*P84)*G84</f>
        <v>0.97054646017699131</v>
      </c>
      <c r="R84" s="25"/>
      <c r="S84" s="25"/>
      <c r="T84" s="19"/>
      <c r="U84" s="32"/>
      <c r="V84" s="32">
        <f t="shared" si="21"/>
        <v>0</v>
      </c>
      <c r="W84" s="99"/>
      <c r="X84" s="97"/>
      <c r="Y84" s="100"/>
      <c r="Z84" s="97"/>
    </row>
    <row r="85" spans="1:26" x14ac:dyDescent="0.2">
      <c r="A85" s="98"/>
      <c r="B85" s="98"/>
      <c r="C85" s="98"/>
      <c r="D85" s="24">
        <v>12</v>
      </c>
      <c r="E85" s="24" t="s">
        <v>259</v>
      </c>
      <c r="F85" s="34" t="s">
        <v>260</v>
      </c>
      <c r="G85" s="19">
        <v>1</v>
      </c>
      <c r="H85" s="26" t="s">
        <v>213</v>
      </c>
      <c r="I85" s="27">
        <f>720+30+30</f>
        <v>780</v>
      </c>
      <c r="J85" s="27">
        <v>5</v>
      </c>
      <c r="K85" s="28"/>
      <c r="L85" s="32">
        <f>9/1.13</f>
        <v>7.9646017699115053</v>
      </c>
      <c r="M85" s="32"/>
      <c r="N85" s="30">
        <f>J85*J85*0.00617*I85/1000</f>
        <v>0.12031499999999999</v>
      </c>
      <c r="O85" s="30"/>
      <c r="P85" s="30"/>
      <c r="Q85" s="31">
        <f>(L85*N85-M85*P85)*G85</f>
        <v>0.95826106194690264</v>
      </c>
      <c r="R85" s="25"/>
      <c r="S85" s="25"/>
      <c r="T85" s="19"/>
      <c r="U85" s="32"/>
      <c r="V85" s="32">
        <f t="shared" si="21"/>
        <v>0</v>
      </c>
      <c r="W85" s="99"/>
      <c r="X85" s="97"/>
      <c r="Y85" s="100"/>
      <c r="Z85" s="97"/>
    </row>
    <row r="86" spans="1:26" x14ac:dyDescent="0.2">
      <c r="A86" s="98"/>
      <c r="B86" s="98"/>
      <c r="C86" s="98"/>
      <c r="D86" s="24">
        <v>13</v>
      </c>
      <c r="E86" s="24" t="s">
        <v>261</v>
      </c>
      <c r="F86" s="34" t="s">
        <v>262</v>
      </c>
      <c r="G86" s="19">
        <v>1</v>
      </c>
      <c r="H86" s="26" t="s">
        <v>180</v>
      </c>
      <c r="I86" s="27">
        <f>780+2</f>
        <v>782</v>
      </c>
      <c r="J86" s="27">
        <v>19</v>
      </c>
      <c r="K86" s="28">
        <v>2</v>
      </c>
      <c r="L86" s="32">
        <v>4.5999999999999996</v>
      </c>
      <c r="M86" s="32">
        <v>2.6</v>
      </c>
      <c r="N86" s="30">
        <f>(J86-K86)*K86*0.02466*I86/1000</f>
        <v>0.65566008000000009</v>
      </c>
      <c r="O86" s="30">
        <v>0.65398319999999999</v>
      </c>
      <c r="P86" s="30">
        <f t="shared" ref="P86:P87" si="30">N86-O86</f>
        <v>1.6768800000001027E-3</v>
      </c>
      <c r="Q86" s="31">
        <f>(L86*N86-M86*P86)*G86</f>
        <v>3.0116764799999998</v>
      </c>
      <c r="R86" s="25" t="s">
        <v>98</v>
      </c>
      <c r="S86" s="19"/>
      <c r="T86" s="19">
        <v>1</v>
      </c>
      <c r="U86" s="32">
        <v>0.08</v>
      </c>
      <c r="V86" s="32">
        <f t="shared" si="21"/>
        <v>0.08</v>
      </c>
      <c r="W86" s="99"/>
      <c r="X86" s="97"/>
      <c r="Y86" s="100"/>
      <c r="Z86" s="97"/>
    </row>
    <row r="87" spans="1:26" x14ac:dyDescent="0.2">
      <c r="A87" s="98"/>
      <c r="B87" s="98"/>
      <c r="C87" s="98"/>
      <c r="D87" s="24">
        <v>14</v>
      </c>
      <c r="E87" s="24" t="s">
        <v>263</v>
      </c>
      <c r="F87" s="25" t="s">
        <v>264</v>
      </c>
      <c r="G87" s="19">
        <v>1</v>
      </c>
      <c r="H87" s="26" t="s">
        <v>141</v>
      </c>
      <c r="I87" s="27">
        <f>100+6</f>
        <v>106</v>
      </c>
      <c r="J87" s="27">
        <f>60+6</f>
        <v>66</v>
      </c>
      <c r="K87" s="28">
        <v>3</v>
      </c>
      <c r="L87" s="29">
        <v>4.8</v>
      </c>
      <c r="M87" s="29">
        <v>2.6</v>
      </c>
      <c r="N87" s="33">
        <f>I87*J87*K87*7.85/1000000</f>
        <v>0.16475579999999998</v>
      </c>
      <c r="O87" s="33">
        <v>0.14130000000000001</v>
      </c>
      <c r="P87" s="30">
        <f t="shared" si="30"/>
        <v>2.3455799999999971E-2</v>
      </c>
      <c r="Q87" s="31">
        <f>(L87*N87-M87*P87)*G87</f>
        <v>0.72984275999999992</v>
      </c>
      <c r="R87" s="25" t="s">
        <v>145</v>
      </c>
      <c r="S87" s="19" t="s">
        <v>233</v>
      </c>
      <c r="T87" s="19">
        <v>1</v>
      </c>
      <c r="U87" s="32">
        <v>0.05</v>
      </c>
      <c r="V87" s="32">
        <f t="shared" si="21"/>
        <v>0.05</v>
      </c>
      <c r="W87" s="99"/>
      <c r="X87" s="97"/>
      <c r="Y87" s="100"/>
      <c r="Z87" s="97"/>
    </row>
    <row r="88" spans="1:26" x14ac:dyDescent="0.2">
      <c r="A88" s="98"/>
      <c r="B88" s="98"/>
      <c r="C88" s="98"/>
      <c r="D88" s="24"/>
      <c r="E88" s="24"/>
      <c r="F88" s="25"/>
      <c r="G88" s="19"/>
      <c r="H88" s="26"/>
      <c r="I88" s="27"/>
      <c r="J88" s="27"/>
      <c r="K88" s="28"/>
      <c r="L88" s="29"/>
      <c r="M88" s="29"/>
      <c r="N88" s="30"/>
      <c r="O88" s="30"/>
      <c r="P88" s="30"/>
      <c r="Q88" s="31"/>
      <c r="R88" s="25" t="s">
        <v>169</v>
      </c>
      <c r="S88" s="19" t="s">
        <v>233</v>
      </c>
      <c r="T88" s="19">
        <v>1</v>
      </c>
      <c r="U88" s="32">
        <v>0.05</v>
      </c>
      <c r="V88" s="32">
        <f t="shared" si="21"/>
        <v>0.05</v>
      </c>
      <c r="W88" s="99"/>
      <c r="X88" s="97"/>
      <c r="Y88" s="100"/>
      <c r="Z88" s="97"/>
    </row>
    <row r="89" spans="1:26" x14ac:dyDescent="0.2">
      <c r="A89" s="98"/>
      <c r="B89" s="98"/>
      <c r="C89" s="98"/>
      <c r="D89" s="24">
        <v>15</v>
      </c>
      <c r="E89" s="24" t="s">
        <v>265</v>
      </c>
      <c r="F89" s="25" t="s">
        <v>266</v>
      </c>
      <c r="G89" s="19">
        <v>1</v>
      </c>
      <c r="H89" s="26" t="s">
        <v>141</v>
      </c>
      <c r="I89" s="27">
        <f>100+6</f>
        <v>106</v>
      </c>
      <c r="J89" s="27">
        <f>47+6</f>
        <v>53</v>
      </c>
      <c r="K89" s="28">
        <v>3</v>
      </c>
      <c r="L89" s="29">
        <v>4.8</v>
      </c>
      <c r="M89" s="29">
        <v>2.6</v>
      </c>
      <c r="N89" s="33">
        <f>I89*J89*K89*7.85/1000000</f>
        <v>0.1323039</v>
      </c>
      <c r="O89" s="33">
        <v>0.11068500000000001</v>
      </c>
      <c r="P89" s="30">
        <f t="shared" ref="P89" si="31">N89-O89</f>
        <v>2.1618899999999996E-2</v>
      </c>
      <c r="Q89" s="31">
        <f>(L89*N89-M89*P89)*G89</f>
        <v>0.57884957999999997</v>
      </c>
      <c r="R89" s="25" t="s">
        <v>200</v>
      </c>
      <c r="S89" s="19" t="s">
        <v>229</v>
      </c>
      <c r="T89" s="19">
        <v>1</v>
      </c>
      <c r="U89" s="32">
        <v>0.05</v>
      </c>
      <c r="V89" s="32">
        <f t="shared" si="21"/>
        <v>0.05</v>
      </c>
      <c r="W89" s="99"/>
      <c r="X89" s="97"/>
      <c r="Y89" s="100"/>
      <c r="Z89" s="97"/>
    </row>
    <row r="90" spans="1:26" x14ac:dyDescent="0.2">
      <c r="A90" s="98"/>
      <c r="B90" s="98"/>
      <c r="C90" s="98"/>
      <c r="D90" s="24"/>
      <c r="E90" s="24"/>
      <c r="F90" s="25"/>
      <c r="G90" s="19"/>
      <c r="H90" s="26"/>
      <c r="I90" s="27"/>
      <c r="J90" s="27"/>
      <c r="K90" s="28"/>
      <c r="L90" s="29"/>
      <c r="M90" s="29"/>
      <c r="N90" s="30"/>
      <c r="O90" s="30"/>
      <c r="P90" s="30"/>
      <c r="Q90" s="31"/>
      <c r="R90" s="25" t="s">
        <v>202</v>
      </c>
      <c r="S90" s="19" t="s">
        <v>229</v>
      </c>
      <c r="T90" s="19">
        <v>1</v>
      </c>
      <c r="U90" s="32">
        <v>0.05</v>
      </c>
      <c r="V90" s="32">
        <f t="shared" si="21"/>
        <v>0.05</v>
      </c>
      <c r="W90" s="99"/>
      <c r="X90" s="97"/>
      <c r="Y90" s="100"/>
      <c r="Z90" s="97"/>
    </row>
    <row r="91" spans="1:26" x14ac:dyDescent="0.2">
      <c r="A91" s="98"/>
      <c r="B91" s="98"/>
      <c r="C91" s="98"/>
      <c r="D91" s="24">
        <v>16</v>
      </c>
      <c r="E91" s="24" t="s">
        <v>267</v>
      </c>
      <c r="F91" s="25" t="s">
        <v>268</v>
      </c>
      <c r="G91" s="19">
        <v>1</v>
      </c>
      <c r="H91" s="26" t="s">
        <v>269</v>
      </c>
      <c r="I91" s="27">
        <f>144+6</f>
        <v>150</v>
      </c>
      <c r="J91" s="27">
        <f>90+6</f>
        <v>96</v>
      </c>
      <c r="K91" s="28">
        <v>3</v>
      </c>
      <c r="L91" s="29">
        <v>5.18</v>
      </c>
      <c r="M91" s="29">
        <v>2.6</v>
      </c>
      <c r="N91" s="33">
        <f>I91*J91*K91*7.85/1000000</f>
        <v>0.33911999999999998</v>
      </c>
      <c r="O91" s="33">
        <v>0.30520799999999998</v>
      </c>
      <c r="P91" s="30">
        <f t="shared" ref="P91" si="32">N91-O91</f>
        <v>3.3911999999999998E-2</v>
      </c>
      <c r="Q91" s="31">
        <f>(L91*N91-M91*P91)*G91</f>
        <v>1.6684703999999999</v>
      </c>
      <c r="R91" s="25" t="s">
        <v>145</v>
      </c>
      <c r="S91" s="19" t="s">
        <v>232</v>
      </c>
      <c r="T91" s="19">
        <v>1</v>
      </c>
      <c r="U91" s="32">
        <v>7.0000000000000007E-2</v>
      </c>
      <c r="V91" s="32">
        <f t="shared" si="21"/>
        <v>7.0000000000000007E-2</v>
      </c>
      <c r="W91" s="99"/>
      <c r="X91" s="97"/>
      <c r="Y91" s="100"/>
      <c r="Z91" s="97"/>
    </row>
    <row r="92" spans="1:26" x14ac:dyDescent="0.2">
      <c r="A92" s="98"/>
      <c r="B92" s="98"/>
      <c r="C92" s="98"/>
      <c r="D92" s="24"/>
      <c r="E92" s="24"/>
      <c r="F92" s="25"/>
      <c r="G92" s="19"/>
      <c r="H92" s="26"/>
      <c r="I92" s="27"/>
      <c r="J92" s="27"/>
      <c r="K92" s="28"/>
      <c r="L92" s="29"/>
      <c r="M92" s="29"/>
      <c r="N92" s="30"/>
      <c r="O92" s="30"/>
      <c r="P92" s="30"/>
      <c r="Q92" s="31"/>
      <c r="R92" s="25" t="s">
        <v>169</v>
      </c>
      <c r="S92" s="19" t="s">
        <v>232</v>
      </c>
      <c r="T92" s="19">
        <v>1</v>
      </c>
      <c r="U92" s="32">
        <v>7.0000000000000007E-2</v>
      </c>
      <c r="V92" s="32">
        <f t="shared" si="21"/>
        <v>7.0000000000000007E-2</v>
      </c>
      <c r="W92" s="99"/>
      <c r="X92" s="97"/>
      <c r="Y92" s="100"/>
      <c r="Z92" s="97"/>
    </row>
    <row r="93" spans="1:26" x14ac:dyDescent="0.2">
      <c r="A93" s="98"/>
      <c r="B93" s="98"/>
      <c r="C93" s="98"/>
      <c r="D93" s="24"/>
      <c r="E93" s="24"/>
      <c r="F93" s="25"/>
      <c r="G93" s="19"/>
      <c r="H93" s="25"/>
      <c r="I93" s="27"/>
      <c r="J93" s="27"/>
      <c r="K93" s="28"/>
      <c r="L93" s="32"/>
      <c r="M93" s="32"/>
      <c r="N93" s="30"/>
      <c r="O93" s="30"/>
      <c r="P93" s="30"/>
      <c r="Q93" s="31"/>
      <c r="R93" s="25" t="s">
        <v>217</v>
      </c>
      <c r="S93" s="25"/>
      <c r="T93" s="19">
        <f>4*3*1+4*1.5+8*2+4*1+8*2+8*2+4*2+12*2</f>
        <v>102</v>
      </c>
      <c r="U93" s="32">
        <v>0.05</v>
      </c>
      <c r="V93" s="32">
        <f t="shared" si="21"/>
        <v>5.1000000000000005</v>
      </c>
      <c r="W93" s="99"/>
      <c r="X93" s="97"/>
      <c r="Y93" s="100"/>
      <c r="Z93" s="97"/>
    </row>
    <row r="94" spans="1:26" x14ac:dyDescent="0.2">
      <c r="A94" s="98"/>
      <c r="B94" s="98"/>
      <c r="C94" s="98"/>
      <c r="D94" s="24"/>
      <c r="E94" s="24"/>
      <c r="F94" s="25"/>
      <c r="G94" s="19"/>
      <c r="H94" s="25"/>
      <c r="I94" s="27"/>
      <c r="J94" s="27"/>
      <c r="K94" s="28"/>
      <c r="L94" s="32"/>
      <c r="M94" s="32"/>
      <c r="N94" s="30"/>
      <c r="O94" s="30"/>
      <c r="P94" s="30"/>
      <c r="Q94" s="31"/>
      <c r="R94" s="25" t="s">
        <v>157</v>
      </c>
      <c r="S94" s="25"/>
      <c r="T94" s="19">
        <f>(0.376+0.048+0.366)*0.505*2*0.3</f>
        <v>0.23937</v>
      </c>
      <c r="U94" s="32">
        <v>15</v>
      </c>
      <c r="V94" s="32">
        <f t="shared" si="21"/>
        <v>3.5905499999999999</v>
      </c>
      <c r="W94" s="99"/>
      <c r="X94" s="97"/>
      <c r="Y94" s="100"/>
      <c r="Z94" s="97"/>
    </row>
    <row r="95" spans="1:26" x14ac:dyDescent="0.2">
      <c r="A95" s="98"/>
      <c r="B95" s="98"/>
      <c r="C95" s="98"/>
      <c r="D95" s="24"/>
      <c r="E95" s="24"/>
      <c r="F95" s="25" t="s">
        <v>158</v>
      </c>
      <c r="G95" s="19"/>
      <c r="H95" s="25"/>
      <c r="I95" s="27"/>
      <c r="J95" s="27"/>
      <c r="K95" s="28"/>
      <c r="L95" s="32"/>
      <c r="M95" s="32"/>
      <c r="N95" s="30"/>
      <c r="O95" s="30"/>
      <c r="P95" s="30"/>
      <c r="Q95" s="31">
        <f>SUM(Q62:Q94)</f>
        <v>36.165525902123882</v>
      </c>
      <c r="R95" s="25"/>
      <c r="S95" s="25"/>
      <c r="T95" s="19"/>
      <c r="U95" s="32"/>
      <c r="V95" s="32">
        <f>SUM(V62:V94)</f>
        <v>11.550549999999999</v>
      </c>
      <c r="W95" s="99"/>
      <c r="X95" s="97">
        <f>SUM(Q95:W95)</f>
        <v>47.716075902123883</v>
      </c>
      <c r="Y95" s="36">
        <v>7.14</v>
      </c>
      <c r="Z95" s="97"/>
    </row>
    <row r="96" spans="1:26" x14ac:dyDescent="0.2">
      <c r="A96" s="89">
        <v>4</v>
      </c>
      <c r="B96" s="91" t="s">
        <v>270</v>
      </c>
      <c r="C96" s="91" t="s">
        <v>271</v>
      </c>
      <c r="D96" s="46">
        <v>1</v>
      </c>
      <c r="E96" s="46" t="s">
        <v>272</v>
      </c>
      <c r="F96" s="47" t="s">
        <v>273</v>
      </c>
      <c r="G96" s="48">
        <v>1</v>
      </c>
      <c r="H96" s="49" t="s">
        <v>97</v>
      </c>
      <c r="I96" s="50">
        <v>552</v>
      </c>
      <c r="J96" s="50">
        <v>25</v>
      </c>
      <c r="K96" s="50">
        <v>2</v>
      </c>
      <c r="L96" s="51">
        <v>4.5999999999999996</v>
      </c>
      <c r="M96" s="51">
        <v>2.6</v>
      </c>
      <c r="N96" s="52">
        <f>(J96-K96)*K96*0.02466*I96/1000</f>
        <v>0.62616672000000007</v>
      </c>
      <c r="O96" s="52">
        <v>0.62389800000000006</v>
      </c>
      <c r="P96" s="52">
        <f t="shared" ref="P96" si="33">N96-O96</f>
        <v>2.2687200000000018E-3</v>
      </c>
      <c r="Q96" s="53">
        <f>(L96*N96-M96*P96)*G96</f>
        <v>2.8744682400000001</v>
      </c>
      <c r="R96" s="47" t="s">
        <v>98</v>
      </c>
      <c r="S96" s="48"/>
      <c r="T96" s="48">
        <v>1</v>
      </c>
      <c r="U96" s="54">
        <v>0.08</v>
      </c>
      <c r="V96" s="54">
        <f>T96*U96</f>
        <v>0.08</v>
      </c>
      <c r="W96" s="93">
        <v>1.1200000000000001</v>
      </c>
      <c r="X96" s="87">
        <f>W96*(Q119+V119-Q102-Q109)+(Q102+Q109)*1.03</f>
        <v>29.529048617992451</v>
      </c>
      <c r="Y96" s="95" t="s">
        <v>274</v>
      </c>
      <c r="Z96" s="87">
        <f>X96+Y119</f>
        <v>30.719048617992453</v>
      </c>
    </row>
    <row r="97" spans="1:26" x14ac:dyDescent="0.2">
      <c r="A97" s="89"/>
      <c r="B97" s="91"/>
      <c r="C97" s="91"/>
      <c r="D97" s="46"/>
      <c r="E97" s="46"/>
      <c r="F97" s="47"/>
      <c r="G97" s="48"/>
      <c r="H97" s="49"/>
      <c r="I97" s="50"/>
      <c r="J97" s="50"/>
      <c r="K97" s="50"/>
      <c r="L97" s="51"/>
      <c r="M97" s="51"/>
      <c r="N97" s="52"/>
      <c r="O97" s="52"/>
      <c r="P97" s="52"/>
      <c r="Q97" s="53"/>
      <c r="R97" s="47" t="s">
        <v>164</v>
      </c>
      <c r="S97" s="48"/>
      <c r="T97" s="48">
        <v>4</v>
      </c>
      <c r="U97" s="54">
        <v>0.05</v>
      </c>
      <c r="V97" s="54">
        <f t="shared" ref="V97:V103" si="34">T97*U97</f>
        <v>0.2</v>
      </c>
      <c r="W97" s="93"/>
      <c r="X97" s="87"/>
      <c r="Y97" s="96"/>
      <c r="Z97" s="87"/>
    </row>
    <row r="98" spans="1:26" x14ac:dyDescent="0.2">
      <c r="A98" s="89"/>
      <c r="B98" s="91"/>
      <c r="C98" s="91"/>
      <c r="D98" s="55">
        <v>2</v>
      </c>
      <c r="E98" s="55" t="s">
        <v>275</v>
      </c>
      <c r="F98" s="47" t="s">
        <v>166</v>
      </c>
      <c r="G98" s="48">
        <v>1</v>
      </c>
      <c r="H98" s="49" t="s">
        <v>149</v>
      </c>
      <c r="I98" s="50">
        <f>392+11+1.6*2</f>
        <v>406.2</v>
      </c>
      <c r="J98" s="50">
        <f>150+1.6*2</f>
        <v>153.19999999999999</v>
      </c>
      <c r="K98" s="50">
        <v>1.6</v>
      </c>
      <c r="L98" s="54">
        <v>5.18</v>
      </c>
      <c r="M98" s="54">
        <v>2.6</v>
      </c>
      <c r="N98" s="56">
        <f>I98*J98*K98*7.85/1000000</f>
        <v>0.78160679040000003</v>
      </c>
      <c r="O98" s="56">
        <v>0.75925200000000004</v>
      </c>
      <c r="P98" s="52">
        <f t="shared" ref="P98" si="35">N98-O98</f>
        <v>2.2354790399999991E-2</v>
      </c>
      <c r="Q98" s="53">
        <f>(L98*N98-M98*P98)*G98</f>
        <v>3.9906007192320003</v>
      </c>
      <c r="R98" s="47" t="s">
        <v>200</v>
      </c>
      <c r="S98" s="48" t="s">
        <v>201</v>
      </c>
      <c r="T98" s="48">
        <v>1</v>
      </c>
      <c r="U98" s="54">
        <v>0.25</v>
      </c>
      <c r="V98" s="54">
        <f t="shared" si="34"/>
        <v>0.25</v>
      </c>
      <c r="W98" s="93"/>
      <c r="X98" s="87"/>
      <c r="Y98" s="96"/>
      <c r="Z98" s="87"/>
    </row>
    <row r="99" spans="1:26" x14ac:dyDescent="0.2">
      <c r="A99" s="89"/>
      <c r="B99" s="91"/>
      <c r="C99" s="91"/>
      <c r="D99" s="55"/>
      <c r="E99" s="55"/>
      <c r="F99" s="47"/>
      <c r="G99" s="48"/>
      <c r="H99" s="49"/>
      <c r="I99" s="50"/>
      <c r="J99" s="50"/>
      <c r="K99" s="50"/>
      <c r="L99" s="54"/>
      <c r="M99" s="54"/>
      <c r="N99" s="52"/>
      <c r="O99" s="52"/>
      <c r="P99" s="52"/>
      <c r="Q99" s="53"/>
      <c r="R99" s="47" t="s">
        <v>202</v>
      </c>
      <c r="S99" s="48" t="s">
        <v>201</v>
      </c>
      <c r="T99" s="48">
        <v>1</v>
      </c>
      <c r="U99" s="54">
        <v>0.25</v>
      </c>
      <c r="V99" s="54">
        <f t="shared" si="34"/>
        <v>0.25</v>
      </c>
      <c r="W99" s="93"/>
      <c r="X99" s="87"/>
      <c r="Y99" s="96"/>
      <c r="Z99" s="87"/>
    </row>
    <row r="100" spans="1:26" x14ac:dyDescent="0.2">
      <c r="A100" s="89"/>
      <c r="B100" s="91"/>
      <c r="C100" s="91"/>
      <c r="D100" s="55"/>
      <c r="E100" s="55"/>
      <c r="F100" s="47"/>
      <c r="G100" s="48"/>
      <c r="H100" s="49"/>
      <c r="I100" s="50"/>
      <c r="J100" s="50"/>
      <c r="K100" s="50"/>
      <c r="L100" s="54"/>
      <c r="M100" s="54"/>
      <c r="N100" s="52"/>
      <c r="O100" s="52"/>
      <c r="P100" s="52"/>
      <c r="Q100" s="53"/>
      <c r="R100" s="47" t="s">
        <v>276</v>
      </c>
      <c r="S100" s="48" t="s">
        <v>204</v>
      </c>
      <c r="T100" s="48">
        <v>1</v>
      </c>
      <c r="U100" s="54">
        <v>0.15</v>
      </c>
      <c r="V100" s="54">
        <f t="shared" si="34"/>
        <v>0.15</v>
      </c>
      <c r="W100" s="93"/>
      <c r="X100" s="87"/>
      <c r="Y100" s="96"/>
      <c r="Z100" s="87"/>
    </row>
    <row r="101" spans="1:26" x14ac:dyDescent="0.2">
      <c r="A101" s="89"/>
      <c r="B101" s="91"/>
      <c r="C101" s="91"/>
      <c r="D101" s="55">
        <v>3</v>
      </c>
      <c r="E101" s="55" t="s">
        <v>109</v>
      </c>
      <c r="F101" s="47" t="s">
        <v>277</v>
      </c>
      <c r="G101" s="48">
        <v>1</v>
      </c>
      <c r="H101" s="49" t="s">
        <v>269</v>
      </c>
      <c r="I101" s="50">
        <f>84+3.2</f>
        <v>87.2</v>
      </c>
      <c r="J101" s="50">
        <f>45+3.2</f>
        <v>48.2</v>
      </c>
      <c r="K101" s="50">
        <v>1.6</v>
      </c>
      <c r="L101" s="54">
        <v>5.18</v>
      </c>
      <c r="M101" s="54">
        <v>2.6</v>
      </c>
      <c r="N101" s="56">
        <f>I101*J101*K101*7.85/1000000</f>
        <v>5.2790182399999996E-2</v>
      </c>
      <c r="O101" s="56">
        <v>4.7476799999999993E-2</v>
      </c>
      <c r="P101" s="52">
        <f t="shared" ref="P101" si="36">N101-O101</f>
        <v>5.3133824000000038E-3</v>
      </c>
      <c r="Q101" s="53">
        <f>(L101*N101-M101*P101)*G101</f>
        <v>0.25963835059199997</v>
      </c>
      <c r="R101" s="47" t="s">
        <v>145</v>
      </c>
      <c r="S101" s="48" t="s">
        <v>146</v>
      </c>
      <c r="T101" s="48">
        <v>1</v>
      </c>
      <c r="U101" s="54">
        <v>0.04</v>
      </c>
      <c r="V101" s="54">
        <f t="shared" si="34"/>
        <v>0.04</v>
      </c>
      <c r="W101" s="93"/>
      <c r="X101" s="87"/>
      <c r="Y101" s="96"/>
      <c r="Z101" s="87"/>
    </row>
    <row r="102" spans="1:26" x14ac:dyDescent="0.2">
      <c r="A102" s="89"/>
      <c r="B102" s="91"/>
      <c r="C102" s="91"/>
      <c r="D102" s="55">
        <v>4</v>
      </c>
      <c r="E102" s="55" t="s">
        <v>278</v>
      </c>
      <c r="F102" s="57" t="s">
        <v>174</v>
      </c>
      <c r="G102" s="48">
        <v>4</v>
      </c>
      <c r="H102" s="49"/>
      <c r="I102" s="50"/>
      <c r="J102" s="50"/>
      <c r="K102" s="50"/>
      <c r="L102" s="54">
        <v>0.1137</v>
      </c>
      <c r="M102" s="54"/>
      <c r="N102" s="52"/>
      <c r="O102" s="52"/>
      <c r="P102" s="52"/>
      <c r="Q102" s="53">
        <f>G102*L102</f>
        <v>0.45479999999999998</v>
      </c>
      <c r="R102" s="47"/>
      <c r="S102" s="48"/>
      <c r="T102" s="48"/>
      <c r="U102" s="54"/>
      <c r="V102" s="54">
        <f t="shared" si="34"/>
        <v>0</v>
      </c>
      <c r="W102" s="93"/>
      <c r="X102" s="87"/>
      <c r="Y102" s="96"/>
      <c r="Z102" s="87"/>
    </row>
    <row r="103" spans="1:26" x14ac:dyDescent="0.2">
      <c r="A103" s="89"/>
      <c r="B103" s="91"/>
      <c r="C103" s="91"/>
      <c r="D103" s="55">
        <v>5</v>
      </c>
      <c r="E103" s="55" t="s">
        <v>279</v>
      </c>
      <c r="F103" s="57" t="s">
        <v>280</v>
      </c>
      <c r="G103" s="48">
        <v>1</v>
      </c>
      <c r="H103" s="49" t="s">
        <v>213</v>
      </c>
      <c r="I103" s="50">
        <v>360</v>
      </c>
      <c r="J103" s="50">
        <v>5</v>
      </c>
      <c r="K103" s="50"/>
      <c r="L103" s="54">
        <f>9/1.13</f>
        <v>7.9646017699115053</v>
      </c>
      <c r="M103" s="54"/>
      <c r="N103" s="52">
        <f>J103*J103*0.00617*I103/1000</f>
        <v>5.5530000000000003E-2</v>
      </c>
      <c r="O103" s="52">
        <v>5.5530000000000003E-2</v>
      </c>
      <c r="P103" s="52">
        <f t="shared" ref="P103:P104" si="37">N103-O103</f>
        <v>0</v>
      </c>
      <c r="Q103" s="53">
        <f>(L103*N103-M103*P103)*G103</f>
        <v>0.44227433628318591</v>
      </c>
      <c r="R103" s="47" t="s">
        <v>281</v>
      </c>
      <c r="S103" s="48"/>
      <c r="T103" s="48"/>
      <c r="U103" s="54"/>
      <c r="V103" s="54">
        <f t="shared" si="34"/>
        <v>0</v>
      </c>
      <c r="W103" s="93"/>
      <c r="X103" s="87"/>
      <c r="Y103" s="96"/>
      <c r="Z103" s="87"/>
    </row>
    <row r="104" spans="1:26" x14ac:dyDescent="0.2">
      <c r="A104" s="89"/>
      <c r="B104" s="91"/>
      <c r="C104" s="91"/>
      <c r="D104" s="55">
        <v>6</v>
      </c>
      <c r="E104" s="55" t="s">
        <v>282</v>
      </c>
      <c r="F104" s="47" t="s">
        <v>283</v>
      </c>
      <c r="G104" s="48">
        <v>1</v>
      </c>
      <c r="H104" s="49" t="s">
        <v>180</v>
      </c>
      <c r="I104" s="50">
        <v>624</v>
      </c>
      <c r="J104" s="50">
        <v>25</v>
      </c>
      <c r="K104" s="50">
        <v>2</v>
      </c>
      <c r="L104" s="51">
        <v>4.5999999999999996</v>
      </c>
      <c r="M104" s="54">
        <v>2.6</v>
      </c>
      <c r="N104" s="52">
        <f>(J104-K104)*K104*0.02466*I104/1000</f>
        <v>0.70784064000000002</v>
      </c>
      <c r="O104" s="52">
        <v>0.70557192000000002</v>
      </c>
      <c r="P104" s="52">
        <f t="shared" si="37"/>
        <v>2.2687200000000018E-3</v>
      </c>
      <c r="Q104" s="53">
        <f>(L104*N104-M104*P104)*G104</f>
        <v>3.2501682719999998</v>
      </c>
      <c r="R104" s="47" t="s">
        <v>98</v>
      </c>
      <c r="S104" s="48"/>
      <c r="T104" s="48">
        <v>1</v>
      </c>
      <c r="U104" s="54">
        <v>0.08</v>
      </c>
      <c r="V104" s="54">
        <f>T104*U104</f>
        <v>0.08</v>
      </c>
      <c r="W104" s="93"/>
      <c r="X104" s="87"/>
      <c r="Y104" s="96"/>
      <c r="Z104" s="87"/>
    </row>
    <row r="105" spans="1:26" x14ac:dyDescent="0.2">
      <c r="A105" s="89"/>
      <c r="B105" s="91"/>
      <c r="C105" s="91"/>
      <c r="D105" s="55"/>
      <c r="E105" s="55"/>
      <c r="F105" s="47"/>
      <c r="G105" s="48"/>
      <c r="H105" s="49"/>
      <c r="I105" s="50"/>
      <c r="J105" s="50"/>
      <c r="K105" s="50"/>
      <c r="L105" s="54"/>
      <c r="M105" s="54"/>
      <c r="N105" s="52"/>
      <c r="O105" s="52"/>
      <c r="P105" s="52"/>
      <c r="Q105" s="53"/>
      <c r="R105" s="47" t="s">
        <v>181</v>
      </c>
      <c r="S105" s="48"/>
      <c r="T105" s="48">
        <v>2</v>
      </c>
      <c r="U105" s="54">
        <v>0.05</v>
      </c>
      <c r="V105" s="54">
        <f t="shared" ref="V105:V109" si="38">T105*U105</f>
        <v>0.1</v>
      </c>
      <c r="W105" s="93"/>
      <c r="X105" s="87"/>
      <c r="Y105" s="96"/>
      <c r="Z105" s="87"/>
    </row>
    <row r="106" spans="1:26" x14ac:dyDescent="0.2">
      <c r="A106" s="89"/>
      <c r="B106" s="91"/>
      <c r="C106" s="91"/>
      <c r="D106" s="55">
        <v>7</v>
      </c>
      <c r="E106" s="55" t="s">
        <v>284</v>
      </c>
      <c r="F106" s="47" t="s">
        <v>285</v>
      </c>
      <c r="G106" s="48">
        <v>2</v>
      </c>
      <c r="H106" s="49" t="s">
        <v>213</v>
      </c>
      <c r="I106" s="50">
        <f>120+5</f>
        <v>125</v>
      </c>
      <c r="J106" s="50">
        <f>80+5</f>
        <v>85</v>
      </c>
      <c r="K106" s="50">
        <v>2.5</v>
      </c>
      <c r="L106" s="58">
        <v>4.8</v>
      </c>
      <c r="M106" s="51">
        <v>2.6</v>
      </c>
      <c r="N106" s="56">
        <f>I106*J106*K106*7.85/1000000</f>
        <v>0.20851562500000001</v>
      </c>
      <c r="O106" s="56">
        <v>0.18840000000000001</v>
      </c>
      <c r="P106" s="52">
        <f t="shared" ref="P106" si="39">N106-O106</f>
        <v>2.0115624999999998E-2</v>
      </c>
      <c r="Q106" s="53">
        <f>(L106*N106-M106*P106)*G106</f>
        <v>1.8971487499999999</v>
      </c>
      <c r="R106" s="47" t="s">
        <v>167</v>
      </c>
      <c r="S106" s="48" t="s">
        <v>146</v>
      </c>
      <c r="T106" s="48">
        <v>2</v>
      </c>
      <c r="U106" s="54">
        <v>0.04</v>
      </c>
      <c r="V106" s="54">
        <f t="shared" si="38"/>
        <v>0.08</v>
      </c>
      <c r="W106" s="93"/>
      <c r="X106" s="87"/>
      <c r="Y106" s="96"/>
      <c r="Z106" s="87"/>
    </row>
    <row r="107" spans="1:26" x14ac:dyDescent="0.2">
      <c r="A107" s="89"/>
      <c r="B107" s="91"/>
      <c r="C107" s="91"/>
      <c r="D107" s="55"/>
      <c r="E107" s="55"/>
      <c r="F107" s="47"/>
      <c r="G107" s="48"/>
      <c r="H107" s="49"/>
      <c r="I107" s="50"/>
      <c r="J107" s="50"/>
      <c r="K107" s="50"/>
      <c r="L107" s="58"/>
      <c r="M107" s="51"/>
      <c r="N107" s="56"/>
      <c r="O107" s="56"/>
      <c r="P107" s="52"/>
      <c r="Q107" s="53"/>
      <c r="R107" s="47" t="s">
        <v>169</v>
      </c>
      <c r="S107" s="48" t="s">
        <v>146</v>
      </c>
      <c r="T107" s="48">
        <v>2</v>
      </c>
      <c r="U107" s="54">
        <v>0.04</v>
      </c>
      <c r="V107" s="54">
        <f t="shared" si="38"/>
        <v>0.08</v>
      </c>
      <c r="W107" s="93"/>
      <c r="X107" s="87"/>
      <c r="Y107" s="96"/>
      <c r="Z107" s="87"/>
    </row>
    <row r="108" spans="1:26" x14ac:dyDescent="0.2">
      <c r="A108" s="89"/>
      <c r="B108" s="91"/>
      <c r="C108" s="91"/>
      <c r="D108" s="55"/>
      <c r="E108" s="55"/>
      <c r="F108" s="47"/>
      <c r="G108" s="48"/>
      <c r="H108" s="49"/>
      <c r="I108" s="50"/>
      <c r="J108" s="50"/>
      <c r="K108" s="50"/>
      <c r="L108" s="58"/>
      <c r="M108" s="51"/>
      <c r="N108" s="56"/>
      <c r="O108" s="56"/>
      <c r="P108" s="52"/>
      <c r="Q108" s="53"/>
      <c r="R108" s="47" t="s">
        <v>286</v>
      </c>
      <c r="S108" s="48" t="s">
        <v>146</v>
      </c>
      <c r="T108" s="48">
        <v>2</v>
      </c>
      <c r="U108" s="54">
        <v>0.04</v>
      </c>
      <c r="V108" s="54">
        <f t="shared" si="38"/>
        <v>0.08</v>
      </c>
      <c r="W108" s="93"/>
      <c r="X108" s="87"/>
      <c r="Y108" s="96"/>
      <c r="Z108" s="87"/>
    </row>
    <row r="109" spans="1:26" x14ac:dyDescent="0.2">
      <c r="A109" s="89"/>
      <c r="B109" s="91"/>
      <c r="C109" s="91"/>
      <c r="D109" s="55">
        <v>8</v>
      </c>
      <c r="E109" s="55" t="s">
        <v>278</v>
      </c>
      <c r="F109" s="57" t="s">
        <v>287</v>
      </c>
      <c r="G109" s="48">
        <v>4</v>
      </c>
      <c r="H109" s="49"/>
      <c r="I109" s="50"/>
      <c r="J109" s="50"/>
      <c r="K109" s="50"/>
      <c r="L109" s="51">
        <v>3.3000000000000002E-2</v>
      </c>
      <c r="M109" s="51"/>
      <c r="N109" s="52"/>
      <c r="O109" s="52"/>
      <c r="P109" s="52"/>
      <c r="Q109" s="53">
        <f>G109*L109</f>
        <v>0.13200000000000001</v>
      </c>
      <c r="R109" s="47"/>
      <c r="S109" s="48"/>
      <c r="T109" s="48"/>
      <c r="U109" s="54"/>
      <c r="V109" s="54">
        <f t="shared" si="38"/>
        <v>0</v>
      </c>
      <c r="W109" s="93"/>
      <c r="X109" s="87"/>
      <c r="Y109" s="96"/>
      <c r="Z109" s="87"/>
    </row>
    <row r="110" spans="1:26" x14ac:dyDescent="0.2">
      <c r="A110" s="89"/>
      <c r="B110" s="91"/>
      <c r="C110" s="91"/>
      <c r="D110" s="55">
        <v>9</v>
      </c>
      <c r="E110" s="55" t="s">
        <v>288</v>
      </c>
      <c r="F110" s="47" t="s">
        <v>289</v>
      </c>
      <c r="G110" s="48">
        <v>1</v>
      </c>
      <c r="H110" s="49"/>
      <c r="I110" s="50">
        <f>335+2</f>
        <v>337</v>
      </c>
      <c r="J110" s="50">
        <v>20</v>
      </c>
      <c r="K110" s="50">
        <v>2</v>
      </c>
      <c r="L110" s="51">
        <v>5.18</v>
      </c>
      <c r="M110" s="51">
        <v>2.6</v>
      </c>
      <c r="N110" s="52">
        <f>(J110-K110)*K110*0.02466*I110/1000</f>
        <v>0.29917512000000007</v>
      </c>
      <c r="O110" s="52">
        <v>0.29739960000000004</v>
      </c>
      <c r="P110" s="52">
        <f t="shared" ref="P110:P113" si="40">N110-O110</f>
        <v>1.7755200000000304E-3</v>
      </c>
      <c r="Q110" s="53">
        <f>(L110*N110-M110*P110)*G110</f>
        <v>1.5451107696000004</v>
      </c>
      <c r="R110" s="47" t="s">
        <v>98</v>
      </c>
      <c r="S110" s="48"/>
      <c r="T110" s="48">
        <v>1</v>
      </c>
      <c r="U110" s="54">
        <v>0.08</v>
      </c>
      <c r="V110" s="54">
        <f>T110*U110</f>
        <v>0.08</v>
      </c>
      <c r="W110" s="93"/>
      <c r="X110" s="87"/>
      <c r="Y110" s="96"/>
      <c r="Z110" s="87"/>
    </row>
    <row r="111" spans="1:26" x14ac:dyDescent="0.2">
      <c r="A111" s="89"/>
      <c r="B111" s="91"/>
      <c r="C111" s="91"/>
      <c r="D111" s="55">
        <v>10</v>
      </c>
      <c r="E111" s="55" t="s">
        <v>290</v>
      </c>
      <c r="F111" s="47" t="s">
        <v>291</v>
      </c>
      <c r="G111" s="48">
        <v>1</v>
      </c>
      <c r="H111" s="49" t="s">
        <v>141</v>
      </c>
      <c r="I111" s="50">
        <v>360</v>
      </c>
      <c r="J111" s="50">
        <v>6</v>
      </c>
      <c r="K111" s="50"/>
      <c r="L111" s="54">
        <f>9/1.13</f>
        <v>7.9646017699115053</v>
      </c>
      <c r="M111" s="54"/>
      <c r="N111" s="52">
        <f>J111*J111*0.00617*I111/1000</f>
        <v>7.9963199999999998E-2</v>
      </c>
      <c r="O111" s="52">
        <v>7.9518960000000014E-2</v>
      </c>
      <c r="P111" s="52">
        <f t="shared" si="40"/>
        <v>4.4423999999998465E-4</v>
      </c>
      <c r="Q111" s="53">
        <f>(L111*N111-M111*P111)*G111</f>
        <v>0.63687504424778763</v>
      </c>
      <c r="R111" s="47"/>
      <c r="S111" s="48"/>
      <c r="T111" s="48"/>
      <c r="U111" s="54"/>
      <c r="V111" s="54">
        <f t="shared" ref="V111:V115" si="41">T111*U111</f>
        <v>0</v>
      </c>
      <c r="W111" s="93"/>
      <c r="X111" s="87"/>
      <c r="Y111" s="96"/>
      <c r="Z111" s="87"/>
    </row>
    <row r="112" spans="1:26" x14ac:dyDescent="0.2">
      <c r="A112" s="89"/>
      <c r="B112" s="91"/>
      <c r="C112" s="91"/>
      <c r="D112" s="55">
        <v>11</v>
      </c>
      <c r="E112" s="55" t="s">
        <v>292</v>
      </c>
      <c r="F112" s="47" t="s">
        <v>293</v>
      </c>
      <c r="G112" s="48">
        <v>1</v>
      </c>
      <c r="H112" s="49" t="s">
        <v>269</v>
      </c>
      <c r="I112" s="50">
        <f>84+3.2</f>
        <v>87.2</v>
      </c>
      <c r="J112" s="50">
        <f>45+3.2</f>
        <v>48.2</v>
      </c>
      <c r="K112" s="50">
        <v>1.6</v>
      </c>
      <c r="L112" s="54">
        <v>5.18</v>
      </c>
      <c r="M112" s="54">
        <v>2.6</v>
      </c>
      <c r="N112" s="56">
        <f>I112*J112*K112*7.85/1000000</f>
        <v>5.2790182399999996E-2</v>
      </c>
      <c r="O112" s="56">
        <v>4.7476799999999993E-2</v>
      </c>
      <c r="P112" s="52">
        <f t="shared" si="40"/>
        <v>5.3133824000000038E-3</v>
      </c>
      <c r="Q112" s="53">
        <f>(L112*N112-M112*P112)*G112</f>
        <v>0.25963835059199997</v>
      </c>
      <c r="R112" s="47" t="s">
        <v>225</v>
      </c>
      <c r="S112" s="48" t="s">
        <v>294</v>
      </c>
      <c r="T112" s="48">
        <v>1</v>
      </c>
      <c r="U112" s="54">
        <v>0.04</v>
      </c>
      <c r="V112" s="54">
        <f t="shared" si="41"/>
        <v>0.04</v>
      </c>
      <c r="W112" s="93"/>
      <c r="X112" s="87"/>
      <c r="Y112" s="96"/>
      <c r="Z112" s="87"/>
    </row>
    <row r="113" spans="1:26" x14ac:dyDescent="0.2">
      <c r="A113" s="89"/>
      <c r="B113" s="91"/>
      <c r="C113" s="91"/>
      <c r="D113" s="55">
        <v>12</v>
      </c>
      <c r="E113" s="55" t="s">
        <v>295</v>
      </c>
      <c r="F113" s="47" t="s">
        <v>296</v>
      </c>
      <c r="G113" s="48">
        <v>1</v>
      </c>
      <c r="H113" s="49" t="s">
        <v>269</v>
      </c>
      <c r="I113" s="50">
        <f>392+11+1.6*2</f>
        <v>406.2</v>
      </c>
      <c r="J113" s="50">
        <f>150+1.6*2</f>
        <v>153.19999999999999</v>
      </c>
      <c r="K113" s="50">
        <v>1.6</v>
      </c>
      <c r="L113" s="54">
        <v>5.18</v>
      </c>
      <c r="M113" s="54">
        <v>2.6</v>
      </c>
      <c r="N113" s="56">
        <f>I113*J113*K113*7.85/1000000</f>
        <v>0.78160679040000003</v>
      </c>
      <c r="O113" s="56">
        <v>0.75925200000000004</v>
      </c>
      <c r="P113" s="52">
        <f t="shared" si="40"/>
        <v>2.2354790399999991E-2</v>
      </c>
      <c r="Q113" s="53">
        <f>(L113*N113-M113*P113)*G113</f>
        <v>3.9906007192320003</v>
      </c>
      <c r="R113" s="47" t="s">
        <v>200</v>
      </c>
      <c r="S113" s="48" t="s">
        <v>201</v>
      </c>
      <c r="T113" s="48">
        <v>1</v>
      </c>
      <c r="U113" s="54">
        <v>0.25</v>
      </c>
      <c r="V113" s="54">
        <f t="shared" si="41"/>
        <v>0.25</v>
      </c>
      <c r="W113" s="93"/>
      <c r="X113" s="87"/>
      <c r="Y113" s="96"/>
      <c r="Z113" s="87"/>
    </row>
    <row r="114" spans="1:26" x14ac:dyDescent="0.2">
      <c r="A114" s="89"/>
      <c r="B114" s="91"/>
      <c r="C114" s="91"/>
      <c r="D114" s="55"/>
      <c r="E114" s="55"/>
      <c r="F114" s="47"/>
      <c r="G114" s="48"/>
      <c r="H114" s="47"/>
      <c r="I114" s="50"/>
      <c r="J114" s="50"/>
      <c r="K114" s="50"/>
      <c r="L114" s="54"/>
      <c r="M114" s="54"/>
      <c r="N114" s="52"/>
      <c r="O114" s="52"/>
      <c r="P114" s="52"/>
      <c r="Q114" s="53"/>
      <c r="R114" s="47" t="s">
        <v>202</v>
      </c>
      <c r="S114" s="48" t="s">
        <v>201</v>
      </c>
      <c r="T114" s="48">
        <v>1</v>
      </c>
      <c r="U114" s="54">
        <v>0.25</v>
      </c>
      <c r="V114" s="54">
        <f t="shared" si="41"/>
        <v>0.25</v>
      </c>
      <c r="W114" s="93"/>
      <c r="X114" s="87"/>
      <c r="Y114" s="96"/>
      <c r="Z114" s="87"/>
    </row>
    <row r="115" spans="1:26" x14ac:dyDescent="0.2">
      <c r="A115" s="89"/>
      <c r="B115" s="91"/>
      <c r="C115" s="91"/>
      <c r="D115" s="55"/>
      <c r="E115" s="55"/>
      <c r="F115" s="47"/>
      <c r="G115" s="48"/>
      <c r="H115" s="47"/>
      <c r="I115" s="50"/>
      <c r="J115" s="50"/>
      <c r="K115" s="50"/>
      <c r="L115" s="54"/>
      <c r="M115" s="54"/>
      <c r="N115" s="52"/>
      <c r="O115" s="52"/>
      <c r="P115" s="52"/>
      <c r="Q115" s="53"/>
      <c r="R115" s="47" t="s">
        <v>276</v>
      </c>
      <c r="S115" s="48" t="s">
        <v>204</v>
      </c>
      <c r="T115" s="48">
        <v>1</v>
      </c>
      <c r="U115" s="54">
        <v>0.15</v>
      </c>
      <c r="V115" s="54">
        <f t="shared" si="41"/>
        <v>0.15</v>
      </c>
      <c r="W115" s="93"/>
      <c r="X115" s="87"/>
      <c r="Y115" s="96"/>
      <c r="Z115" s="87"/>
    </row>
    <row r="116" spans="1:26" x14ac:dyDescent="0.2">
      <c r="A116" s="89"/>
      <c r="B116" s="91"/>
      <c r="C116" s="91"/>
      <c r="D116" s="55"/>
      <c r="E116" s="55"/>
      <c r="F116" s="47"/>
      <c r="G116" s="48"/>
      <c r="H116" s="47"/>
      <c r="I116" s="50"/>
      <c r="J116" s="50"/>
      <c r="K116" s="50"/>
      <c r="L116" s="54"/>
      <c r="M116" s="54"/>
      <c r="N116" s="52"/>
      <c r="O116" s="52"/>
      <c r="P116" s="52"/>
      <c r="Q116" s="53"/>
      <c r="R116" s="47" t="s">
        <v>297</v>
      </c>
      <c r="S116" s="48"/>
      <c r="T116" s="48">
        <f>2*3*1+2*3*1+4*2.5+4*1+4*0.5+6*1.5+4*0.5+4*3*1</f>
        <v>51</v>
      </c>
      <c r="U116" s="54">
        <v>0.05</v>
      </c>
      <c r="V116" s="54">
        <f>T116*U116</f>
        <v>2.5500000000000003</v>
      </c>
      <c r="W116" s="93"/>
      <c r="X116" s="87"/>
      <c r="Y116" s="96"/>
      <c r="Z116" s="87"/>
    </row>
    <row r="117" spans="1:26" x14ac:dyDescent="0.2">
      <c r="A117" s="89"/>
      <c r="B117" s="91"/>
      <c r="C117" s="91"/>
      <c r="D117" s="55"/>
      <c r="E117" s="55"/>
      <c r="F117" s="47"/>
      <c r="G117" s="48"/>
      <c r="H117" s="47"/>
      <c r="I117" s="50"/>
      <c r="J117" s="50"/>
      <c r="K117" s="50"/>
      <c r="L117" s="54"/>
      <c r="M117" s="54"/>
      <c r="N117" s="52"/>
      <c r="O117" s="52"/>
      <c r="P117" s="52"/>
      <c r="Q117" s="53"/>
      <c r="R117" s="47" t="s">
        <v>298</v>
      </c>
      <c r="S117" s="48"/>
      <c r="T117" s="48">
        <v>1</v>
      </c>
      <c r="U117" s="54">
        <v>0.5</v>
      </c>
      <c r="V117" s="54">
        <f>T117*U117</f>
        <v>0.5</v>
      </c>
      <c r="W117" s="93"/>
      <c r="X117" s="87"/>
      <c r="Y117" s="96"/>
      <c r="Z117" s="87"/>
    </row>
    <row r="118" spans="1:26" x14ac:dyDescent="0.2">
      <c r="A118" s="89"/>
      <c r="B118" s="91"/>
      <c r="C118" s="91"/>
      <c r="D118" s="55"/>
      <c r="E118" s="55"/>
      <c r="F118" s="47"/>
      <c r="G118" s="48"/>
      <c r="H118" s="47"/>
      <c r="I118" s="50"/>
      <c r="J118" s="50"/>
      <c r="K118" s="50"/>
      <c r="L118" s="54"/>
      <c r="M118" s="54"/>
      <c r="N118" s="52"/>
      <c r="O118" s="52"/>
      <c r="P118" s="52"/>
      <c r="Q118" s="53"/>
      <c r="R118" s="47" t="s">
        <v>299</v>
      </c>
      <c r="S118" s="48"/>
      <c r="T118" s="48">
        <f>0.344*0.4745*2*0.3</f>
        <v>9.7936799999999991E-2</v>
      </c>
      <c r="U118" s="54">
        <v>15</v>
      </c>
      <c r="V118" s="54">
        <f>T118*U118</f>
        <v>1.4690519999999998</v>
      </c>
      <c r="W118" s="93"/>
      <c r="X118" s="87"/>
      <c r="Y118" s="96"/>
      <c r="Z118" s="87"/>
    </row>
    <row r="119" spans="1:26" ht="15" thickBot="1" x14ac:dyDescent="0.25">
      <c r="A119" s="90"/>
      <c r="B119" s="92"/>
      <c r="C119" s="92"/>
      <c r="D119" s="59"/>
      <c r="E119" s="59"/>
      <c r="F119" s="60" t="s">
        <v>158</v>
      </c>
      <c r="G119" s="61"/>
      <c r="H119" s="60"/>
      <c r="I119" s="62"/>
      <c r="J119" s="62"/>
      <c r="K119" s="62"/>
      <c r="L119" s="63"/>
      <c r="M119" s="63"/>
      <c r="N119" s="64"/>
      <c r="O119" s="64"/>
      <c r="P119" s="64"/>
      <c r="Q119" s="65">
        <f>SUM(Q96:Q118)</f>
        <v>19.733323551778973</v>
      </c>
      <c r="R119" s="60"/>
      <c r="S119" s="61"/>
      <c r="T119" s="61"/>
      <c r="U119" s="63"/>
      <c r="V119" s="63">
        <f>SUM(V96:V118)</f>
        <v>6.6790520000000004</v>
      </c>
      <c r="W119" s="94">
        <f>(Q119+V119)*W96</f>
        <v>29.581860617992451</v>
      </c>
      <c r="X119" s="88"/>
      <c r="Y119" s="66">
        <v>1.19</v>
      </c>
      <c r="Z119" s="88">
        <f>SUM(Q119:Y119)</f>
        <v>57.184236169771424</v>
      </c>
    </row>
    <row r="120" spans="1:26" x14ac:dyDescent="0.2">
      <c r="A120" s="89">
        <v>5</v>
      </c>
      <c r="B120" s="91" t="s">
        <v>300</v>
      </c>
      <c r="C120" s="91" t="s">
        <v>301</v>
      </c>
      <c r="D120" s="46">
        <v>1</v>
      </c>
      <c r="E120" s="46" t="s">
        <v>272</v>
      </c>
      <c r="F120" s="47" t="s">
        <v>273</v>
      </c>
      <c r="G120" s="48">
        <v>1</v>
      </c>
      <c r="H120" s="49" t="s">
        <v>97</v>
      </c>
      <c r="I120" s="50">
        <v>552</v>
      </c>
      <c r="J120" s="50">
        <v>25</v>
      </c>
      <c r="K120" s="50">
        <v>2</v>
      </c>
      <c r="L120" s="51">
        <v>4.5999999999999996</v>
      </c>
      <c r="M120" s="51">
        <v>2.6</v>
      </c>
      <c r="N120" s="52">
        <f>(J120-K120)*K120*0.02466*I120/1000</f>
        <v>0.62616672000000007</v>
      </c>
      <c r="O120" s="52">
        <v>0.62389800000000006</v>
      </c>
      <c r="P120" s="52">
        <f t="shared" ref="P120" si="42">N120-O120</f>
        <v>2.2687200000000018E-3</v>
      </c>
      <c r="Q120" s="53">
        <f>(L120*N120-M120*P120)*G120</f>
        <v>2.8744682400000001</v>
      </c>
      <c r="R120" s="47" t="s">
        <v>98</v>
      </c>
      <c r="S120" s="48"/>
      <c r="T120" s="48">
        <v>1</v>
      </c>
      <c r="U120" s="54">
        <v>0.08</v>
      </c>
      <c r="V120" s="54">
        <f>T120*U120</f>
        <v>0.08</v>
      </c>
      <c r="W120" s="93">
        <v>1.1200000000000001</v>
      </c>
      <c r="X120" s="87">
        <f>W120*(Q146+V146-Q126-Q134)+(Q126+Q134)*1.03</f>
        <v>30.248726536840458</v>
      </c>
      <c r="Y120" s="95" t="s">
        <v>302</v>
      </c>
      <c r="Z120" s="87">
        <f>X120+Y146</f>
        <v>31.438726536840459</v>
      </c>
    </row>
    <row r="121" spans="1:26" x14ac:dyDescent="0.2">
      <c r="A121" s="89"/>
      <c r="B121" s="91"/>
      <c r="C121" s="91"/>
      <c r="D121" s="46"/>
      <c r="E121" s="46"/>
      <c r="F121" s="47"/>
      <c r="G121" s="48"/>
      <c r="H121" s="49"/>
      <c r="I121" s="50"/>
      <c r="J121" s="50"/>
      <c r="K121" s="50"/>
      <c r="L121" s="51"/>
      <c r="M121" s="51"/>
      <c r="N121" s="52"/>
      <c r="O121" s="52"/>
      <c r="P121" s="52"/>
      <c r="Q121" s="53"/>
      <c r="R121" s="47" t="s">
        <v>181</v>
      </c>
      <c r="S121" s="48"/>
      <c r="T121" s="48">
        <v>4</v>
      </c>
      <c r="U121" s="54">
        <v>0.05</v>
      </c>
      <c r="V121" s="54">
        <f t="shared" ref="V121:V127" si="43">T121*U121</f>
        <v>0.2</v>
      </c>
      <c r="W121" s="93"/>
      <c r="X121" s="87"/>
      <c r="Y121" s="96"/>
      <c r="Z121" s="87"/>
    </row>
    <row r="122" spans="1:26" x14ac:dyDescent="0.2">
      <c r="A122" s="89"/>
      <c r="B122" s="91"/>
      <c r="C122" s="91"/>
      <c r="D122" s="55">
        <v>2</v>
      </c>
      <c r="E122" s="55" t="s">
        <v>275</v>
      </c>
      <c r="F122" s="47" t="s">
        <v>303</v>
      </c>
      <c r="G122" s="48">
        <v>1</v>
      </c>
      <c r="H122" s="49" t="s">
        <v>269</v>
      </c>
      <c r="I122" s="50">
        <f>392+11+1.6*2</f>
        <v>406.2</v>
      </c>
      <c r="J122" s="50">
        <f>150+1.6*2</f>
        <v>153.19999999999999</v>
      </c>
      <c r="K122" s="50">
        <v>1.6</v>
      </c>
      <c r="L122" s="54">
        <v>5.18</v>
      </c>
      <c r="M122" s="54">
        <v>2.6</v>
      </c>
      <c r="N122" s="56">
        <f>I122*J122*K122*7.85/1000000</f>
        <v>0.78160679040000003</v>
      </c>
      <c r="O122" s="56">
        <v>0.75925200000000004</v>
      </c>
      <c r="P122" s="52">
        <f t="shared" ref="P122" si="44">N122-O122</f>
        <v>2.2354790399999991E-2</v>
      </c>
      <c r="Q122" s="53">
        <f>(L122*N122-M122*P122)*G122</f>
        <v>3.9906007192320003</v>
      </c>
      <c r="R122" s="47" t="s">
        <v>167</v>
      </c>
      <c r="S122" s="48" t="s">
        <v>168</v>
      </c>
      <c r="T122" s="48">
        <v>1</v>
      </c>
      <c r="U122" s="54">
        <v>0.25</v>
      </c>
      <c r="V122" s="54">
        <f t="shared" si="43"/>
        <v>0.25</v>
      </c>
      <c r="W122" s="93"/>
      <c r="X122" s="87"/>
      <c r="Y122" s="96"/>
      <c r="Z122" s="87"/>
    </row>
    <row r="123" spans="1:26" x14ac:dyDescent="0.2">
      <c r="A123" s="89"/>
      <c r="B123" s="91"/>
      <c r="C123" s="91"/>
      <c r="D123" s="55"/>
      <c r="E123" s="55"/>
      <c r="F123" s="47"/>
      <c r="G123" s="48"/>
      <c r="H123" s="49"/>
      <c r="I123" s="50"/>
      <c r="J123" s="50"/>
      <c r="K123" s="50"/>
      <c r="L123" s="54"/>
      <c r="M123" s="54"/>
      <c r="N123" s="52"/>
      <c r="O123" s="52"/>
      <c r="P123" s="52"/>
      <c r="Q123" s="53"/>
      <c r="R123" s="47" t="s">
        <v>169</v>
      </c>
      <c r="S123" s="48" t="s">
        <v>168</v>
      </c>
      <c r="T123" s="48">
        <v>1</v>
      </c>
      <c r="U123" s="54">
        <v>0.25</v>
      </c>
      <c r="V123" s="54">
        <f t="shared" si="43"/>
        <v>0.25</v>
      </c>
      <c r="W123" s="93"/>
      <c r="X123" s="87"/>
      <c r="Y123" s="96"/>
      <c r="Z123" s="87"/>
    </row>
    <row r="124" spans="1:26" x14ac:dyDescent="0.2">
      <c r="A124" s="89"/>
      <c r="B124" s="91"/>
      <c r="C124" s="91"/>
      <c r="D124" s="55"/>
      <c r="E124" s="55"/>
      <c r="F124" s="47"/>
      <c r="G124" s="48"/>
      <c r="H124" s="49"/>
      <c r="I124" s="50"/>
      <c r="J124" s="50"/>
      <c r="K124" s="50"/>
      <c r="L124" s="54"/>
      <c r="M124" s="54"/>
      <c r="N124" s="52"/>
      <c r="O124" s="52"/>
      <c r="P124" s="52"/>
      <c r="Q124" s="53"/>
      <c r="R124" s="47" t="s">
        <v>170</v>
      </c>
      <c r="S124" s="48" t="s">
        <v>171</v>
      </c>
      <c r="T124" s="48">
        <v>1</v>
      </c>
      <c r="U124" s="54">
        <v>0.15</v>
      </c>
      <c r="V124" s="54">
        <f t="shared" si="43"/>
        <v>0.15</v>
      </c>
      <c r="W124" s="93"/>
      <c r="X124" s="87"/>
      <c r="Y124" s="96"/>
      <c r="Z124" s="87"/>
    </row>
    <row r="125" spans="1:26" x14ac:dyDescent="0.2">
      <c r="A125" s="89"/>
      <c r="B125" s="91"/>
      <c r="C125" s="91"/>
      <c r="D125" s="55">
        <v>3</v>
      </c>
      <c r="E125" s="55" t="s">
        <v>109</v>
      </c>
      <c r="F125" s="47" t="s">
        <v>172</v>
      </c>
      <c r="G125" s="48">
        <v>1</v>
      </c>
      <c r="H125" s="49" t="s">
        <v>149</v>
      </c>
      <c r="I125" s="50">
        <f>84+3.2</f>
        <v>87.2</v>
      </c>
      <c r="J125" s="50">
        <f>45+3.2</f>
        <v>48.2</v>
      </c>
      <c r="K125" s="50">
        <v>1.6</v>
      </c>
      <c r="L125" s="54">
        <v>5.18</v>
      </c>
      <c r="M125" s="54">
        <v>2.6</v>
      </c>
      <c r="N125" s="56">
        <f>I125*J125*K125*7.85/1000000</f>
        <v>5.2790182399999996E-2</v>
      </c>
      <c r="O125" s="56">
        <v>4.7476799999999993E-2</v>
      </c>
      <c r="P125" s="52">
        <f t="shared" ref="P125" si="45">N125-O125</f>
        <v>5.3133824000000038E-3</v>
      </c>
      <c r="Q125" s="53">
        <f>(L125*N125-M125*P125)*G125</f>
        <v>0.25963835059199997</v>
      </c>
      <c r="R125" s="47" t="s">
        <v>304</v>
      </c>
      <c r="S125" s="48" t="s">
        <v>305</v>
      </c>
      <c r="T125" s="48">
        <v>1</v>
      </c>
      <c r="U125" s="54">
        <v>0.04</v>
      </c>
      <c r="V125" s="54">
        <f t="shared" si="43"/>
        <v>0.04</v>
      </c>
      <c r="W125" s="93"/>
      <c r="X125" s="87"/>
      <c r="Y125" s="96"/>
      <c r="Z125" s="87"/>
    </row>
    <row r="126" spans="1:26" x14ac:dyDescent="0.2">
      <c r="A126" s="89"/>
      <c r="B126" s="91"/>
      <c r="C126" s="91"/>
      <c r="D126" s="55">
        <v>4</v>
      </c>
      <c r="E126" s="55" t="s">
        <v>278</v>
      </c>
      <c r="F126" s="57" t="s">
        <v>306</v>
      </c>
      <c r="G126" s="48">
        <v>4</v>
      </c>
      <c r="H126" s="49"/>
      <c r="I126" s="50"/>
      <c r="J126" s="50"/>
      <c r="K126" s="50"/>
      <c r="L126" s="54">
        <v>0.1137</v>
      </c>
      <c r="M126" s="54"/>
      <c r="N126" s="52"/>
      <c r="O126" s="52"/>
      <c r="P126" s="52"/>
      <c r="Q126" s="53">
        <f>G126*L126</f>
        <v>0.45479999999999998</v>
      </c>
      <c r="R126" s="47"/>
      <c r="S126" s="48"/>
      <c r="T126" s="48"/>
      <c r="U126" s="54"/>
      <c r="V126" s="54">
        <f t="shared" si="43"/>
        <v>0</v>
      </c>
      <c r="W126" s="93"/>
      <c r="X126" s="87"/>
      <c r="Y126" s="96"/>
      <c r="Z126" s="87"/>
    </row>
    <row r="127" spans="1:26" x14ac:dyDescent="0.2">
      <c r="A127" s="89"/>
      <c r="B127" s="91"/>
      <c r="C127" s="91"/>
      <c r="D127" s="55">
        <v>5</v>
      </c>
      <c r="E127" s="55" t="s">
        <v>279</v>
      </c>
      <c r="F127" s="57" t="s">
        <v>280</v>
      </c>
      <c r="G127" s="48">
        <v>1</v>
      </c>
      <c r="H127" s="49" t="s">
        <v>213</v>
      </c>
      <c r="I127" s="50">
        <v>360</v>
      </c>
      <c r="J127" s="50">
        <v>5</v>
      </c>
      <c r="K127" s="50"/>
      <c r="L127" s="54">
        <f>9/1.13</f>
        <v>7.9646017699115053</v>
      </c>
      <c r="M127" s="54"/>
      <c r="N127" s="52">
        <f>J127*J127*0.00617*I127/1000</f>
        <v>5.5530000000000003E-2</v>
      </c>
      <c r="O127" s="52">
        <v>5.5530000000000003E-2</v>
      </c>
      <c r="P127" s="52">
        <f t="shared" ref="P127:P128" si="46">N127-O127</f>
        <v>0</v>
      </c>
      <c r="Q127" s="53">
        <f>(L127*N127-M127*P127)*G127</f>
        <v>0.44227433628318591</v>
      </c>
      <c r="R127" s="47" t="s">
        <v>307</v>
      </c>
      <c r="S127" s="48"/>
      <c r="T127" s="48"/>
      <c r="U127" s="54"/>
      <c r="V127" s="54">
        <f t="shared" si="43"/>
        <v>0</v>
      </c>
      <c r="W127" s="93"/>
      <c r="X127" s="87"/>
      <c r="Y127" s="96"/>
      <c r="Z127" s="87"/>
    </row>
    <row r="128" spans="1:26" x14ac:dyDescent="0.2">
      <c r="A128" s="89"/>
      <c r="B128" s="91"/>
      <c r="C128" s="91"/>
      <c r="D128" s="55">
        <v>6</v>
      </c>
      <c r="E128" s="55" t="s">
        <v>308</v>
      </c>
      <c r="F128" s="47" t="s">
        <v>309</v>
      </c>
      <c r="G128" s="48">
        <v>1</v>
      </c>
      <c r="H128" s="49" t="s">
        <v>252</v>
      </c>
      <c r="I128" s="50">
        <v>624</v>
      </c>
      <c r="J128" s="50">
        <v>25</v>
      </c>
      <c r="K128" s="50">
        <v>2</v>
      </c>
      <c r="L128" s="51">
        <v>4.5999999999999996</v>
      </c>
      <c r="M128" s="54">
        <v>2.6</v>
      </c>
      <c r="N128" s="52">
        <f>(J128-K128)*K128*0.02466*I128/1000</f>
        <v>0.70784064000000002</v>
      </c>
      <c r="O128" s="52">
        <v>0.70557192000000002</v>
      </c>
      <c r="P128" s="52">
        <f t="shared" si="46"/>
        <v>2.2687200000000018E-3</v>
      </c>
      <c r="Q128" s="53">
        <f>(L128*N128-M128*P128)*G128</f>
        <v>3.2501682719999998</v>
      </c>
      <c r="R128" s="47" t="s">
        <v>98</v>
      </c>
      <c r="S128" s="48"/>
      <c r="T128" s="48">
        <v>1</v>
      </c>
      <c r="U128" s="54">
        <v>0.08</v>
      </c>
      <c r="V128" s="54">
        <f>T128*U128</f>
        <v>0.08</v>
      </c>
      <c r="W128" s="93"/>
      <c r="X128" s="87"/>
      <c r="Y128" s="96"/>
      <c r="Z128" s="87"/>
    </row>
    <row r="129" spans="1:26" x14ac:dyDescent="0.2">
      <c r="A129" s="89"/>
      <c r="B129" s="91"/>
      <c r="C129" s="91"/>
      <c r="D129" s="55"/>
      <c r="E129" s="55"/>
      <c r="F129" s="47"/>
      <c r="G129" s="48"/>
      <c r="H129" s="49"/>
      <c r="I129" s="50"/>
      <c r="J129" s="50"/>
      <c r="K129" s="50"/>
      <c r="L129" s="54"/>
      <c r="M129" s="54"/>
      <c r="N129" s="52"/>
      <c r="O129" s="52"/>
      <c r="P129" s="52"/>
      <c r="Q129" s="53"/>
      <c r="R129" s="47" t="s">
        <v>164</v>
      </c>
      <c r="S129" s="48"/>
      <c r="T129" s="48">
        <v>2</v>
      </c>
      <c r="U129" s="54">
        <v>0.05</v>
      </c>
      <c r="V129" s="54">
        <f t="shared" ref="V129:V134" si="47">T129*U129</f>
        <v>0.1</v>
      </c>
      <c r="W129" s="93"/>
      <c r="X129" s="87"/>
      <c r="Y129" s="96"/>
      <c r="Z129" s="87"/>
    </row>
    <row r="130" spans="1:26" x14ac:dyDescent="0.2">
      <c r="A130" s="89"/>
      <c r="B130" s="91"/>
      <c r="C130" s="91"/>
      <c r="D130" s="55"/>
      <c r="E130" s="55"/>
      <c r="F130" s="47"/>
      <c r="G130" s="48"/>
      <c r="H130" s="49"/>
      <c r="I130" s="50"/>
      <c r="J130" s="50"/>
      <c r="K130" s="50"/>
      <c r="L130" s="54"/>
      <c r="M130" s="54"/>
      <c r="N130" s="52"/>
      <c r="O130" s="52"/>
      <c r="P130" s="52"/>
      <c r="Q130" s="53"/>
      <c r="R130" s="47" t="s">
        <v>310</v>
      </c>
      <c r="S130" s="48" t="s">
        <v>311</v>
      </c>
      <c r="T130" s="48">
        <v>4</v>
      </c>
      <c r="U130" s="54">
        <v>0.03</v>
      </c>
      <c r="V130" s="54">
        <f t="shared" si="47"/>
        <v>0.12</v>
      </c>
      <c r="W130" s="93"/>
      <c r="X130" s="87"/>
      <c r="Y130" s="96"/>
      <c r="Z130" s="87"/>
    </row>
    <row r="131" spans="1:26" x14ac:dyDescent="0.2">
      <c r="A131" s="89"/>
      <c r="B131" s="91"/>
      <c r="C131" s="91"/>
      <c r="D131" s="55">
        <v>7</v>
      </c>
      <c r="E131" s="55" t="s">
        <v>284</v>
      </c>
      <c r="F131" s="47" t="s">
        <v>312</v>
      </c>
      <c r="G131" s="48">
        <v>2</v>
      </c>
      <c r="H131" s="49" t="s">
        <v>141</v>
      </c>
      <c r="I131" s="50">
        <f>120+5</f>
        <v>125</v>
      </c>
      <c r="J131" s="50">
        <f>80+5</f>
        <v>85</v>
      </c>
      <c r="K131" s="50">
        <v>2.5</v>
      </c>
      <c r="L131" s="58">
        <v>4.8</v>
      </c>
      <c r="M131" s="51">
        <v>2.6</v>
      </c>
      <c r="N131" s="56">
        <f>I131*J131*K131*7.85/1000000</f>
        <v>0.20851562500000001</v>
      </c>
      <c r="O131" s="56">
        <v>0.18840000000000001</v>
      </c>
      <c r="P131" s="52">
        <f t="shared" ref="P131" si="48">N131-O131</f>
        <v>2.0115624999999998E-2</v>
      </c>
      <c r="Q131" s="53">
        <f>(L131*N131-M131*P131)*G131</f>
        <v>1.8971487499999999</v>
      </c>
      <c r="R131" s="47" t="s">
        <v>313</v>
      </c>
      <c r="S131" s="48" t="s">
        <v>305</v>
      </c>
      <c r="T131" s="48">
        <v>2</v>
      </c>
      <c r="U131" s="54">
        <v>0.04</v>
      </c>
      <c r="V131" s="54">
        <f t="shared" si="47"/>
        <v>0.08</v>
      </c>
      <c r="W131" s="93"/>
      <c r="X131" s="87"/>
      <c r="Y131" s="96"/>
      <c r="Z131" s="87"/>
    </row>
    <row r="132" spans="1:26" x14ac:dyDescent="0.2">
      <c r="A132" s="89"/>
      <c r="B132" s="91"/>
      <c r="C132" s="91"/>
      <c r="D132" s="55"/>
      <c r="E132" s="55"/>
      <c r="F132" s="47"/>
      <c r="G132" s="48"/>
      <c r="H132" s="49"/>
      <c r="I132" s="50"/>
      <c r="J132" s="50"/>
      <c r="K132" s="50"/>
      <c r="L132" s="58"/>
      <c r="M132" s="51"/>
      <c r="N132" s="56"/>
      <c r="O132" s="56"/>
      <c r="P132" s="52"/>
      <c r="Q132" s="53"/>
      <c r="R132" s="47" t="s">
        <v>314</v>
      </c>
      <c r="S132" s="48" t="s">
        <v>305</v>
      </c>
      <c r="T132" s="48">
        <v>2</v>
      </c>
      <c r="U132" s="54">
        <v>0.04</v>
      </c>
      <c r="V132" s="54">
        <f t="shared" si="47"/>
        <v>0.08</v>
      </c>
      <c r="W132" s="93"/>
      <c r="X132" s="87"/>
      <c r="Y132" s="96"/>
      <c r="Z132" s="87"/>
    </row>
    <row r="133" spans="1:26" x14ac:dyDescent="0.2">
      <c r="A133" s="89"/>
      <c r="B133" s="91"/>
      <c r="C133" s="91"/>
      <c r="D133" s="55"/>
      <c r="E133" s="55"/>
      <c r="F133" s="47"/>
      <c r="G133" s="48"/>
      <c r="H133" s="49"/>
      <c r="I133" s="50"/>
      <c r="J133" s="50"/>
      <c r="K133" s="50"/>
      <c r="L133" s="58"/>
      <c r="M133" s="51"/>
      <c r="N133" s="56"/>
      <c r="O133" s="56"/>
      <c r="P133" s="52"/>
      <c r="Q133" s="53"/>
      <c r="R133" s="47" t="s">
        <v>315</v>
      </c>
      <c r="S133" s="48" t="s">
        <v>305</v>
      </c>
      <c r="T133" s="48">
        <v>2</v>
      </c>
      <c r="U133" s="54">
        <v>0.04</v>
      </c>
      <c r="V133" s="54">
        <f t="shared" si="47"/>
        <v>0.08</v>
      </c>
      <c r="W133" s="93"/>
      <c r="X133" s="87"/>
      <c r="Y133" s="96"/>
      <c r="Z133" s="87"/>
    </row>
    <row r="134" spans="1:26" x14ac:dyDescent="0.2">
      <c r="A134" s="89"/>
      <c r="B134" s="91"/>
      <c r="C134" s="91"/>
      <c r="D134" s="55">
        <v>8</v>
      </c>
      <c r="E134" s="55" t="s">
        <v>278</v>
      </c>
      <c r="F134" s="57" t="s">
        <v>316</v>
      </c>
      <c r="G134" s="48">
        <v>4</v>
      </c>
      <c r="H134" s="49"/>
      <c r="I134" s="50"/>
      <c r="J134" s="50"/>
      <c r="K134" s="50"/>
      <c r="L134" s="51">
        <v>3.3000000000000002E-2</v>
      </c>
      <c r="M134" s="51"/>
      <c r="N134" s="52"/>
      <c r="O134" s="52"/>
      <c r="P134" s="52"/>
      <c r="Q134" s="53">
        <f>G134*L134</f>
        <v>0.13200000000000001</v>
      </c>
      <c r="R134" s="47"/>
      <c r="S134" s="48"/>
      <c r="T134" s="48"/>
      <c r="U134" s="54"/>
      <c r="V134" s="54">
        <f t="shared" si="47"/>
        <v>0</v>
      </c>
      <c r="W134" s="93"/>
      <c r="X134" s="87"/>
      <c r="Y134" s="96"/>
      <c r="Z134" s="87"/>
    </row>
    <row r="135" spans="1:26" x14ac:dyDescent="0.2">
      <c r="A135" s="89"/>
      <c r="B135" s="91"/>
      <c r="C135" s="91"/>
      <c r="D135" s="55">
        <v>9</v>
      </c>
      <c r="E135" s="55" t="s">
        <v>288</v>
      </c>
      <c r="F135" s="47" t="s">
        <v>289</v>
      </c>
      <c r="G135" s="48">
        <v>1</v>
      </c>
      <c r="H135" s="49"/>
      <c r="I135" s="50">
        <f>335+2</f>
        <v>337</v>
      </c>
      <c r="J135" s="50">
        <v>20</v>
      </c>
      <c r="K135" s="50">
        <v>2</v>
      </c>
      <c r="L135" s="51">
        <v>4.5999999999999996</v>
      </c>
      <c r="M135" s="51">
        <v>2.6</v>
      </c>
      <c r="N135" s="52">
        <f>(J135-K135)*K135*0.02466*I135/1000</f>
        <v>0.29917512000000007</v>
      </c>
      <c r="O135" s="52">
        <v>0.29739960000000004</v>
      </c>
      <c r="P135" s="52">
        <f t="shared" ref="P135:P138" si="49">N135-O135</f>
        <v>1.7755200000000304E-3</v>
      </c>
      <c r="Q135" s="53">
        <f>(L135*N135-M135*P135)*G135</f>
        <v>1.3715892000000003</v>
      </c>
      <c r="R135" s="47" t="s">
        <v>98</v>
      </c>
      <c r="S135" s="48"/>
      <c r="T135" s="48">
        <v>1</v>
      </c>
      <c r="U135" s="54">
        <v>0.08</v>
      </c>
      <c r="V135" s="54">
        <f>T135*U135</f>
        <v>0.08</v>
      </c>
      <c r="W135" s="93"/>
      <c r="X135" s="87"/>
      <c r="Y135" s="96"/>
      <c r="Z135" s="87"/>
    </row>
    <row r="136" spans="1:26" x14ac:dyDescent="0.2">
      <c r="A136" s="89"/>
      <c r="B136" s="91"/>
      <c r="C136" s="91"/>
      <c r="D136" s="55">
        <v>10</v>
      </c>
      <c r="E136" s="55" t="s">
        <v>317</v>
      </c>
      <c r="F136" s="47" t="s">
        <v>318</v>
      </c>
      <c r="G136" s="48">
        <v>1</v>
      </c>
      <c r="H136" s="49" t="s">
        <v>213</v>
      </c>
      <c r="I136" s="50">
        <v>360</v>
      </c>
      <c r="J136" s="50">
        <v>6</v>
      </c>
      <c r="K136" s="50"/>
      <c r="L136" s="54">
        <f>9/1.13</f>
        <v>7.9646017699115053</v>
      </c>
      <c r="M136" s="54"/>
      <c r="N136" s="52">
        <f>J136*J136*0.00617*I136/1000</f>
        <v>7.9963199999999998E-2</v>
      </c>
      <c r="O136" s="52">
        <v>7.9518960000000014E-2</v>
      </c>
      <c r="P136" s="52">
        <f t="shared" si="49"/>
        <v>4.4423999999998465E-4</v>
      </c>
      <c r="Q136" s="53">
        <f>(L136*N136-M136*P136)*G136</f>
        <v>0.63687504424778763</v>
      </c>
      <c r="R136" s="47"/>
      <c r="S136" s="48"/>
      <c r="T136" s="48"/>
      <c r="U136" s="54"/>
      <c r="V136" s="54">
        <f t="shared" ref="V136:V140" si="50">T136*U136</f>
        <v>0</v>
      </c>
      <c r="W136" s="93"/>
      <c r="X136" s="87"/>
      <c r="Y136" s="96"/>
      <c r="Z136" s="87"/>
    </row>
    <row r="137" spans="1:26" x14ac:dyDescent="0.2">
      <c r="A137" s="89"/>
      <c r="B137" s="91"/>
      <c r="C137" s="91"/>
      <c r="D137" s="55">
        <v>11</v>
      </c>
      <c r="E137" s="55" t="s">
        <v>292</v>
      </c>
      <c r="F137" s="47" t="s">
        <v>319</v>
      </c>
      <c r="G137" s="48">
        <v>1</v>
      </c>
      <c r="H137" s="49" t="s">
        <v>320</v>
      </c>
      <c r="I137" s="50">
        <f>84+3.2</f>
        <v>87.2</v>
      </c>
      <c r="J137" s="50">
        <f>45+3.2</f>
        <v>48.2</v>
      </c>
      <c r="K137" s="50">
        <v>1.6</v>
      </c>
      <c r="L137" s="54">
        <v>5.18</v>
      </c>
      <c r="M137" s="54">
        <v>2.6</v>
      </c>
      <c r="N137" s="56">
        <f>I137*J137*K137*7.85/1000000</f>
        <v>5.2790182399999996E-2</v>
      </c>
      <c r="O137" s="56">
        <v>4.7476799999999993E-2</v>
      </c>
      <c r="P137" s="52">
        <f t="shared" si="49"/>
        <v>5.3133824000000038E-3</v>
      </c>
      <c r="Q137" s="53">
        <f>(L137*N137-M137*P137)*G137</f>
        <v>0.25963835059199997</v>
      </c>
      <c r="R137" s="47" t="s">
        <v>145</v>
      </c>
      <c r="S137" s="48" t="s">
        <v>146</v>
      </c>
      <c r="T137" s="48">
        <v>1</v>
      </c>
      <c r="U137" s="54">
        <v>0.04</v>
      </c>
      <c r="V137" s="54">
        <f t="shared" si="50"/>
        <v>0.04</v>
      </c>
      <c r="W137" s="93"/>
      <c r="X137" s="87"/>
      <c r="Y137" s="96"/>
      <c r="Z137" s="87"/>
    </row>
    <row r="138" spans="1:26" x14ac:dyDescent="0.2">
      <c r="A138" s="89"/>
      <c r="B138" s="91"/>
      <c r="C138" s="91"/>
      <c r="D138" s="55">
        <v>12</v>
      </c>
      <c r="E138" s="55" t="s">
        <v>295</v>
      </c>
      <c r="F138" s="47" t="s">
        <v>148</v>
      </c>
      <c r="G138" s="48">
        <v>1</v>
      </c>
      <c r="H138" s="49" t="s">
        <v>149</v>
      </c>
      <c r="I138" s="50">
        <f>392+11+1.6*2</f>
        <v>406.2</v>
      </c>
      <c r="J138" s="50">
        <f>150+1.6*2</f>
        <v>153.19999999999999</v>
      </c>
      <c r="K138" s="50">
        <v>1.6</v>
      </c>
      <c r="L138" s="54">
        <v>5.18</v>
      </c>
      <c r="M138" s="54">
        <v>2.6</v>
      </c>
      <c r="N138" s="56">
        <f>I138*J138*K138*7.85/1000000</f>
        <v>0.78160679040000003</v>
      </c>
      <c r="O138" s="56">
        <v>0.75925200000000004</v>
      </c>
      <c r="P138" s="52">
        <f t="shared" si="49"/>
        <v>2.2354790399999991E-2</v>
      </c>
      <c r="Q138" s="53">
        <f>(L138*N138-M138*P138)*G138</f>
        <v>3.9906007192320003</v>
      </c>
      <c r="R138" s="47" t="s">
        <v>200</v>
      </c>
      <c r="S138" s="48" t="s">
        <v>201</v>
      </c>
      <c r="T138" s="48">
        <v>1</v>
      </c>
      <c r="U138" s="54">
        <v>0.25</v>
      </c>
      <c r="V138" s="54">
        <f t="shared" si="50"/>
        <v>0.25</v>
      </c>
      <c r="W138" s="93"/>
      <c r="X138" s="87"/>
      <c r="Y138" s="96"/>
      <c r="Z138" s="87"/>
    </row>
    <row r="139" spans="1:26" x14ac:dyDescent="0.2">
      <c r="A139" s="89"/>
      <c r="B139" s="91"/>
      <c r="C139" s="91"/>
      <c r="D139" s="55"/>
      <c r="E139" s="55"/>
      <c r="F139" s="47"/>
      <c r="G139" s="48"/>
      <c r="H139" s="47"/>
      <c r="I139" s="50"/>
      <c r="J139" s="50"/>
      <c r="K139" s="50"/>
      <c r="L139" s="54"/>
      <c r="M139" s="54"/>
      <c r="N139" s="52"/>
      <c r="O139" s="52"/>
      <c r="P139" s="52"/>
      <c r="Q139" s="53"/>
      <c r="R139" s="47" t="s">
        <v>202</v>
      </c>
      <c r="S139" s="48" t="s">
        <v>201</v>
      </c>
      <c r="T139" s="48">
        <v>1</v>
      </c>
      <c r="U139" s="54">
        <v>0.25</v>
      </c>
      <c r="V139" s="54">
        <f t="shared" si="50"/>
        <v>0.25</v>
      </c>
      <c r="W139" s="93"/>
      <c r="X139" s="87"/>
      <c r="Y139" s="96"/>
      <c r="Z139" s="87"/>
    </row>
    <row r="140" spans="1:26" x14ac:dyDescent="0.2">
      <c r="A140" s="89"/>
      <c r="B140" s="91"/>
      <c r="C140" s="91"/>
      <c r="D140" s="55"/>
      <c r="E140" s="55"/>
      <c r="F140" s="47"/>
      <c r="G140" s="48"/>
      <c r="H140" s="47"/>
      <c r="I140" s="50"/>
      <c r="J140" s="50"/>
      <c r="K140" s="50"/>
      <c r="L140" s="54"/>
      <c r="M140" s="54"/>
      <c r="N140" s="52"/>
      <c r="O140" s="52"/>
      <c r="P140" s="52"/>
      <c r="Q140" s="53"/>
      <c r="R140" s="47" t="s">
        <v>276</v>
      </c>
      <c r="S140" s="48" t="s">
        <v>204</v>
      </c>
      <c r="T140" s="48">
        <v>1</v>
      </c>
      <c r="U140" s="54">
        <v>0.15</v>
      </c>
      <c r="V140" s="54">
        <f t="shared" si="50"/>
        <v>0.15</v>
      </c>
      <c r="W140" s="93"/>
      <c r="X140" s="87"/>
      <c r="Y140" s="96"/>
      <c r="Z140" s="87"/>
    </row>
    <row r="141" spans="1:26" x14ac:dyDescent="0.2">
      <c r="A141" s="89"/>
      <c r="B141" s="91"/>
      <c r="C141" s="91"/>
      <c r="D141" s="55">
        <v>13</v>
      </c>
      <c r="E141" s="55" t="s">
        <v>321</v>
      </c>
      <c r="F141" s="47" t="s">
        <v>322</v>
      </c>
      <c r="G141" s="48">
        <v>2</v>
      </c>
      <c r="H141" s="49" t="s">
        <v>180</v>
      </c>
      <c r="I141" s="50">
        <v>55</v>
      </c>
      <c r="J141" s="50">
        <v>19</v>
      </c>
      <c r="K141" s="50">
        <v>1.5</v>
      </c>
      <c r="L141" s="51">
        <v>4.5999999999999996</v>
      </c>
      <c r="M141" s="54">
        <v>2.6</v>
      </c>
      <c r="N141" s="52">
        <f>(19-1.5)*1.5*0.02466*0.057</f>
        <v>3.6897525E-2</v>
      </c>
      <c r="O141" s="52">
        <v>3.6250200000000003E-2</v>
      </c>
      <c r="P141" s="52">
        <f t="shared" ref="P141" si="51">N141-O141</f>
        <v>6.4732499999999721E-4</v>
      </c>
      <c r="Q141" s="53">
        <f>(L141*N141-M141*P141)*G141</f>
        <v>0.33609114000000001</v>
      </c>
      <c r="R141" s="47" t="s">
        <v>98</v>
      </c>
      <c r="S141" s="48"/>
      <c r="T141" s="48">
        <v>2</v>
      </c>
      <c r="U141" s="54">
        <v>0.08</v>
      </c>
      <c r="V141" s="54">
        <f>T141*U141</f>
        <v>0.16</v>
      </c>
      <c r="W141" s="93"/>
      <c r="X141" s="87"/>
      <c r="Y141" s="96"/>
      <c r="Z141" s="87"/>
    </row>
    <row r="142" spans="1:26" x14ac:dyDescent="0.2">
      <c r="A142" s="89"/>
      <c r="B142" s="91"/>
      <c r="C142" s="91"/>
      <c r="D142" s="55"/>
      <c r="E142" s="55"/>
      <c r="F142" s="47"/>
      <c r="G142" s="48"/>
      <c r="H142" s="49"/>
      <c r="I142" s="50"/>
      <c r="J142" s="50"/>
      <c r="K142" s="50"/>
      <c r="L142" s="54"/>
      <c r="M142" s="54"/>
      <c r="N142" s="52"/>
      <c r="O142" s="52"/>
      <c r="P142" s="52"/>
      <c r="Q142" s="53"/>
      <c r="R142" s="47" t="s">
        <v>323</v>
      </c>
      <c r="S142" s="48"/>
      <c r="T142" s="48">
        <v>4</v>
      </c>
      <c r="U142" s="54">
        <v>0.05</v>
      </c>
      <c r="V142" s="54">
        <f t="shared" ref="V142" si="52">T142*U142</f>
        <v>0.2</v>
      </c>
      <c r="W142" s="93"/>
      <c r="X142" s="87"/>
      <c r="Y142" s="96"/>
      <c r="Z142" s="87"/>
    </row>
    <row r="143" spans="1:26" x14ac:dyDescent="0.2">
      <c r="A143" s="89"/>
      <c r="B143" s="91"/>
      <c r="C143" s="91"/>
      <c r="D143" s="55"/>
      <c r="E143" s="55"/>
      <c r="F143" s="47"/>
      <c r="G143" s="48"/>
      <c r="H143" s="47"/>
      <c r="I143" s="50"/>
      <c r="J143" s="50"/>
      <c r="K143" s="50"/>
      <c r="L143" s="54"/>
      <c r="M143" s="54"/>
      <c r="N143" s="52"/>
      <c r="O143" s="52"/>
      <c r="P143" s="52"/>
      <c r="Q143" s="53"/>
      <c r="R143" s="47" t="s">
        <v>297</v>
      </c>
      <c r="S143" s="48"/>
      <c r="T143" s="48">
        <f>2*3*1+2*3*1+4*2.5+4*1+4*0.5+6*1.5+4*0.5+4*3*1</f>
        <v>51</v>
      </c>
      <c r="U143" s="54">
        <v>0.05</v>
      </c>
      <c r="V143" s="54">
        <f>T143*U143</f>
        <v>2.5500000000000003</v>
      </c>
      <c r="W143" s="93"/>
      <c r="X143" s="87"/>
      <c r="Y143" s="96"/>
      <c r="Z143" s="87"/>
    </row>
    <row r="144" spans="1:26" x14ac:dyDescent="0.2">
      <c r="A144" s="89"/>
      <c r="B144" s="91"/>
      <c r="C144" s="91"/>
      <c r="D144" s="55"/>
      <c r="E144" s="55"/>
      <c r="F144" s="47"/>
      <c r="G144" s="48"/>
      <c r="H144" s="47"/>
      <c r="I144" s="50"/>
      <c r="J144" s="50"/>
      <c r="K144" s="50"/>
      <c r="L144" s="54"/>
      <c r="M144" s="54"/>
      <c r="N144" s="52"/>
      <c r="O144" s="52"/>
      <c r="P144" s="52"/>
      <c r="Q144" s="53"/>
      <c r="R144" s="47" t="s">
        <v>298</v>
      </c>
      <c r="S144" s="48"/>
      <c r="T144" s="48">
        <v>1</v>
      </c>
      <c r="U144" s="54">
        <v>0.5</v>
      </c>
      <c r="V144" s="54">
        <f>T144*U144</f>
        <v>0.5</v>
      </c>
      <c r="W144" s="93"/>
      <c r="X144" s="87"/>
      <c r="Y144" s="96"/>
      <c r="Z144" s="87"/>
    </row>
    <row r="145" spans="1:26" x14ac:dyDescent="0.2">
      <c r="A145" s="89"/>
      <c r="B145" s="91"/>
      <c r="C145" s="91"/>
      <c r="D145" s="55"/>
      <c r="E145" s="55"/>
      <c r="F145" s="47"/>
      <c r="G145" s="48"/>
      <c r="H145" s="47"/>
      <c r="I145" s="50"/>
      <c r="J145" s="50"/>
      <c r="K145" s="50"/>
      <c r="L145" s="54"/>
      <c r="M145" s="54"/>
      <c r="N145" s="52"/>
      <c r="O145" s="52"/>
      <c r="P145" s="52"/>
      <c r="Q145" s="53"/>
      <c r="R145" s="47" t="s">
        <v>219</v>
      </c>
      <c r="S145" s="48"/>
      <c r="T145" s="48">
        <f>0.344*0.4745*2*0.3</f>
        <v>9.7936799999999991E-2</v>
      </c>
      <c r="U145" s="54">
        <v>15</v>
      </c>
      <c r="V145" s="54">
        <f>T145*U145</f>
        <v>1.4690519999999998</v>
      </c>
      <c r="W145" s="93"/>
      <c r="X145" s="87"/>
      <c r="Y145" s="96"/>
      <c r="Z145" s="87"/>
    </row>
    <row r="146" spans="1:26" ht="15" thickBot="1" x14ac:dyDescent="0.25">
      <c r="A146" s="90"/>
      <c r="B146" s="92"/>
      <c r="C146" s="92"/>
      <c r="D146" s="59"/>
      <c r="E146" s="59"/>
      <c r="F146" s="60" t="s">
        <v>158</v>
      </c>
      <c r="G146" s="61"/>
      <c r="H146" s="60"/>
      <c r="I146" s="62"/>
      <c r="J146" s="62"/>
      <c r="K146" s="62"/>
      <c r="L146" s="63"/>
      <c r="M146" s="63"/>
      <c r="N146" s="64"/>
      <c r="O146" s="64"/>
      <c r="P146" s="64"/>
      <c r="Q146" s="65">
        <f>SUM(Q120:Q145)</f>
        <v>19.895893122178975</v>
      </c>
      <c r="R146" s="60"/>
      <c r="S146" s="61"/>
      <c r="T146" s="61"/>
      <c r="U146" s="63"/>
      <c r="V146" s="63">
        <f>SUM(V120:V145)</f>
        <v>7.1590520000000009</v>
      </c>
      <c r="W146" s="94">
        <f>(Q146+V146)*W120</f>
        <v>30.301538536840457</v>
      </c>
      <c r="X146" s="88"/>
      <c r="Y146" s="66">
        <v>1.19</v>
      </c>
      <c r="Z146" s="88">
        <f>SUM(Q146:Y146)</f>
        <v>58.54648365901943</v>
      </c>
    </row>
    <row r="147" spans="1:26" x14ac:dyDescent="0.2">
      <c r="A147" s="89">
        <v>6</v>
      </c>
      <c r="B147" s="91" t="s">
        <v>324</v>
      </c>
      <c r="C147" s="91" t="s">
        <v>325</v>
      </c>
      <c r="D147" s="46">
        <v>1</v>
      </c>
      <c r="E147" s="46" t="s">
        <v>326</v>
      </c>
      <c r="F147" s="47" t="s">
        <v>327</v>
      </c>
      <c r="G147" s="48">
        <v>1</v>
      </c>
      <c r="H147" s="49" t="s">
        <v>213</v>
      </c>
      <c r="I147" s="50">
        <f>170+6</f>
        <v>176</v>
      </c>
      <c r="J147" s="50">
        <f>140+6</f>
        <v>146</v>
      </c>
      <c r="K147" s="50">
        <v>3</v>
      </c>
      <c r="L147" s="51">
        <v>4.8</v>
      </c>
      <c r="M147" s="51">
        <v>2.6</v>
      </c>
      <c r="N147" s="56">
        <f>I147*J147*K147*7.85/1000000</f>
        <v>0.60514079999999992</v>
      </c>
      <c r="O147" s="56">
        <v>0.56049000000000004</v>
      </c>
      <c r="P147" s="52">
        <f t="shared" ref="P147" si="53">N147-O147</f>
        <v>4.4650799999999879E-2</v>
      </c>
      <c r="Q147" s="53">
        <f>(L147*N147-M147*P147)*G147</f>
        <v>2.7885837599999999</v>
      </c>
      <c r="R147" s="47" t="s">
        <v>225</v>
      </c>
      <c r="S147" s="48" t="s">
        <v>226</v>
      </c>
      <c r="T147" s="48">
        <v>1</v>
      </c>
      <c r="U147" s="54">
        <v>7.0000000000000007E-2</v>
      </c>
      <c r="V147" s="54">
        <f t="shared" ref="V147:V180" si="54">T147*U147</f>
        <v>7.0000000000000007E-2</v>
      </c>
      <c r="W147" s="93">
        <v>1.1200000000000001</v>
      </c>
      <c r="X147" s="87">
        <f>W147*(Q181+V181)</f>
        <v>54.283702175498767</v>
      </c>
      <c r="Y147" s="95" t="s">
        <v>227</v>
      </c>
      <c r="Z147" s="87">
        <f>X147+Y181</f>
        <v>61.423702175498768</v>
      </c>
    </row>
    <row r="148" spans="1:26" x14ac:dyDescent="0.2">
      <c r="A148" s="89"/>
      <c r="B148" s="91"/>
      <c r="C148" s="91"/>
      <c r="D148" s="46"/>
      <c r="E148" s="46"/>
      <c r="F148" s="47"/>
      <c r="G148" s="48"/>
      <c r="H148" s="49"/>
      <c r="I148" s="50"/>
      <c r="J148" s="50"/>
      <c r="K148" s="50"/>
      <c r="L148" s="51"/>
      <c r="M148" s="51"/>
      <c r="N148" s="56"/>
      <c r="O148" s="56"/>
      <c r="P148" s="52"/>
      <c r="Q148" s="53"/>
      <c r="R148" s="47" t="s">
        <v>228</v>
      </c>
      <c r="S148" s="48" t="s">
        <v>229</v>
      </c>
      <c r="T148" s="48">
        <v>1</v>
      </c>
      <c r="U148" s="54">
        <v>0.05</v>
      </c>
      <c r="V148" s="54">
        <f t="shared" si="54"/>
        <v>0.05</v>
      </c>
      <c r="W148" s="93"/>
      <c r="X148" s="87"/>
      <c r="Y148" s="96"/>
      <c r="Z148" s="87"/>
    </row>
    <row r="149" spans="1:26" x14ac:dyDescent="0.2">
      <c r="A149" s="89"/>
      <c r="B149" s="91"/>
      <c r="C149" s="91"/>
      <c r="D149" s="55">
        <v>2</v>
      </c>
      <c r="E149" s="46" t="s">
        <v>230</v>
      </c>
      <c r="F149" s="47" t="s">
        <v>231</v>
      </c>
      <c r="G149" s="48">
        <v>1</v>
      </c>
      <c r="H149" s="49" t="s">
        <v>213</v>
      </c>
      <c r="I149" s="50">
        <f>170+6</f>
        <v>176</v>
      </c>
      <c r="J149" s="50">
        <f>140+6</f>
        <v>146</v>
      </c>
      <c r="K149" s="50">
        <v>3</v>
      </c>
      <c r="L149" s="51">
        <v>4.8</v>
      </c>
      <c r="M149" s="51">
        <v>2.6</v>
      </c>
      <c r="N149" s="56">
        <f>I149*J149*K149*7.85/1000000</f>
        <v>0.60514079999999992</v>
      </c>
      <c r="O149" s="56">
        <v>0.56049000000000004</v>
      </c>
      <c r="P149" s="52">
        <f t="shared" ref="P149" si="55">N149-O149</f>
        <v>4.4650799999999879E-2</v>
      </c>
      <c r="Q149" s="53">
        <f>(L149*N149-M149*P149)*G149</f>
        <v>2.7885837599999999</v>
      </c>
      <c r="R149" s="47" t="s">
        <v>225</v>
      </c>
      <c r="S149" s="48" t="s">
        <v>226</v>
      </c>
      <c r="T149" s="48">
        <v>1</v>
      </c>
      <c r="U149" s="54">
        <v>7.0000000000000007E-2</v>
      </c>
      <c r="V149" s="54">
        <f t="shared" si="54"/>
        <v>7.0000000000000007E-2</v>
      </c>
      <c r="W149" s="93"/>
      <c r="X149" s="87"/>
      <c r="Y149" s="96"/>
      <c r="Z149" s="87"/>
    </row>
    <row r="150" spans="1:26" x14ac:dyDescent="0.2">
      <c r="A150" s="89"/>
      <c r="B150" s="91"/>
      <c r="C150" s="91"/>
      <c r="D150" s="55"/>
      <c r="E150" s="46"/>
      <c r="F150" s="47"/>
      <c r="G150" s="48"/>
      <c r="H150" s="49"/>
      <c r="I150" s="50"/>
      <c r="J150" s="50"/>
      <c r="K150" s="50"/>
      <c r="L150" s="54"/>
      <c r="M150" s="54"/>
      <c r="N150" s="52"/>
      <c r="O150" s="52"/>
      <c r="P150" s="52"/>
      <c r="Q150" s="53"/>
      <c r="R150" s="47" t="s">
        <v>228</v>
      </c>
      <c r="S150" s="48" t="s">
        <v>229</v>
      </c>
      <c r="T150" s="48">
        <v>1</v>
      </c>
      <c r="U150" s="54">
        <v>0.05</v>
      </c>
      <c r="V150" s="54">
        <f t="shared" si="54"/>
        <v>0.05</v>
      </c>
      <c r="W150" s="93"/>
      <c r="X150" s="87"/>
      <c r="Y150" s="96"/>
      <c r="Z150" s="87"/>
    </row>
    <row r="151" spans="1:26" x14ac:dyDescent="0.2">
      <c r="A151" s="89"/>
      <c r="B151" s="91"/>
      <c r="C151" s="91"/>
      <c r="D151" s="55">
        <v>3</v>
      </c>
      <c r="E151" s="55" t="s">
        <v>328</v>
      </c>
      <c r="F151" s="47" t="s">
        <v>329</v>
      </c>
      <c r="G151" s="48">
        <v>1</v>
      </c>
      <c r="H151" s="49" t="s">
        <v>180</v>
      </c>
      <c r="I151" s="50">
        <f>720+30+30+2</f>
        <v>782</v>
      </c>
      <c r="J151" s="50">
        <v>8</v>
      </c>
      <c r="K151" s="50">
        <v>1</v>
      </c>
      <c r="L151" s="54">
        <v>4.5999999999999996</v>
      </c>
      <c r="M151" s="54">
        <v>2.6</v>
      </c>
      <c r="N151" s="52">
        <f>(J151-K151)*K151*0.02466*I151/1000</f>
        <v>0.13498884</v>
      </c>
      <c r="O151" s="52">
        <v>0.1346436</v>
      </c>
      <c r="P151" s="52">
        <f t="shared" ref="P151" si="56">N151-O151</f>
        <v>3.4523999999999666E-4</v>
      </c>
      <c r="Q151" s="53">
        <f>(L151*N151-M151*P151)*G151</f>
        <v>0.62005103999999989</v>
      </c>
      <c r="R151" s="47" t="s">
        <v>246</v>
      </c>
      <c r="S151" s="48"/>
      <c r="T151" s="48">
        <v>1</v>
      </c>
      <c r="U151" s="54">
        <v>0.08</v>
      </c>
      <c r="V151" s="54">
        <f t="shared" si="54"/>
        <v>0.08</v>
      </c>
      <c r="W151" s="93"/>
      <c r="X151" s="87"/>
      <c r="Y151" s="96"/>
      <c r="Z151" s="87"/>
    </row>
    <row r="152" spans="1:26" x14ac:dyDescent="0.2">
      <c r="A152" s="89"/>
      <c r="B152" s="91"/>
      <c r="C152" s="91"/>
      <c r="D152" s="55"/>
      <c r="E152" s="55"/>
      <c r="F152" s="47"/>
      <c r="G152" s="48"/>
      <c r="H152" s="49"/>
      <c r="I152" s="50"/>
      <c r="J152" s="50"/>
      <c r="K152" s="50"/>
      <c r="L152" s="54"/>
      <c r="M152" s="54"/>
      <c r="N152" s="52"/>
      <c r="O152" s="52"/>
      <c r="P152" s="52"/>
      <c r="Q152" s="53"/>
      <c r="R152" s="47" t="s">
        <v>247</v>
      </c>
      <c r="S152" s="48"/>
      <c r="T152" s="48">
        <v>2</v>
      </c>
      <c r="U152" s="54">
        <v>0.05</v>
      </c>
      <c r="V152" s="54">
        <f t="shared" si="54"/>
        <v>0.1</v>
      </c>
      <c r="W152" s="93"/>
      <c r="X152" s="87"/>
      <c r="Y152" s="96"/>
      <c r="Z152" s="87"/>
    </row>
    <row r="153" spans="1:26" x14ac:dyDescent="0.2">
      <c r="A153" s="89"/>
      <c r="B153" s="91"/>
      <c r="C153" s="91"/>
      <c r="D153" s="55">
        <v>4</v>
      </c>
      <c r="E153" s="55" t="s">
        <v>330</v>
      </c>
      <c r="F153" s="57" t="s">
        <v>331</v>
      </c>
      <c r="G153" s="48">
        <v>1</v>
      </c>
      <c r="H153" s="49" t="s">
        <v>320</v>
      </c>
      <c r="I153" s="50">
        <f>144+6</f>
        <v>150</v>
      </c>
      <c r="J153" s="50">
        <f>90+6</f>
        <v>96</v>
      </c>
      <c r="K153" s="50">
        <v>3</v>
      </c>
      <c r="L153" s="51">
        <v>5.18</v>
      </c>
      <c r="M153" s="51">
        <v>2.6</v>
      </c>
      <c r="N153" s="56">
        <f>I153*J153*K153*7.85/1000000</f>
        <v>0.33911999999999998</v>
      </c>
      <c r="O153" s="56">
        <v>0.30520799999999998</v>
      </c>
      <c r="P153" s="52">
        <f t="shared" ref="P153" si="57">N153-O153</f>
        <v>3.3911999999999998E-2</v>
      </c>
      <c r="Q153" s="53">
        <f>(L153*N153-M153*P153)*G153</f>
        <v>1.6684703999999999</v>
      </c>
      <c r="R153" s="47" t="s">
        <v>225</v>
      </c>
      <c r="S153" s="48" t="s">
        <v>226</v>
      </c>
      <c r="T153" s="48">
        <v>1</v>
      </c>
      <c r="U153" s="54">
        <v>7.0000000000000007E-2</v>
      </c>
      <c r="V153" s="54">
        <f t="shared" si="54"/>
        <v>7.0000000000000007E-2</v>
      </c>
      <c r="W153" s="93"/>
      <c r="X153" s="87"/>
      <c r="Y153" s="96"/>
      <c r="Z153" s="87"/>
    </row>
    <row r="154" spans="1:26" x14ac:dyDescent="0.2">
      <c r="A154" s="89"/>
      <c r="B154" s="91"/>
      <c r="C154" s="91"/>
      <c r="D154" s="55"/>
      <c r="E154" s="55"/>
      <c r="F154" s="57"/>
      <c r="G154" s="48"/>
      <c r="H154" s="49"/>
      <c r="I154" s="50"/>
      <c r="J154" s="50"/>
      <c r="K154" s="50"/>
      <c r="L154" s="51"/>
      <c r="M154" s="51"/>
      <c r="N154" s="52"/>
      <c r="O154" s="52"/>
      <c r="P154" s="52"/>
      <c r="Q154" s="53"/>
      <c r="R154" s="47" t="s">
        <v>202</v>
      </c>
      <c r="S154" s="48" t="s">
        <v>226</v>
      </c>
      <c r="T154" s="48">
        <v>1</v>
      </c>
      <c r="U154" s="54">
        <v>7.0000000000000007E-2</v>
      </c>
      <c r="V154" s="54">
        <f t="shared" si="54"/>
        <v>7.0000000000000007E-2</v>
      </c>
      <c r="W154" s="93"/>
      <c r="X154" s="87"/>
      <c r="Y154" s="96"/>
      <c r="Z154" s="87"/>
    </row>
    <row r="155" spans="1:26" x14ac:dyDescent="0.2">
      <c r="A155" s="89"/>
      <c r="B155" s="91"/>
      <c r="C155" s="91"/>
      <c r="D155" s="55">
        <v>5</v>
      </c>
      <c r="E155" s="55" t="s">
        <v>240</v>
      </c>
      <c r="F155" s="57" t="s">
        <v>241</v>
      </c>
      <c r="G155" s="48">
        <v>1</v>
      </c>
      <c r="H155" s="49" t="s">
        <v>213</v>
      </c>
      <c r="I155" s="50">
        <f>100+6</f>
        <v>106</v>
      </c>
      <c r="J155" s="50">
        <f>47+6</f>
        <v>53</v>
      </c>
      <c r="K155" s="50">
        <v>3</v>
      </c>
      <c r="L155" s="51">
        <v>4.8</v>
      </c>
      <c r="M155" s="51">
        <v>2.6</v>
      </c>
      <c r="N155" s="56">
        <f>I155*J155*K155*7.85/1000000</f>
        <v>0.1323039</v>
      </c>
      <c r="O155" s="56">
        <v>0.11068500000000001</v>
      </c>
      <c r="P155" s="52">
        <f t="shared" ref="P155" si="58">N155-O155</f>
        <v>2.1618899999999996E-2</v>
      </c>
      <c r="Q155" s="53">
        <f>(L155*N155-M155*P155)*G155</f>
        <v>0.57884957999999997</v>
      </c>
      <c r="R155" s="47" t="s">
        <v>200</v>
      </c>
      <c r="S155" s="48" t="s">
        <v>229</v>
      </c>
      <c r="T155" s="48">
        <v>1</v>
      </c>
      <c r="U155" s="54">
        <v>0.05</v>
      </c>
      <c r="V155" s="54">
        <f t="shared" si="54"/>
        <v>0.05</v>
      </c>
      <c r="W155" s="93"/>
      <c r="X155" s="87"/>
      <c r="Y155" s="96"/>
      <c r="Z155" s="87"/>
    </row>
    <row r="156" spans="1:26" x14ac:dyDescent="0.2">
      <c r="A156" s="89"/>
      <c r="B156" s="91"/>
      <c r="C156" s="91"/>
      <c r="D156" s="55"/>
      <c r="E156" s="55"/>
      <c r="F156" s="57"/>
      <c r="G156" s="48"/>
      <c r="H156" s="49"/>
      <c r="I156" s="50"/>
      <c r="J156" s="50"/>
      <c r="K156" s="50"/>
      <c r="L156" s="54"/>
      <c r="M156" s="54"/>
      <c r="N156" s="52"/>
      <c r="O156" s="52"/>
      <c r="P156" s="52"/>
      <c r="Q156" s="53"/>
      <c r="R156" s="47" t="s">
        <v>202</v>
      </c>
      <c r="S156" s="48" t="s">
        <v>229</v>
      </c>
      <c r="T156" s="48">
        <v>1</v>
      </c>
      <c r="U156" s="54">
        <v>0.05</v>
      </c>
      <c r="V156" s="54">
        <f t="shared" si="54"/>
        <v>0.05</v>
      </c>
      <c r="W156" s="93"/>
      <c r="X156" s="87"/>
      <c r="Y156" s="96"/>
      <c r="Z156" s="87"/>
    </row>
    <row r="157" spans="1:26" x14ac:dyDescent="0.2">
      <c r="A157" s="89"/>
      <c r="B157" s="91"/>
      <c r="C157" s="91"/>
      <c r="D157" s="55">
        <v>6</v>
      </c>
      <c r="E157" s="55" t="s">
        <v>242</v>
      </c>
      <c r="F157" s="57" t="s">
        <v>332</v>
      </c>
      <c r="G157" s="48">
        <v>1</v>
      </c>
      <c r="H157" s="49" t="s">
        <v>213</v>
      </c>
      <c r="I157" s="50">
        <f>100+6</f>
        <v>106</v>
      </c>
      <c r="J157" s="50">
        <f>60+6</f>
        <v>66</v>
      </c>
      <c r="K157" s="50">
        <v>3</v>
      </c>
      <c r="L157" s="51">
        <v>4.8</v>
      </c>
      <c r="M157" s="51">
        <v>2.6</v>
      </c>
      <c r="N157" s="56">
        <f>I157*J157*K157*7.85/1000000</f>
        <v>0.16475579999999998</v>
      </c>
      <c r="O157" s="56">
        <v>0.14130000000000001</v>
      </c>
      <c r="P157" s="52">
        <f t="shared" ref="P157" si="59">N157-O157</f>
        <v>2.3455799999999971E-2</v>
      </c>
      <c r="Q157" s="53">
        <f>(L157*N157-M157*P157)*G157</f>
        <v>0.72984275999999992</v>
      </c>
      <c r="R157" s="47" t="s">
        <v>225</v>
      </c>
      <c r="S157" s="48" t="s">
        <v>229</v>
      </c>
      <c r="T157" s="48">
        <v>1</v>
      </c>
      <c r="U157" s="54">
        <v>0.05</v>
      </c>
      <c r="V157" s="54">
        <f t="shared" si="54"/>
        <v>0.05</v>
      </c>
      <c r="W157" s="93"/>
      <c r="X157" s="87"/>
      <c r="Y157" s="96"/>
      <c r="Z157" s="87"/>
    </row>
    <row r="158" spans="1:26" x14ac:dyDescent="0.2">
      <c r="A158" s="89"/>
      <c r="B158" s="91"/>
      <c r="C158" s="91"/>
      <c r="D158" s="55"/>
      <c r="E158" s="55"/>
      <c r="F158" s="57"/>
      <c r="G158" s="48"/>
      <c r="H158" s="49"/>
      <c r="I158" s="50"/>
      <c r="J158" s="50"/>
      <c r="K158" s="50"/>
      <c r="L158" s="54"/>
      <c r="M158" s="54"/>
      <c r="N158" s="52"/>
      <c r="O158" s="52"/>
      <c r="P158" s="52"/>
      <c r="Q158" s="53"/>
      <c r="R158" s="47" t="s">
        <v>202</v>
      </c>
      <c r="S158" s="48" t="s">
        <v>229</v>
      </c>
      <c r="T158" s="48">
        <v>1</v>
      </c>
      <c r="U158" s="54">
        <v>0.05</v>
      </c>
      <c r="V158" s="54">
        <f t="shared" si="54"/>
        <v>0.05</v>
      </c>
      <c r="W158" s="93"/>
      <c r="X158" s="87"/>
      <c r="Y158" s="96"/>
      <c r="Z158" s="87"/>
    </row>
    <row r="159" spans="1:26" x14ac:dyDescent="0.2">
      <c r="A159" s="89"/>
      <c r="B159" s="91"/>
      <c r="C159" s="91"/>
      <c r="D159" s="55">
        <v>7</v>
      </c>
      <c r="E159" s="55" t="s">
        <v>244</v>
      </c>
      <c r="F159" s="47" t="s">
        <v>245</v>
      </c>
      <c r="G159" s="48">
        <v>2</v>
      </c>
      <c r="H159" s="49" t="s">
        <v>180</v>
      </c>
      <c r="I159" s="50">
        <f>400+2</f>
        <v>402</v>
      </c>
      <c r="J159" s="50">
        <v>19</v>
      </c>
      <c r="K159" s="50">
        <v>2</v>
      </c>
      <c r="L159" s="54">
        <v>4.5999999999999996</v>
      </c>
      <c r="M159" s="54">
        <v>2.6</v>
      </c>
      <c r="N159" s="52">
        <f>(J159-K159)*K159*0.02466*I159/1000</f>
        <v>0.33705288</v>
      </c>
      <c r="O159" s="52">
        <v>0.33537600000000001</v>
      </c>
      <c r="P159" s="52">
        <f t="shared" ref="P159" si="60">N159-O159</f>
        <v>1.6768799999999917E-3</v>
      </c>
      <c r="Q159" s="53">
        <f>(L159*N159-M159*P159)*G159</f>
        <v>3.0921667199999998</v>
      </c>
      <c r="R159" s="47" t="s">
        <v>333</v>
      </c>
      <c r="S159" s="48"/>
      <c r="T159" s="48">
        <v>1</v>
      </c>
      <c r="U159" s="54">
        <v>0.08</v>
      </c>
      <c r="V159" s="54">
        <f t="shared" si="54"/>
        <v>0.08</v>
      </c>
      <c r="W159" s="93"/>
      <c r="X159" s="87"/>
      <c r="Y159" s="96"/>
      <c r="Z159" s="87"/>
    </row>
    <row r="160" spans="1:26" x14ac:dyDescent="0.2">
      <c r="A160" s="89"/>
      <c r="B160" s="91"/>
      <c r="C160" s="91"/>
      <c r="D160" s="55"/>
      <c r="E160" s="55"/>
      <c r="F160" s="47"/>
      <c r="G160" s="48"/>
      <c r="H160" s="49"/>
      <c r="I160" s="50"/>
      <c r="J160" s="50"/>
      <c r="K160" s="50"/>
      <c r="L160" s="54"/>
      <c r="M160" s="54"/>
      <c r="N160" s="52"/>
      <c r="O160" s="52"/>
      <c r="P160" s="52"/>
      <c r="Q160" s="53"/>
      <c r="R160" s="47" t="s">
        <v>334</v>
      </c>
      <c r="S160" s="48"/>
      <c r="T160" s="48">
        <v>1</v>
      </c>
      <c r="U160" s="54">
        <v>0.05</v>
      </c>
      <c r="V160" s="54">
        <f t="shared" si="54"/>
        <v>0.05</v>
      </c>
      <c r="W160" s="93"/>
      <c r="X160" s="87"/>
      <c r="Y160" s="96"/>
      <c r="Z160" s="87"/>
    </row>
    <row r="161" spans="1:26" x14ac:dyDescent="0.2">
      <c r="A161" s="89"/>
      <c r="B161" s="91"/>
      <c r="C161" s="91"/>
      <c r="D161" s="55"/>
      <c r="E161" s="55"/>
      <c r="F161" s="47"/>
      <c r="G161" s="48"/>
      <c r="H161" s="49"/>
      <c r="I161" s="50"/>
      <c r="J161" s="50"/>
      <c r="K161" s="50"/>
      <c r="L161" s="54"/>
      <c r="M161" s="54"/>
      <c r="N161" s="52"/>
      <c r="O161" s="52"/>
      <c r="P161" s="52"/>
      <c r="Q161" s="53"/>
      <c r="R161" s="47" t="s">
        <v>335</v>
      </c>
      <c r="S161" s="48" t="s">
        <v>336</v>
      </c>
      <c r="T161" s="48">
        <v>1</v>
      </c>
      <c r="U161" s="54">
        <v>0.03</v>
      </c>
      <c r="V161" s="54">
        <f t="shared" si="54"/>
        <v>0.03</v>
      </c>
      <c r="W161" s="93"/>
      <c r="X161" s="87"/>
      <c r="Y161" s="96"/>
      <c r="Z161" s="87"/>
    </row>
    <row r="162" spans="1:26" x14ac:dyDescent="0.2">
      <c r="A162" s="89"/>
      <c r="B162" s="91"/>
      <c r="C162" s="91"/>
      <c r="D162" s="55">
        <v>8</v>
      </c>
      <c r="E162" s="55" t="s">
        <v>250</v>
      </c>
      <c r="F162" s="47" t="s">
        <v>337</v>
      </c>
      <c r="G162" s="48">
        <v>1</v>
      </c>
      <c r="H162" s="49" t="s">
        <v>180</v>
      </c>
      <c r="I162" s="50">
        <f>1800+2</f>
        <v>1802</v>
      </c>
      <c r="J162" s="50">
        <v>25</v>
      </c>
      <c r="K162" s="50">
        <v>2</v>
      </c>
      <c r="L162" s="54">
        <v>4.5999999999999996</v>
      </c>
      <c r="M162" s="54">
        <v>2.6</v>
      </c>
      <c r="N162" s="52">
        <f>(J162-K162)*K162*0.02466*I162/1000</f>
        <v>2.0441167199999999</v>
      </c>
      <c r="O162" s="52">
        <v>2.0418479999999999</v>
      </c>
      <c r="P162" s="52">
        <f t="shared" ref="P162" si="61">N162-O162</f>
        <v>2.2687200000000018E-3</v>
      </c>
      <c r="Q162" s="53">
        <f>(L162*N162-M162*P162)*G162</f>
        <v>9.3970382399999988</v>
      </c>
      <c r="R162" s="47" t="s">
        <v>333</v>
      </c>
      <c r="S162" s="48"/>
      <c r="T162" s="48">
        <v>1</v>
      </c>
      <c r="U162" s="54">
        <v>0.08</v>
      </c>
      <c r="V162" s="54">
        <f t="shared" si="54"/>
        <v>0.08</v>
      </c>
      <c r="W162" s="93"/>
      <c r="X162" s="87"/>
      <c r="Y162" s="96"/>
      <c r="Z162" s="87"/>
    </row>
    <row r="163" spans="1:26" x14ac:dyDescent="0.2">
      <c r="A163" s="89"/>
      <c r="B163" s="91"/>
      <c r="C163" s="91"/>
      <c r="D163" s="55"/>
      <c r="E163" s="55"/>
      <c r="F163" s="47"/>
      <c r="G163" s="48"/>
      <c r="H163" s="49"/>
      <c r="I163" s="50"/>
      <c r="J163" s="50"/>
      <c r="K163" s="50"/>
      <c r="L163" s="54"/>
      <c r="M163" s="54"/>
      <c r="N163" s="52"/>
      <c r="O163" s="52"/>
      <c r="P163" s="52"/>
      <c r="Q163" s="53"/>
      <c r="R163" s="47" t="s">
        <v>334</v>
      </c>
      <c r="S163" s="48"/>
      <c r="T163" s="48">
        <v>2</v>
      </c>
      <c r="U163" s="54">
        <v>0.05</v>
      </c>
      <c r="V163" s="54">
        <f t="shared" si="54"/>
        <v>0.1</v>
      </c>
      <c r="W163" s="93"/>
      <c r="X163" s="87"/>
      <c r="Y163" s="96"/>
      <c r="Z163" s="87"/>
    </row>
    <row r="164" spans="1:26" x14ac:dyDescent="0.2">
      <c r="A164" s="89"/>
      <c r="B164" s="91"/>
      <c r="C164" s="91"/>
      <c r="D164" s="55"/>
      <c r="E164" s="55"/>
      <c r="F164" s="47"/>
      <c r="G164" s="48"/>
      <c r="H164" s="49"/>
      <c r="I164" s="50"/>
      <c r="J164" s="50"/>
      <c r="K164" s="50"/>
      <c r="L164" s="54"/>
      <c r="M164" s="54"/>
      <c r="N164" s="52"/>
      <c r="O164" s="52"/>
      <c r="P164" s="52"/>
      <c r="Q164" s="53"/>
      <c r="R164" s="47" t="s">
        <v>228</v>
      </c>
      <c r="S164" s="48" t="s">
        <v>336</v>
      </c>
      <c r="T164" s="48">
        <v>4</v>
      </c>
      <c r="U164" s="54">
        <v>0.03</v>
      </c>
      <c r="V164" s="54">
        <f t="shared" si="54"/>
        <v>0.12</v>
      </c>
      <c r="W164" s="93"/>
      <c r="X164" s="87"/>
      <c r="Y164" s="96"/>
      <c r="Z164" s="87"/>
    </row>
    <row r="165" spans="1:26" x14ac:dyDescent="0.2">
      <c r="A165" s="89"/>
      <c r="B165" s="91"/>
      <c r="C165" s="91"/>
      <c r="D165" s="55">
        <v>9</v>
      </c>
      <c r="E165" s="55" t="s">
        <v>338</v>
      </c>
      <c r="F165" s="47" t="s">
        <v>339</v>
      </c>
      <c r="G165" s="48">
        <v>1</v>
      </c>
      <c r="H165" s="49" t="s">
        <v>213</v>
      </c>
      <c r="I165" s="50">
        <v>532</v>
      </c>
      <c r="J165" s="50">
        <v>50</v>
      </c>
      <c r="K165" s="50">
        <v>1.5</v>
      </c>
      <c r="L165" s="51">
        <v>4.88</v>
      </c>
      <c r="M165" s="51">
        <v>2.6</v>
      </c>
      <c r="N165" s="52">
        <f>4*K165*(J165-K165)*7.85/1000*I165/1000</f>
        <v>1.2152741999999999</v>
      </c>
      <c r="O165" s="52">
        <v>1.2107055</v>
      </c>
      <c r="P165" s="52">
        <f>N165-O165</f>
        <v>4.5686999999998701E-3</v>
      </c>
      <c r="Q165" s="53">
        <f>(L165*N165-M165*P165)*G165</f>
        <v>5.9186594759999993</v>
      </c>
      <c r="R165" s="47" t="s">
        <v>98</v>
      </c>
      <c r="S165" s="48"/>
      <c r="T165" s="48">
        <v>4</v>
      </c>
      <c r="U165" s="54">
        <v>0.1</v>
      </c>
      <c r="V165" s="54">
        <f t="shared" si="54"/>
        <v>0.4</v>
      </c>
      <c r="W165" s="93"/>
      <c r="X165" s="87"/>
      <c r="Y165" s="96"/>
      <c r="Z165" s="87"/>
    </row>
    <row r="166" spans="1:26" x14ac:dyDescent="0.2">
      <c r="A166" s="89"/>
      <c r="B166" s="91"/>
      <c r="C166" s="91"/>
      <c r="D166" s="55"/>
      <c r="E166" s="55"/>
      <c r="F166" s="47"/>
      <c r="G166" s="48"/>
      <c r="H166" s="49"/>
      <c r="I166" s="50"/>
      <c r="J166" s="50"/>
      <c r="K166" s="50"/>
      <c r="L166" s="51"/>
      <c r="M166" s="51"/>
      <c r="N166" s="52"/>
      <c r="O166" s="52"/>
      <c r="P166" s="52"/>
      <c r="Q166" s="53"/>
      <c r="R166" s="47" t="s">
        <v>340</v>
      </c>
      <c r="S166" s="48" t="s">
        <v>233</v>
      </c>
      <c r="T166" s="48">
        <v>2</v>
      </c>
      <c r="U166" s="54">
        <v>0.05</v>
      </c>
      <c r="V166" s="54">
        <f t="shared" si="54"/>
        <v>0.1</v>
      </c>
      <c r="W166" s="93"/>
      <c r="X166" s="87"/>
      <c r="Y166" s="96"/>
      <c r="Z166" s="87"/>
    </row>
    <row r="167" spans="1:26" x14ac:dyDescent="0.2">
      <c r="A167" s="89"/>
      <c r="B167" s="91"/>
      <c r="C167" s="91"/>
      <c r="D167" s="55">
        <v>10</v>
      </c>
      <c r="E167" s="55" t="s">
        <v>341</v>
      </c>
      <c r="F167" s="57" t="s">
        <v>342</v>
      </c>
      <c r="G167" s="48">
        <v>1</v>
      </c>
      <c r="H167" s="49" t="s">
        <v>141</v>
      </c>
      <c r="I167" s="50">
        <f>720+35+35</f>
        <v>790</v>
      </c>
      <c r="J167" s="50">
        <v>5</v>
      </c>
      <c r="K167" s="50"/>
      <c r="L167" s="54">
        <f>9/1.13</f>
        <v>7.9646017699115053</v>
      </c>
      <c r="M167" s="54"/>
      <c r="N167" s="52">
        <f>J167*J167*0.00617*I167/1000</f>
        <v>0.12185750000000001</v>
      </c>
      <c r="O167" s="52"/>
      <c r="P167" s="52"/>
      <c r="Q167" s="53">
        <f>(L167*N167-M167*P167)*G167</f>
        <v>0.97054646017699131</v>
      </c>
      <c r="R167" s="47"/>
      <c r="S167" s="48"/>
      <c r="T167" s="48"/>
      <c r="U167" s="54"/>
      <c r="V167" s="54">
        <f t="shared" si="54"/>
        <v>0</v>
      </c>
      <c r="W167" s="93"/>
      <c r="X167" s="87"/>
      <c r="Y167" s="96"/>
      <c r="Z167" s="87"/>
    </row>
    <row r="168" spans="1:26" x14ac:dyDescent="0.2">
      <c r="A168" s="89"/>
      <c r="B168" s="91"/>
      <c r="C168" s="91"/>
      <c r="D168" s="55">
        <v>11</v>
      </c>
      <c r="E168" s="55" t="s">
        <v>343</v>
      </c>
      <c r="F168" s="57" t="s">
        <v>344</v>
      </c>
      <c r="G168" s="48">
        <v>1</v>
      </c>
      <c r="H168" s="49" t="s">
        <v>141</v>
      </c>
      <c r="I168" s="50">
        <f>720+30+30</f>
        <v>780</v>
      </c>
      <c r="J168" s="50">
        <v>5</v>
      </c>
      <c r="K168" s="50"/>
      <c r="L168" s="54">
        <f>9/1.13</f>
        <v>7.9646017699115053</v>
      </c>
      <c r="M168" s="54"/>
      <c r="N168" s="52">
        <f>J168*J168*0.00617*I168/1000</f>
        <v>0.12031499999999999</v>
      </c>
      <c r="O168" s="52"/>
      <c r="P168" s="52"/>
      <c r="Q168" s="53">
        <f>(L168*N168-M168*P168)*G168</f>
        <v>0.95826106194690264</v>
      </c>
      <c r="R168" s="47"/>
      <c r="S168" s="48"/>
      <c r="T168" s="48"/>
      <c r="U168" s="54"/>
      <c r="V168" s="54">
        <f t="shared" si="54"/>
        <v>0</v>
      </c>
      <c r="W168" s="93"/>
      <c r="X168" s="87"/>
      <c r="Y168" s="96"/>
      <c r="Z168" s="87"/>
    </row>
    <row r="169" spans="1:26" x14ac:dyDescent="0.2">
      <c r="A169" s="89"/>
      <c r="B169" s="91"/>
      <c r="C169" s="91"/>
      <c r="D169" s="55">
        <v>12</v>
      </c>
      <c r="E169" s="55" t="s">
        <v>345</v>
      </c>
      <c r="F169" s="57" t="s">
        <v>346</v>
      </c>
      <c r="G169" s="48">
        <v>1</v>
      </c>
      <c r="H169" s="49" t="s">
        <v>128</v>
      </c>
      <c r="I169" s="50">
        <f>780+2</f>
        <v>782</v>
      </c>
      <c r="J169" s="50">
        <v>19</v>
      </c>
      <c r="K169" s="50">
        <v>2</v>
      </c>
      <c r="L169" s="54">
        <v>4.5999999999999996</v>
      </c>
      <c r="M169" s="54">
        <v>2.6</v>
      </c>
      <c r="N169" s="52">
        <f>(J169-K169)*K169*0.02466*I169/1000</f>
        <v>0.65566008000000009</v>
      </c>
      <c r="O169" s="52">
        <v>0.65398319999999999</v>
      </c>
      <c r="P169" s="52">
        <f t="shared" ref="P169:P170" si="62">N169-O169</f>
        <v>1.6768800000001027E-3</v>
      </c>
      <c r="Q169" s="53">
        <f>(L169*N169-M169*P169)*G169</f>
        <v>3.0116764799999998</v>
      </c>
      <c r="R169" s="47" t="s">
        <v>98</v>
      </c>
      <c r="S169" s="48"/>
      <c r="T169" s="48">
        <v>1</v>
      </c>
      <c r="U169" s="54">
        <v>0.08</v>
      </c>
      <c r="V169" s="54">
        <f t="shared" si="54"/>
        <v>0.08</v>
      </c>
      <c r="W169" s="93"/>
      <c r="X169" s="87"/>
      <c r="Y169" s="96"/>
      <c r="Z169" s="87"/>
    </row>
    <row r="170" spans="1:26" x14ac:dyDescent="0.2">
      <c r="A170" s="89"/>
      <c r="B170" s="91"/>
      <c r="C170" s="91"/>
      <c r="D170" s="55">
        <v>13</v>
      </c>
      <c r="E170" s="55" t="s">
        <v>263</v>
      </c>
      <c r="F170" s="47" t="s">
        <v>264</v>
      </c>
      <c r="G170" s="48">
        <v>1</v>
      </c>
      <c r="H170" s="49" t="s">
        <v>141</v>
      </c>
      <c r="I170" s="50">
        <f>100+6</f>
        <v>106</v>
      </c>
      <c r="J170" s="50">
        <f>60+6</f>
        <v>66</v>
      </c>
      <c r="K170" s="50">
        <v>3</v>
      </c>
      <c r="L170" s="51">
        <v>4.8</v>
      </c>
      <c r="M170" s="51">
        <v>2.6</v>
      </c>
      <c r="N170" s="56">
        <f>I170*J170*K170*7.85/1000000</f>
        <v>0.16475579999999998</v>
      </c>
      <c r="O170" s="56">
        <v>0.14130000000000001</v>
      </c>
      <c r="P170" s="52">
        <f t="shared" si="62"/>
        <v>2.3455799999999971E-2</v>
      </c>
      <c r="Q170" s="53">
        <f>(L170*N170-M170*P170)*G170</f>
        <v>0.72984275999999992</v>
      </c>
      <c r="R170" s="47" t="s">
        <v>145</v>
      </c>
      <c r="S170" s="48" t="s">
        <v>233</v>
      </c>
      <c r="T170" s="48">
        <v>1</v>
      </c>
      <c r="U170" s="54">
        <v>0.05</v>
      </c>
      <c r="V170" s="54">
        <f t="shared" si="54"/>
        <v>0.05</v>
      </c>
      <c r="W170" s="93"/>
      <c r="X170" s="87"/>
      <c r="Y170" s="96"/>
      <c r="Z170" s="87"/>
    </row>
    <row r="171" spans="1:26" x14ac:dyDescent="0.2">
      <c r="A171" s="89"/>
      <c r="B171" s="91"/>
      <c r="C171" s="91"/>
      <c r="D171" s="55"/>
      <c r="E171" s="55"/>
      <c r="F171" s="47"/>
      <c r="G171" s="48"/>
      <c r="H171" s="49"/>
      <c r="I171" s="50"/>
      <c r="J171" s="50"/>
      <c r="K171" s="50"/>
      <c r="L171" s="51"/>
      <c r="M171" s="51"/>
      <c r="N171" s="52"/>
      <c r="O171" s="52"/>
      <c r="P171" s="52"/>
      <c r="Q171" s="53"/>
      <c r="R171" s="47" t="s">
        <v>169</v>
      </c>
      <c r="S171" s="48" t="s">
        <v>233</v>
      </c>
      <c r="T171" s="48">
        <v>1</v>
      </c>
      <c r="U171" s="54">
        <v>0.05</v>
      </c>
      <c r="V171" s="54">
        <f t="shared" si="54"/>
        <v>0.05</v>
      </c>
      <c r="W171" s="93"/>
      <c r="X171" s="87"/>
      <c r="Y171" s="96"/>
      <c r="Z171" s="87"/>
    </row>
    <row r="172" spans="1:26" x14ac:dyDescent="0.2">
      <c r="A172" s="89"/>
      <c r="B172" s="91"/>
      <c r="C172" s="91"/>
      <c r="D172" s="55">
        <v>14</v>
      </c>
      <c r="E172" s="55" t="s">
        <v>265</v>
      </c>
      <c r="F172" s="47" t="s">
        <v>266</v>
      </c>
      <c r="G172" s="48">
        <v>1</v>
      </c>
      <c r="H172" s="49" t="s">
        <v>141</v>
      </c>
      <c r="I172" s="50">
        <f>100+6</f>
        <v>106</v>
      </c>
      <c r="J172" s="50">
        <f>47+6</f>
        <v>53</v>
      </c>
      <c r="K172" s="50">
        <v>3</v>
      </c>
      <c r="L172" s="51">
        <v>4.8</v>
      </c>
      <c r="M172" s="51">
        <v>2.6</v>
      </c>
      <c r="N172" s="56">
        <f>I172*J172*K172*7.85/1000000</f>
        <v>0.1323039</v>
      </c>
      <c r="O172" s="56">
        <v>0.11068500000000001</v>
      </c>
      <c r="P172" s="52">
        <f t="shared" ref="P172" si="63">N172-O172</f>
        <v>2.1618899999999996E-2</v>
      </c>
      <c r="Q172" s="53">
        <f>(L172*N172-M172*P172)*G172</f>
        <v>0.57884957999999997</v>
      </c>
      <c r="R172" s="47" t="s">
        <v>167</v>
      </c>
      <c r="S172" s="48" t="s">
        <v>233</v>
      </c>
      <c r="T172" s="48">
        <v>1</v>
      </c>
      <c r="U172" s="54">
        <v>0.05</v>
      </c>
      <c r="V172" s="54">
        <f t="shared" si="54"/>
        <v>0.05</v>
      </c>
      <c r="W172" s="93"/>
      <c r="X172" s="87"/>
      <c r="Y172" s="96"/>
      <c r="Z172" s="87"/>
    </row>
    <row r="173" spans="1:26" x14ac:dyDescent="0.2">
      <c r="A173" s="89"/>
      <c r="B173" s="91"/>
      <c r="C173" s="91"/>
      <c r="D173" s="55"/>
      <c r="E173" s="55"/>
      <c r="F173" s="47"/>
      <c r="G173" s="48"/>
      <c r="H173" s="49"/>
      <c r="I173" s="50"/>
      <c r="J173" s="50"/>
      <c r="K173" s="50"/>
      <c r="L173" s="51"/>
      <c r="M173" s="51"/>
      <c r="N173" s="52"/>
      <c r="O173" s="52"/>
      <c r="P173" s="52"/>
      <c r="Q173" s="53"/>
      <c r="R173" s="47" t="s">
        <v>169</v>
      </c>
      <c r="S173" s="48" t="s">
        <v>233</v>
      </c>
      <c r="T173" s="48">
        <v>1</v>
      </c>
      <c r="U173" s="54">
        <v>0.05</v>
      </c>
      <c r="V173" s="54">
        <f t="shared" si="54"/>
        <v>0.05</v>
      </c>
      <c r="W173" s="93"/>
      <c r="X173" s="87"/>
      <c r="Y173" s="96"/>
      <c r="Z173" s="87"/>
    </row>
    <row r="174" spans="1:26" x14ac:dyDescent="0.2">
      <c r="A174" s="89"/>
      <c r="B174" s="91"/>
      <c r="C174" s="91"/>
      <c r="D174" s="55">
        <v>15</v>
      </c>
      <c r="E174" s="55" t="s">
        <v>347</v>
      </c>
      <c r="F174" s="47" t="s">
        <v>348</v>
      </c>
      <c r="G174" s="48">
        <v>1</v>
      </c>
      <c r="H174" s="49" t="s">
        <v>149</v>
      </c>
      <c r="I174" s="50">
        <f>144+6</f>
        <v>150</v>
      </c>
      <c r="J174" s="50">
        <f>90+6</f>
        <v>96</v>
      </c>
      <c r="K174" s="50">
        <v>3</v>
      </c>
      <c r="L174" s="51">
        <v>5.18</v>
      </c>
      <c r="M174" s="51">
        <v>2.6</v>
      </c>
      <c r="N174" s="56">
        <f>I174*J174*K174*7.85/1000000</f>
        <v>0.33911999999999998</v>
      </c>
      <c r="O174" s="56">
        <v>0.30520799999999998</v>
      </c>
      <c r="P174" s="52">
        <f t="shared" ref="P174" si="64">N174-O174</f>
        <v>3.3911999999999998E-2</v>
      </c>
      <c r="Q174" s="53">
        <f>(L174*N174-M174*P174)*G174</f>
        <v>1.6684703999999999</v>
      </c>
      <c r="R174" s="47" t="s">
        <v>145</v>
      </c>
      <c r="S174" s="48" t="s">
        <v>232</v>
      </c>
      <c r="T174" s="48">
        <v>1</v>
      </c>
      <c r="U174" s="54">
        <v>7.0000000000000007E-2</v>
      </c>
      <c r="V174" s="54">
        <f t="shared" si="54"/>
        <v>7.0000000000000007E-2</v>
      </c>
      <c r="W174" s="93"/>
      <c r="X174" s="87"/>
      <c r="Y174" s="96"/>
      <c r="Z174" s="87"/>
    </row>
    <row r="175" spans="1:26" x14ac:dyDescent="0.2">
      <c r="A175" s="89"/>
      <c r="B175" s="91"/>
      <c r="C175" s="91"/>
      <c r="D175" s="55"/>
      <c r="E175" s="55"/>
      <c r="F175" s="47"/>
      <c r="G175" s="48"/>
      <c r="H175" s="49"/>
      <c r="I175" s="50"/>
      <c r="J175" s="50"/>
      <c r="K175" s="50"/>
      <c r="L175" s="51"/>
      <c r="M175" s="51"/>
      <c r="N175" s="52"/>
      <c r="O175" s="52"/>
      <c r="P175" s="52"/>
      <c r="Q175" s="53"/>
      <c r="R175" s="47" t="s">
        <v>169</v>
      </c>
      <c r="S175" s="48" t="s">
        <v>232</v>
      </c>
      <c r="T175" s="48">
        <v>1</v>
      </c>
      <c r="U175" s="54">
        <v>7.0000000000000007E-2</v>
      </c>
      <c r="V175" s="54">
        <f t="shared" si="54"/>
        <v>7.0000000000000007E-2</v>
      </c>
      <c r="W175" s="93"/>
      <c r="X175" s="87"/>
      <c r="Y175" s="96"/>
      <c r="Z175" s="87"/>
    </row>
    <row r="176" spans="1:26" x14ac:dyDescent="0.2">
      <c r="A176" s="89"/>
      <c r="B176" s="91"/>
      <c r="C176" s="91"/>
      <c r="D176" s="55">
        <v>16</v>
      </c>
      <c r="E176" s="55" t="s">
        <v>349</v>
      </c>
      <c r="F176" s="47" t="s">
        <v>312</v>
      </c>
      <c r="G176" s="48">
        <v>2</v>
      </c>
      <c r="H176" s="49" t="s">
        <v>141</v>
      </c>
      <c r="I176" s="50">
        <f>120+5</f>
        <v>125</v>
      </c>
      <c r="J176" s="50">
        <f>80+5</f>
        <v>85</v>
      </c>
      <c r="K176" s="50">
        <v>2.5</v>
      </c>
      <c r="L176" s="58">
        <v>4.8</v>
      </c>
      <c r="M176" s="51">
        <v>2.6</v>
      </c>
      <c r="N176" s="56">
        <f>I176*J176*K176*7.85/1000000</f>
        <v>0.20851562500000001</v>
      </c>
      <c r="O176" s="56">
        <v>0.18840000000000001</v>
      </c>
      <c r="P176" s="52">
        <f t="shared" ref="P176" si="65">N176-O176</f>
        <v>2.0115624999999998E-2</v>
      </c>
      <c r="Q176" s="53">
        <f>(L176*N176-M176*P176)*G176</f>
        <v>1.8971487499999999</v>
      </c>
      <c r="R176" s="47" t="s">
        <v>167</v>
      </c>
      <c r="S176" s="48" t="s">
        <v>146</v>
      </c>
      <c r="T176" s="48">
        <v>2</v>
      </c>
      <c r="U176" s="54">
        <v>0.04</v>
      </c>
      <c r="V176" s="54">
        <f t="shared" si="54"/>
        <v>0.08</v>
      </c>
      <c r="W176" s="93"/>
      <c r="X176" s="87"/>
      <c r="Y176" s="96"/>
      <c r="Z176" s="87"/>
    </row>
    <row r="177" spans="1:26" x14ac:dyDescent="0.2">
      <c r="A177" s="89"/>
      <c r="B177" s="91"/>
      <c r="C177" s="91"/>
      <c r="D177" s="55"/>
      <c r="E177" s="55"/>
      <c r="F177" s="47"/>
      <c r="G177" s="48"/>
      <c r="H177" s="49"/>
      <c r="I177" s="50"/>
      <c r="J177" s="50"/>
      <c r="K177" s="50"/>
      <c r="L177" s="58"/>
      <c r="M177" s="51"/>
      <c r="N177" s="56"/>
      <c r="O177" s="56"/>
      <c r="P177" s="52"/>
      <c r="Q177" s="53"/>
      <c r="R177" s="47" t="s">
        <v>169</v>
      </c>
      <c r="S177" s="48" t="s">
        <v>146</v>
      </c>
      <c r="T177" s="48">
        <v>2</v>
      </c>
      <c r="U177" s="54">
        <v>0.04</v>
      </c>
      <c r="V177" s="54">
        <f t="shared" si="54"/>
        <v>0.08</v>
      </c>
      <c r="W177" s="93"/>
      <c r="X177" s="87"/>
      <c r="Y177" s="96"/>
      <c r="Z177" s="87"/>
    </row>
    <row r="178" spans="1:26" x14ac:dyDescent="0.2">
      <c r="A178" s="89"/>
      <c r="B178" s="91"/>
      <c r="C178" s="91"/>
      <c r="D178" s="55"/>
      <c r="E178" s="55"/>
      <c r="F178" s="47"/>
      <c r="G178" s="48"/>
      <c r="H178" s="49"/>
      <c r="I178" s="50"/>
      <c r="J178" s="50"/>
      <c r="K178" s="50"/>
      <c r="L178" s="58"/>
      <c r="M178" s="51"/>
      <c r="N178" s="56"/>
      <c r="O178" s="56"/>
      <c r="P178" s="52"/>
      <c r="Q178" s="53"/>
      <c r="R178" s="47" t="s">
        <v>286</v>
      </c>
      <c r="S178" s="48" t="s">
        <v>146</v>
      </c>
      <c r="T178" s="48">
        <v>2</v>
      </c>
      <c r="U178" s="54">
        <v>0.04</v>
      </c>
      <c r="V178" s="54">
        <f t="shared" si="54"/>
        <v>0.08</v>
      </c>
      <c r="W178" s="93"/>
      <c r="X178" s="87"/>
      <c r="Y178" s="96"/>
      <c r="Z178" s="87"/>
    </row>
    <row r="179" spans="1:26" x14ac:dyDescent="0.2">
      <c r="A179" s="89"/>
      <c r="B179" s="91"/>
      <c r="C179" s="91"/>
      <c r="D179" s="55"/>
      <c r="E179" s="55"/>
      <c r="F179" s="47"/>
      <c r="G179" s="48"/>
      <c r="H179" s="47"/>
      <c r="I179" s="50"/>
      <c r="J179" s="50"/>
      <c r="K179" s="50"/>
      <c r="L179" s="54"/>
      <c r="M179" s="54"/>
      <c r="N179" s="52"/>
      <c r="O179" s="52"/>
      <c r="P179" s="52"/>
      <c r="Q179" s="53"/>
      <c r="R179" s="47" t="s">
        <v>217</v>
      </c>
      <c r="S179" s="48"/>
      <c r="T179" s="48">
        <f>4*3*1+4*1.5+8*2+4*1+8*2+8*2+4*2+12*2</f>
        <v>102</v>
      </c>
      <c r="U179" s="54">
        <v>0.05</v>
      </c>
      <c r="V179" s="54">
        <f t="shared" si="54"/>
        <v>5.1000000000000005</v>
      </c>
      <c r="W179" s="93"/>
      <c r="X179" s="87"/>
      <c r="Y179" s="96"/>
      <c r="Z179" s="87"/>
    </row>
    <row r="180" spans="1:26" x14ac:dyDescent="0.2">
      <c r="A180" s="89"/>
      <c r="B180" s="91"/>
      <c r="C180" s="91"/>
      <c r="D180" s="55"/>
      <c r="E180" s="55"/>
      <c r="F180" s="47"/>
      <c r="G180" s="48"/>
      <c r="H180" s="47"/>
      <c r="I180" s="50"/>
      <c r="J180" s="50"/>
      <c r="K180" s="50"/>
      <c r="L180" s="54"/>
      <c r="M180" s="54"/>
      <c r="N180" s="52"/>
      <c r="O180" s="52"/>
      <c r="P180" s="52"/>
      <c r="Q180" s="53"/>
      <c r="R180" s="47" t="s">
        <v>157</v>
      </c>
      <c r="S180" s="48"/>
      <c r="T180" s="48">
        <f>(0.376+0.048+0.366)*0.505*2*0.3</f>
        <v>0.23937</v>
      </c>
      <c r="U180" s="54">
        <v>15</v>
      </c>
      <c r="V180" s="54">
        <f t="shared" si="54"/>
        <v>3.5905499999999999</v>
      </c>
      <c r="W180" s="93"/>
      <c r="X180" s="87"/>
      <c r="Y180" s="96"/>
      <c r="Z180" s="87"/>
    </row>
    <row r="181" spans="1:26" ht="15" thickBot="1" x14ac:dyDescent="0.25">
      <c r="A181" s="90"/>
      <c r="B181" s="92"/>
      <c r="C181" s="92"/>
      <c r="D181" s="59"/>
      <c r="E181" s="59"/>
      <c r="F181" s="60" t="s">
        <v>158</v>
      </c>
      <c r="G181" s="61"/>
      <c r="H181" s="60"/>
      <c r="I181" s="62"/>
      <c r="J181" s="62"/>
      <c r="K181" s="62"/>
      <c r="L181" s="63"/>
      <c r="M181" s="63"/>
      <c r="N181" s="64"/>
      <c r="O181" s="64"/>
      <c r="P181" s="64"/>
      <c r="Q181" s="65">
        <f>SUM(Q147:Q180)</f>
        <v>37.397041228123889</v>
      </c>
      <c r="R181" s="60"/>
      <c r="S181" s="61"/>
      <c r="T181" s="61"/>
      <c r="U181" s="63"/>
      <c r="V181" s="63">
        <f>SUM(V147:V180)</f>
        <v>11.070550000000001</v>
      </c>
      <c r="W181" s="94">
        <f>(Q181+V181)*W147</f>
        <v>54.283702175498767</v>
      </c>
      <c r="X181" s="88"/>
      <c r="Y181" s="66">
        <v>7.14</v>
      </c>
      <c r="Z181" s="88">
        <f>SUM(Q181:Y181)</f>
        <v>109.89129340362267</v>
      </c>
    </row>
    <row r="182" spans="1:26" x14ac:dyDescent="0.2">
      <c r="A182" s="89">
        <v>7</v>
      </c>
      <c r="B182" s="91" t="s">
        <v>350</v>
      </c>
      <c r="C182" s="91" t="s">
        <v>351</v>
      </c>
      <c r="D182" s="46">
        <v>1</v>
      </c>
      <c r="E182" s="46" t="s">
        <v>352</v>
      </c>
      <c r="F182" s="47" t="s">
        <v>353</v>
      </c>
      <c r="G182" s="48">
        <v>1</v>
      </c>
      <c r="H182" s="49" t="s">
        <v>354</v>
      </c>
      <c r="I182" s="50">
        <f>170+6</f>
        <v>176</v>
      </c>
      <c r="J182" s="50">
        <f>140+6</f>
        <v>146</v>
      </c>
      <c r="K182" s="50">
        <v>3</v>
      </c>
      <c r="L182" s="51">
        <v>4.8</v>
      </c>
      <c r="M182" s="51">
        <v>2.6</v>
      </c>
      <c r="N182" s="56">
        <f>I182*J182*K182*7.85/1000000</f>
        <v>0.60514079999999992</v>
      </c>
      <c r="O182" s="56">
        <v>0.56049000000000004</v>
      </c>
      <c r="P182" s="52">
        <f t="shared" ref="P182" si="66">N182-O182</f>
        <v>4.4650799999999879E-2</v>
      </c>
      <c r="Q182" s="53">
        <f>(L182*N182-M182*P182)*G182</f>
        <v>2.7885837599999999</v>
      </c>
      <c r="R182" s="47" t="s">
        <v>304</v>
      </c>
      <c r="S182" s="48" t="s">
        <v>355</v>
      </c>
      <c r="T182" s="48">
        <v>1</v>
      </c>
      <c r="U182" s="54">
        <v>7.0000000000000007E-2</v>
      </c>
      <c r="V182" s="54">
        <f t="shared" ref="V182:V212" si="67">T182*U182</f>
        <v>7.0000000000000007E-2</v>
      </c>
      <c r="W182" s="93">
        <v>1.1200000000000001</v>
      </c>
      <c r="X182" s="87">
        <f>W182*(Q213+V213)</f>
        <v>51.157428427978765</v>
      </c>
      <c r="Y182" s="95" t="s">
        <v>356</v>
      </c>
      <c r="Z182" s="87">
        <f>X182+Y213</f>
        <v>58.297428427978765</v>
      </c>
    </row>
    <row r="183" spans="1:26" x14ac:dyDescent="0.2">
      <c r="A183" s="89"/>
      <c r="B183" s="91"/>
      <c r="C183" s="91"/>
      <c r="D183" s="46"/>
      <c r="E183" s="46"/>
      <c r="F183" s="47"/>
      <c r="G183" s="48"/>
      <c r="H183" s="49"/>
      <c r="I183" s="50"/>
      <c r="J183" s="50"/>
      <c r="K183" s="50"/>
      <c r="L183" s="51"/>
      <c r="M183" s="51"/>
      <c r="N183" s="56"/>
      <c r="O183" s="56"/>
      <c r="P183" s="52"/>
      <c r="Q183" s="53"/>
      <c r="R183" s="47" t="s">
        <v>124</v>
      </c>
      <c r="S183" s="48" t="s">
        <v>233</v>
      </c>
      <c r="T183" s="48">
        <v>1</v>
      </c>
      <c r="U183" s="54">
        <v>0.05</v>
      </c>
      <c r="V183" s="54">
        <f t="shared" si="67"/>
        <v>0.05</v>
      </c>
      <c r="W183" s="93"/>
      <c r="X183" s="87"/>
      <c r="Y183" s="96"/>
      <c r="Z183" s="87"/>
    </row>
    <row r="184" spans="1:26" x14ac:dyDescent="0.2">
      <c r="A184" s="89"/>
      <c r="B184" s="91"/>
      <c r="C184" s="91"/>
      <c r="D184" s="55">
        <v>2</v>
      </c>
      <c r="E184" s="46" t="s">
        <v>357</v>
      </c>
      <c r="F184" s="47" t="s">
        <v>358</v>
      </c>
      <c r="G184" s="48">
        <v>1</v>
      </c>
      <c r="H184" s="49" t="s">
        <v>141</v>
      </c>
      <c r="I184" s="50">
        <f>170+6</f>
        <v>176</v>
      </c>
      <c r="J184" s="50">
        <f>140+6</f>
        <v>146</v>
      </c>
      <c r="K184" s="50">
        <v>3</v>
      </c>
      <c r="L184" s="51">
        <v>4.8</v>
      </c>
      <c r="M184" s="51">
        <v>2.6</v>
      </c>
      <c r="N184" s="56">
        <f>I184*J184*K184*7.85/1000000</f>
        <v>0.60514079999999992</v>
      </c>
      <c r="O184" s="56">
        <v>0.56049000000000004</v>
      </c>
      <c r="P184" s="52">
        <f t="shared" ref="P184" si="68">N184-O184</f>
        <v>4.4650799999999879E-2</v>
      </c>
      <c r="Q184" s="53">
        <f>(L184*N184-M184*P184)*G184</f>
        <v>2.7885837599999999</v>
      </c>
      <c r="R184" s="47" t="s">
        <v>145</v>
      </c>
      <c r="S184" s="48" t="s">
        <v>232</v>
      </c>
      <c r="T184" s="48">
        <v>1</v>
      </c>
      <c r="U184" s="54">
        <v>7.0000000000000007E-2</v>
      </c>
      <c r="V184" s="54">
        <f t="shared" si="67"/>
        <v>7.0000000000000007E-2</v>
      </c>
      <c r="W184" s="93"/>
      <c r="X184" s="87"/>
      <c r="Y184" s="96"/>
      <c r="Z184" s="87"/>
    </row>
    <row r="185" spans="1:26" x14ac:dyDescent="0.2">
      <c r="A185" s="89"/>
      <c r="B185" s="91"/>
      <c r="C185" s="91"/>
      <c r="D185" s="55"/>
      <c r="E185" s="46"/>
      <c r="F185" s="47"/>
      <c r="G185" s="48"/>
      <c r="H185" s="49"/>
      <c r="I185" s="50"/>
      <c r="J185" s="50"/>
      <c r="K185" s="50"/>
      <c r="L185" s="54"/>
      <c r="M185" s="54"/>
      <c r="N185" s="52"/>
      <c r="O185" s="52"/>
      <c r="P185" s="52"/>
      <c r="Q185" s="53"/>
      <c r="R185" s="47" t="s">
        <v>124</v>
      </c>
      <c r="S185" s="48" t="s">
        <v>233</v>
      </c>
      <c r="T185" s="48">
        <v>1</v>
      </c>
      <c r="U185" s="54">
        <v>0.05</v>
      </c>
      <c r="V185" s="54">
        <f t="shared" si="67"/>
        <v>0.05</v>
      </c>
      <c r="W185" s="93"/>
      <c r="X185" s="87"/>
      <c r="Y185" s="96"/>
      <c r="Z185" s="87"/>
    </row>
    <row r="186" spans="1:26" x14ac:dyDescent="0.2">
      <c r="A186" s="89"/>
      <c r="B186" s="91"/>
      <c r="C186" s="91"/>
      <c r="D186" s="55">
        <v>3</v>
      </c>
      <c r="E186" s="55" t="s">
        <v>234</v>
      </c>
      <c r="F186" s="47" t="s">
        <v>235</v>
      </c>
      <c r="G186" s="48">
        <v>1</v>
      </c>
      <c r="H186" s="49" t="s">
        <v>128</v>
      </c>
      <c r="I186" s="50">
        <f>720+30+30+2</f>
        <v>782</v>
      </c>
      <c r="J186" s="50">
        <v>8</v>
      </c>
      <c r="K186" s="50">
        <v>1</v>
      </c>
      <c r="L186" s="54">
        <v>4.5999999999999996</v>
      </c>
      <c r="M186" s="54">
        <v>2.6</v>
      </c>
      <c r="N186" s="52">
        <f>(J186-K186)*K186*0.02466*I186/1000</f>
        <v>0.13498884</v>
      </c>
      <c r="O186" s="52">
        <v>0.1346436</v>
      </c>
      <c r="P186" s="52">
        <f t="shared" ref="P186" si="69">N186-O186</f>
        <v>3.4523999999999666E-4</v>
      </c>
      <c r="Q186" s="53">
        <f>(L186*N186-M186*P186)*G186</f>
        <v>0.62005103999999989</v>
      </c>
      <c r="R186" s="47" t="s">
        <v>333</v>
      </c>
      <c r="S186" s="48"/>
      <c r="T186" s="48">
        <v>1</v>
      </c>
      <c r="U186" s="54">
        <v>0.08</v>
      </c>
      <c r="V186" s="54">
        <f t="shared" si="67"/>
        <v>0.08</v>
      </c>
      <c r="W186" s="93"/>
      <c r="X186" s="87"/>
      <c r="Y186" s="96"/>
      <c r="Z186" s="87"/>
    </row>
    <row r="187" spans="1:26" x14ac:dyDescent="0.2">
      <c r="A187" s="89"/>
      <c r="B187" s="91"/>
      <c r="C187" s="91"/>
      <c r="D187" s="55"/>
      <c r="E187" s="55"/>
      <c r="F187" s="47"/>
      <c r="G187" s="48"/>
      <c r="H187" s="49"/>
      <c r="I187" s="50"/>
      <c r="J187" s="50"/>
      <c r="K187" s="50"/>
      <c r="L187" s="54"/>
      <c r="M187" s="54"/>
      <c r="N187" s="52"/>
      <c r="O187" s="52"/>
      <c r="P187" s="52"/>
      <c r="Q187" s="53"/>
      <c r="R187" s="47" t="s">
        <v>334</v>
      </c>
      <c r="S187" s="48"/>
      <c r="T187" s="48">
        <v>2</v>
      </c>
      <c r="U187" s="54">
        <v>0.05</v>
      </c>
      <c r="V187" s="54">
        <f t="shared" si="67"/>
        <v>0.1</v>
      </c>
      <c r="W187" s="93"/>
      <c r="X187" s="87"/>
      <c r="Y187" s="96"/>
      <c r="Z187" s="87"/>
    </row>
    <row r="188" spans="1:26" x14ac:dyDescent="0.2">
      <c r="A188" s="89"/>
      <c r="B188" s="91"/>
      <c r="C188" s="91"/>
      <c r="D188" s="55">
        <v>4</v>
      </c>
      <c r="E188" s="55" t="s">
        <v>359</v>
      </c>
      <c r="F188" s="57" t="s">
        <v>360</v>
      </c>
      <c r="G188" s="48">
        <v>1</v>
      </c>
      <c r="H188" s="49" t="s">
        <v>269</v>
      </c>
      <c r="I188" s="50">
        <f>144+6</f>
        <v>150</v>
      </c>
      <c r="J188" s="50">
        <f>90+6</f>
        <v>96</v>
      </c>
      <c r="K188" s="50">
        <v>3</v>
      </c>
      <c r="L188" s="51">
        <v>5.18</v>
      </c>
      <c r="M188" s="51">
        <v>2.6</v>
      </c>
      <c r="N188" s="56">
        <f>I188*J188*K188*7.85/1000000</f>
        <v>0.33911999999999998</v>
      </c>
      <c r="O188" s="56">
        <v>0.30520799999999998</v>
      </c>
      <c r="P188" s="52">
        <f t="shared" ref="P188" si="70">N188-O188</f>
        <v>3.3911999999999998E-2</v>
      </c>
      <c r="Q188" s="53">
        <f>(L188*N188-M188*P188)*G188</f>
        <v>1.6684703999999999</v>
      </c>
      <c r="R188" s="47" t="s">
        <v>225</v>
      </c>
      <c r="S188" s="48" t="s">
        <v>226</v>
      </c>
      <c r="T188" s="48">
        <v>1</v>
      </c>
      <c r="U188" s="54">
        <v>7.0000000000000007E-2</v>
      </c>
      <c r="V188" s="54">
        <f t="shared" si="67"/>
        <v>7.0000000000000007E-2</v>
      </c>
      <c r="W188" s="93"/>
      <c r="X188" s="87"/>
      <c r="Y188" s="96"/>
      <c r="Z188" s="87"/>
    </row>
    <row r="189" spans="1:26" x14ac:dyDescent="0.2">
      <c r="A189" s="89"/>
      <c r="B189" s="91"/>
      <c r="C189" s="91"/>
      <c r="D189" s="55"/>
      <c r="E189" s="55"/>
      <c r="F189" s="57"/>
      <c r="G189" s="48"/>
      <c r="H189" s="49"/>
      <c r="I189" s="50"/>
      <c r="J189" s="50"/>
      <c r="K189" s="50"/>
      <c r="L189" s="51"/>
      <c r="M189" s="51"/>
      <c r="N189" s="52"/>
      <c r="O189" s="52"/>
      <c r="P189" s="52"/>
      <c r="Q189" s="53"/>
      <c r="R189" s="47" t="s">
        <v>202</v>
      </c>
      <c r="S189" s="48" t="s">
        <v>226</v>
      </c>
      <c r="T189" s="48">
        <v>1</v>
      </c>
      <c r="U189" s="54">
        <v>7.0000000000000007E-2</v>
      </c>
      <c r="V189" s="54">
        <f t="shared" si="67"/>
        <v>7.0000000000000007E-2</v>
      </c>
      <c r="W189" s="93"/>
      <c r="X189" s="87"/>
      <c r="Y189" s="96"/>
      <c r="Z189" s="87"/>
    </row>
    <row r="190" spans="1:26" x14ac:dyDescent="0.2">
      <c r="A190" s="89"/>
      <c r="B190" s="91"/>
      <c r="C190" s="91"/>
      <c r="D190" s="55">
        <v>5</v>
      </c>
      <c r="E190" s="55" t="s">
        <v>240</v>
      </c>
      <c r="F190" s="57" t="s">
        <v>241</v>
      </c>
      <c r="G190" s="48">
        <v>1</v>
      </c>
      <c r="H190" s="49" t="s">
        <v>213</v>
      </c>
      <c r="I190" s="50">
        <f>100+6</f>
        <v>106</v>
      </c>
      <c r="J190" s="50">
        <f>47+6</f>
        <v>53</v>
      </c>
      <c r="K190" s="50">
        <v>3</v>
      </c>
      <c r="L190" s="51">
        <v>4.8</v>
      </c>
      <c r="M190" s="51">
        <v>2.6</v>
      </c>
      <c r="N190" s="56">
        <f>I190*J190*K190*7.85/1000000</f>
        <v>0.1323039</v>
      </c>
      <c r="O190" s="56">
        <v>0.11068500000000001</v>
      </c>
      <c r="P190" s="52">
        <f t="shared" ref="P190" si="71">N190-O190</f>
        <v>2.1618899999999996E-2</v>
      </c>
      <c r="Q190" s="53">
        <f>(L190*N190-M190*P190)*G190</f>
        <v>0.57884957999999997</v>
      </c>
      <c r="R190" s="47" t="s">
        <v>200</v>
      </c>
      <c r="S190" s="48" t="s">
        <v>229</v>
      </c>
      <c r="T190" s="48">
        <v>1</v>
      </c>
      <c r="U190" s="54">
        <v>0.05</v>
      </c>
      <c r="V190" s="54">
        <f t="shared" si="67"/>
        <v>0.05</v>
      </c>
      <c r="W190" s="93"/>
      <c r="X190" s="87"/>
      <c r="Y190" s="96"/>
      <c r="Z190" s="87"/>
    </row>
    <row r="191" spans="1:26" x14ac:dyDescent="0.2">
      <c r="A191" s="89"/>
      <c r="B191" s="91"/>
      <c r="C191" s="91"/>
      <c r="D191" s="55"/>
      <c r="E191" s="55"/>
      <c r="F191" s="57"/>
      <c r="G191" s="48"/>
      <c r="H191" s="49"/>
      <c r="I191" s="50"/>
      <c r="J191" s="50"/>
      <c r="K191" s="50"/>
      <c r="L191" s="54"/>
      <c r="M191" s="54"/>
      <c r="N191" s="52"/>
      <c r="O191" s="52"/>
      <c r="P191" s="52"/>
      <c r="Q191" s="53"/>
      <c r="R191" s="47" t="s">
        <v>202</v>
      </c>
      <c r="S191" s="48" t="s">
        <v>229</v>
      </c>
      <c r="T191" s="48">
        <v>1</v>
      </c>
      <c r="U191" s="54">
        <v>0.05</v>
      </c>
      <c r="V191" s="54">
        <f t="shared" si="67"/>
        <v>0.05</v>
      </c>
      <c r="W191" s="93"/>
      <c r="X191" s="87"/>
      <c r="Y191" s="96"/>
      <c r="Z191" s="87"/>
    </row>
    <row r="192" spans="1:26" x14ac:dyDescent="0.2">
      <c r="A192" s="89"/>
      <c r="B192" s="91"/>
      <c r="C192" s="91"/>
      <c r="D192" s="55">
        <v>6</v>
      </c>
      <c r="E192" s="55" t="s">
        <v>242</v>
      </c>
      <c r="F192" s="57" t="s">
        <v>332</v>
      </c>
      <c r="G192" s="48">
        <v>1</v>
      </c>
      <c r="H192" s="49" t="s">
        <v>213</v>
      </c>
      <c r="I192" s="50">
        <f>100+6</f>
        <v>106</v>
      </c>
      <c r="J192" s="50">
        <f>60+6</f>
        <v>66</v>
      </c>
      <c r="K192" s="50">
        <v>3</v>
      </c>
      <c r="L192" s="51">
        <v>4.8</v>
      </c>
      <c r="M192" s="51">
        <v>2.6</v>
      </c>
      <c r="N192" s="56">
        <f>I192*J192*K192*7.85/1000000</f>
        <v>0.16475579999999998</v>
      </c>
      <c r="O192" s="56">
        <v>0.14130000000000001</v>
      </c>
      <c r="P192" s="52">
        <f t="shared" ref="P192" si="72">N192-O192</f>
        <v>2.3455799999999971E-2</v>
      </c>
      <c r="Q192" s="53">
        <f>(L192*N192-M192*P192)*G192</f>
        <v>0.72984275999999992</v>
      </c>
      <c r="R192" s="47" t="s">
        <v>361</v>
      </c>
      <c r="S192" s="48" t="s">
        <v>362</v>
      </c>
      <c r="T192" s="48">
        <v>1</v>
      </c>
      <c r="U192" s="54">
        <v>0.05</v>
      </c>
      <c r="V192" s="54">
        <f t="shared" si="67"/>
        <v>0.05</v>
      </c>
      <c r="W192" s="93"/>
      <c r="X192" s="87"/>
      <c r="Y192" s="96"/>
      <c r="Z192" s="87"/>
    </row>
    <row r="193" spans="1:26" x14ac:dyDescent="0.2">
      <c r="A193" s="89"/>
      <c r="B193" s="91"/>
      <c r="C193" s="91"/>
      <c r="D193" s="55"/>
      <c r="E193" s="55"/>
      <c r="F193" s="57"/>
      <c r="G193" s="48"/>
      <c r="H193" s="49"/>
      <c r="I193" s="50"/>
      <c r="J193" s="50"/>
      <c r="K193" s="50"/>
      <c r="L193" s="54"/>
      <c r="M193" s="54"/>
      <c r="N193" s="52"/>
      <c r="O193" s="52"/>
      <c r="P193" s="52"/>
      <c r="Q193" s="53"/>
      <c r="R193" s="47" t="s">
        <v>363</v>
      </c>
      <c r="S193" s="48" t="s">
        <v>362</v>
      </c>
      <c r="T193" s="48">
        <v>1</v>
      </c>
      <c r="U193" s="54">
        <v>0.05</v>
      </c>
      <c r="V193" s="54">
        <f t="shared" si="67"/>
        <v>0.05</v>
      </c>
      <c r="W193" s="93"/>
      <c r="X193" s="87"/>
      <c r="Y193" s="96"/>
      <c r="Z193" s="87"/>
    </row>
    <row r="194" spans="1:26" x14ac:dyDescent="0.2">
      <c r="A194" s="89"/>
      <c r="B194" s="91"/>
      <c r="C194" s="91"/>
      <c r="D194" s="55">
        <v>7</v>
      </c>
      <c r="E194" s="55" t="s">
        <v>364</v>
      </c>
      <c r="F194" s="47" t="s">
        <v>365</v>
      </c>
      <c r="G194" s="48">
        <v>2</v>
      </c>
      <c r="H194" s="49" t="s">
        <v>366</v>
      </c>
      <c r="I194" s="50">
        <f>400+2</f>
        <v>402</v>
      </c>
      <c r="J194" s="50">
        <v>19</v>
      </c>
      <c r="K194" s="50">
        <v>2</v>
      </c>
      <c r="L194" s="54">
        <v>4.5999999999999996</v>
      </c>
      <c r="M194" s="54">
        <v>2.6</v>
      </c>
      <c r="N194" s="52">
        <f>(J194-K194)*K194*0.02466*I194/1000</f>
        <v>0.33705288</v>
      </c>
      <c r="O194" s="52">
        <v>0.33537600000000001</v>
      </c>
      <c r="P194" s="52">
        <f t="shared" ref="P194" si="73">N194-O194</f>
        <v>1.6768799999999917E-3</v>
      </c>
      <c r="Q194" s="53">
        <f>(L194*N194-M194*P194)*G194</f>
        <v>3.0921667199999998</v>
      </c>
      <c r="R194" s="47" t="s">
        <v>367</v>
      </c>
      <c r="S194" s="48"/>
      <c r="T194" s="48">
        <v>1</v>
      </c>
      <c r="U194" s="54">
        <v>0.08</v>
      </c>
      <c r="V194" s="54">
        <f t="shared" si="67"/>
        <v>0.08</v>
      </c>
      <c r="W194" s="93"/>
      <c r="X194" s="87"/>
      <c r="Y194" s="96"/>
      <c r="Z194" s="87"/>
    </row>
    <row r="195" spans="1:26" x14ac:dyDescent="0.2">
      <c r="A195" s="89"/>
      <c r="B195" s="91"/>
      <c r="C195" s="91"/>
      <c r="D195" s="55"/>
      <c r="E195" s="55"/>
      <c r="F195" s="47"/>
      <c r="G195" s="48"/>
      <c r="H195" s="49"/>
      <c r="I195" s="50"/>
      <c r="J195" s="50"/>
      <c r="K195" s="50"/>
      <c r="L195" s="54"/>
      <c r="M195" s="54"/>
      <c r="N195" s="52"/>
      <c r="O195" s="52"/>
      <c r="P195" s="52"/>
      <c r="Q195" s="53"/>
      <c r="R195" s="47" t="s">
        <v>368</v>
      </c>
      <c r="S195" s="48"/>
      <c r="T195" s="48">
        <v>1</v>
      </c>
      <c r="U195" s="54">
        <v>0.05</v>
      </c>
      <c r="V195" s="54">
        <f t="shared" si="67"/>
        <v>0.05</v>
      </c>
      <c r="W195" s="93"/>
      <c r="X195" s="87"/>
      <c r="Y195" s="96"/>
      <c r="Z195" s="87"/>
    </row>
    <row r="196" spans="1:26" x14ac:dyDescent="0.2">
      <c r="A196" s="89"/>
      <c r="B196" s="91"/>
      <c r="C196" s="91"/>
      <c r="D196" s="55"/>
      <c r="E196" s="55"/>
      <c r="F196" s="47"/>
      <c r="G196" s="48"/>
      <c r="H196" s="49"/>
      <c r="I196" s="50"/>
      <c r="J196" s="50"/>
      <c r="K196" s="50"/>
      <c r="L196" s="54"/>
      <c r="M196" s="54"/>
      <c r="N196" s="52"/>
      <c r="O196" s="52"/>
      <c r="P196" s="52"/>
      <c r="Q196" s="53"/>
      <c r="R196" s="47" t="s">
        <v>369</v>
      </c>
      <c r="S196" s="48" t="s">
        <v>370</v>
      </c>
      <c r="T196" s="48">
        <v>1</v>
      </c>
      <c r="U196" s="54">
        <v>0.03</v>
      </c>
      <c r="V196" s="54">
        <f t="shared" si="67"/>
        <v>0.03</v>
      </c>
      <c r="W196" s="93"/>
      <c r="X196" s="87"/>
      <c r="Y196" s="96"/>
      <c r="Z196" s="87"/>
    </row>
    <row r="197" spans="1:26" x14ac:dyDescent="0.2">
      <c r="A197" s="89"/>
      <c r="B197" s="91"/>
      <c r="C197" s="91"/>
      <c r="D197" s="55">
        <v>8</v>
      </c>
      <c r="E197" s="55" t="s">
        <v>250</v>
      </c>
      <c r="F197" s="47" t="s">
        <v>371</v>
      </c>
      <c r="G197" s="48">
        <v>1</v>
      </c>
      <c r="H197" s="49" t="s">
        <v>366</v>
      </c>
      <c r="I197" s="50">
        <f>1800+2</f>
        <v>1802</v>
      </c>
      <c r="J197" s="50">
        <v>25</v>
      </c>
      <c r="K197" s="50">
        <v>2</v>
      </c>
      <c r="L197" s="54">
        <v>4.5999999999999996</v>
      </c>
      <c r="M197" s="54">
        <v>2.6</v>
      </c>
      <c r="N197" s="52">
        <f>(J197-K197)*K197*0.02466*I197/1000</f>
        <v>2.0441167199999999</v>
      </c>
      <c r="O197" s="52">
        <v>2.0418479999999999</v>
      </c>
      <c r="P197" s="52">
        <f t="shared" ref="P197" si="74">N197-O197</f>
        <v>2.2687200000000018E-3</v>
      </c>
      <c r="Q197" s="53">
        <f>(L197*N197-M197*P197)*G197</f>
        <v>9.3970382399999988</v>
      </c>
      <c r="R197" s="47" t="s">
        <v>367</v>
      </c>
      <c r="S197" s="48"/>
      <c r="T197" s="48">
        <v>1</v>
      </c>
      <c r="U197" s="54">
        <v>0.08</v>
      </c>
      <c r="V197" s="54">
        <f t="shared" si="67"/>
        <v>0.08</v>
      </c>
      <c r="W197" s="93"/>
      <c r="X197" s="87"/>
      <c r="Y197" s="96"/>
      <c r="Z197" s="87"/>
    </row>
    <row r="198" spans="1:26" x14ac:dyDescent="0.2">
      <c r="A198" s="89"/>
      <c r="B198" s="91"/>
      <c r="C198" s="91"/>
      <c r="D198" s="55"/>
      <c r="E198" s="55"/>
      <c r="F198" s="47"/>
      <c r="G198" s="48"/>
      <c r="H198" s="49"/>
      <c r="I198" s="50"/>
      <c r="J198" s="50"/>
      <c r="K198" s="50"/>
      <c r="L198" s="54"/>
      <c r="M198" s="54"/>
      <c r="N198" s="52"/>
      <c r="O198" s="52"/>
      <c r="P198" s="52"/>
      <c r="Q198" s="53"/>
      <c r="R198" s="47" t="s">
        <v>368</v>
      </c>
      <c r="S198" s="48"/>
      <c r="T198" s="48">
        <v>2</v>
      </c>
      <c r="U198" s="54">
        <v>0.05</v>
      </c>
      <c r="V198" s="54">
        <f t="shared" si="67"/>
        <v>0.1</v>
      </c>
      <c r="W198" s="93"/>
      <c r="X198" s="87"/>
      <c r="Y198" s="96"/>
      <c r="Z198" s="87"/>
    </row>
    <row r="199" spans="1:26" x14ac:dyDescent="0.2">
      <c r="A199" s="89"/>
      <c r="B199" s="91"/>
      <c r="C199" s="91"/>
      <c r="D199" s="55"/>
      <c r="E199" s="55"/>
      <c r="F199" s="47"/>
      <c r="G199" s="48"/>
      <c r="H199" s="49"/>
      <c r="I199" s="50"/>
      <c r="J199" s="50"/>
      <c r="K199" s="50"/>
      <c r="L199" s="54"/>
      <c r="M199" s="54"/>
      <c r="N199" s="52"/>
      <c r="O199" s="52"/>
      <c r="P199" s="52"/>
      <c r="Q199" s="53"/>
      <c r="R199" s="47" t="s">
        <v>372</v>
      </c>
      <c r="S199" s="48" t="s">
        <v>370</v>
      </c>
      <c r="T199" s="48">
        <v>4</v>
      </c>
      <c r="U199" s="54">
        <v>0.03</v>
      </c>
      <c r="V199" s="54">
        <f t="shared" si="67"/>
        <v>0.12</v>
      </c>
      <c r="W199" s="93"/>
      <c r="X199" s="87"/>
      <c r="Y199" s="96"/>
      <c r="Z199" s="87"/>
    </row>
    <row r="200" spans="1:26" x14ac:dyDescent="0.2">
      <c r="A200" s="89"/>
      <c r="B200" s="91"/>
      <c r="C200" s="91"/>
      <c r="D200" s="55">
        <v>9</v>
      </c>
      <c r="E200" s="55" t="s">
        <v>373</v>
      </c>
      <c r="F200" s="47" t="s">
        <v>374</v>
      </c>
      <c r="G200" s="48">
        <v>1</v>
      </c>
      <c r="H200" s="49" t="s">
        <v>375</v>
      </c>
      <c r="I200" s="50">
        <v>532</v>
      </c>
      <c r="J200" s="50">
        <v>50</v>
      </c>
      <c r="K200" s="50">
        <v>1.5</v>
      </c>
      <c r="L200" s="51">
        <v>5</v>
      </c>
      <c r="M200" s="51">
        <v>2.6</v>
      </c>
      <c r="N200" s="52">
        <f>4*K200*(J200-K200)*7.85/1000*I200/1000</f>
        <v>1.2152741999999999</v>
      </c>
      <c r="O200" s="52">
        <v>1.2107055</v>
      </c>
      <c r="P200" s="52">
        <f>N200-O200</f>
        <v>4.5686999999998701E-3</v>
      </c>
      <c r="Q200" s="53">
        <f>(L200*N200-M200*P200)*G200</f>
        <v>6.064492379999999</v>
      </c>
      <c r="R200" s="47" t="s">
        <v>98</v>
      </c>
      <c r="S200" s="48"/>
      <c r="T200" s="48">
        <v>4</v>
      </c>
      <c r="U200" s="54">
        <v>0.1</v>
      </c>
      <c r="V200" s="54">
        <f t="shared" si="67"/>
        <v>0.4</v>
      </c>
      <c r="W200" s="93"/>
      <c r="X200" s="87"/>
      <c r="Y200" s="96"/>
      <c r="Z200" s="87"/>
    </row>
    <row r="201" spans="1:26" x14ac:dyDescent="0.2">
      <c r="A201" s="89"/>
      <c r="B201" s="91"/>
      <c r="C201" s="91"/>
      <c r="D201" s="55"/>
      <c r="E201" s="55"/>
      <c r="F201" s="47"/>
      <c r="G201" s="48"/>
      <c r="H201" s="49"/>
      <c r="I201" s="50"/>
      <c r="J201" s="50"/>
      <c r="K201" s="50"/>
      <c r="L201" s="51"/>
      <c r="M201" s="51"/>
      <c r="N201" s="52"/>
      <c r="O201" s="52"/>
      <c r="P201" s="52"/>
      <c r="Q201" s="53"/>
      <c r="R201" s="47" t="s">
        <v>376</v>
      </c>
      <c r="S201" s="48" t="s">
        <v>362</v>
      </c>
      <c r="T201" s="48">
        <v>2</v>
      </c>
      <c r="U201" s="54">
        <v>0.05</v>
      </c>
      <c r="V201" s="54">
        <f t="shared" si="67"/>
        <v>0.1</v>
      </c>
      <c r="W201" s="93"/>
      <c r="X201" s="87"/>
      <c r="Y201" s="96"/>
      <c r="Z201" s="87"/>
    </row>
    <row r="202" spans="1:26" x14ac:dyDescent="0.2">
      <c r="A202" s="89"/>
      <c r="B202" s="91"/>
      <c r="C202" s="91"/>
      <c r="D202" s="55">
        <v>10</v>
      </c>
      <c r="E202" s="55" t="s">
        <v>377</v>
      </c>
      <c r="F202" s="57" t="s">
        <v>378</v>
      </c>
      <c r="G202" s="48">
        <v>1</v>
      </c>
      <c r="H202" s="49" t="s">
        <v>375</v>
      </c>
      <c r="I202" s="50">
        <f>720+35+35</f>
        <v>790</v>
      </c>
      <c r="J202" s="50">
        <v>5</v>
      </c>
      <c r="K202" s="50"/>
      <c r="L202" s="54">
        <f>9/1.13</f>
        <v>7.9646017699115053</v>
      </c>
      <c r="M202" s="54"/>
      <c r="N202" s="52">
        <f>J202*J202*0.00617*I202/1000</f>
        <v>0.12185750000000001</v>
      </c>
      <c r="O202" s="52"/>
      <c r="P202" s="52"/>
      <c r="Q202" s="53">
        <f>(L202*N202-M202*P202)*G202</f>
        <v>0.97054646017699131</v>
      </c>
      <c r="R202" s="47"/>
      <c r="S202" s="48"/>
      <c r="T202" s="48"/>
      <c r="U202" s="54"/>
      <c r="V202" s="54">
        <f t="shared" si="67"/>
        <v>0</v>
      </c>
      <c r="W202" s="93"/>
      <c r="X202" s="87"/>
      <c r="Y202" s="96"/>
      <c r="Z202" s="87"/>
    </row>
    <row r="203" spans="1:26" x14ac:dyDescent="0.2">
      <c r="A203" s="89"/>
      <c r="B203" s="91"/>
      <c r="C203" s="91"/>
      <c r="D203" s="55">
        <v>11</v>
      </c>
      <c r="E203" s="55" t="s">
        <v>379</v>
      </c>
      <c r="F203" s="57" t="s">
        <v>380</v>
      </c>
      <c r="G203" s="48">
        <v>1</v>
      </c>
      <c r="H203" s="49" t="s">
        <v>375</v>
      </c>
      <c r="I203" s="50">
        <f>720+30+30</f>
        <v>780</v>
      </c>
      <c r="J203" s="50">
        <v>5</v>
      </c>
      <c r="K203" s="50"/>
      <c r="L203" s="54">
        <f>9/1.13</f>
        <v>7.9646017699115053</v>
      </c>
      <c r="M203" s="54"/>
      <c r="N203" s="52">
        <f>J203*J203*0.00617*I203/1000</f>
        <v>0.12031499999999999</v>
      </c>
      <c r="O203" s="52"/>
      <c r="P203" s="52"/>
      <c r="Q203" s="53">
        <f>(L203*N203-M203*P203)*G203</f>
        <v>0.95826106194690264</v>
      </c>
      <c r="R203" s="47"/>
      <c r="S203" s="48"/>
      <c r="T203" s="48"/>
      <c r="U203" s="54"/>
      <c r="V203" s="54">
        <f t="shared" si="67"/>
        <v>0</v>
      </c>
      <c r="W203" s="93"/>
      <c r="X203" s="87"/>
      <c r="Y203" s="96"/>
      <c r="Z203" s="87"/>
    </row>
    <row r="204" spans="1:26" x14ac:dyDescent="0.2">
      <c r="A204" s="89"/>
      <c r="B204" s="91"/>
      <c r="C204" s="91"/>
      <c r="D204" s="55">
        <v>12</v>
      </c>
      <c r="E204" s="55" t="s">
        <v>381</v>
      </c>
      <c r="F204" s="57" t="s">
        <v>382</v>
      </c>
      <c r="G204" s="48">
        <v>1</v>
      </c>
      <c r="H204" s="49" t="s">
        <v>366</v>
      </c>
      <c r="I204" s="50">
        <f>780+2</f>
        <v>782</v>
      </c>
      <c r="J204" s="50">
        <v>19</v>
      </c>
      <c r="K204" s="50">
        <v>2</v>
      </c>
      <c r="L204" s="54">
        <v>4.5999999999999996</v>
      </c>
      <c r="M204" s="54">
        <v>2.6</v>
      </c>
      <c r="N204" s="52">
        <f>(J204-K204)*K204*0.02466*I204/1000</f>
        <v>0.65566008000000009</v>
      </c>
      <c r="O204" s="52">
        <v>0.65398319999999999</v>
      </c>
      <c r="P204" s="52">
        <f t="shared" ref="P204:P205" si="75">N204-O204</f>
        <v>1.6768800000001027E-3</v>
      </c>
      <c r="Q204" s="53">
        <f>(L204*N204-M204*P204)*G204</f>
        <v>3.0116764799999998</v>
      </c>
      <c r="R204" s="47" t="s">
        <v>98</v>
      </c>
      <c r="S204" s="48"/>
      <c r="T204" s="48">
        <v>1</v>
      </c>
      <c r="U204" s="54">
        <v>0.08</v>
      </c>
      <c r="V204" s="54">
        <f t="shared" si="67"/>
        <v>0.08</v>
      </c>
      <c r="W204" s="93"/>
      <c r="X204" s="87"/>
      <c r="Y204" s="96"/>
      <c r="Z204" s="87"/>
    </row>
    <row r="205" spans="1:26" x14ac:dyDescent="0.2">
      <c r="A205" s="89"/>
      <c r="B205" s="91"/>
      <c r="C205" s="91"/>
      <c r="D205" s="55">
        <v>13</v>
      </c>
      <c r="E205" s="55" t="s">
        <v>383</v>
      </c>
      <c r="F205" s="47" t="s">
        <v>384</v>
      </c>
      <c r="G205" s="48">
        <v>1</v>
      </c>
      <c r="H205" s="49" t="s">
        <v>375</v>
      </c>
      <c r="I205" s="50">
        <f>100+6</f>
        <v>106</v>
      </c>
      <c r="J205" s="50">
        <f>60+6</f>
        <v>66</v>
      </c>
      <c r="K205" s="50">
        <v>3</v>
      </c>
      <c r="L205" s="51">
        <v>4.8</v>
      </c>
      <c r="M205" s="51">
        <v>2.6</v>
      </c>
      <c r="N205" s="56">
        <f>I205*J205*K205*7.85/1000000</f>
        <v>0.16475579999999998</v>
      </c>
      <c r="O205" s="56">
        <v>0.14130000000000001</v>
      </c>
      <c r="P205" s="52">
        <f t="shared" si="75"/>
        <v>2.3455799999999971E-2</v>
      </c>
      <c r="Q205" s="53">
        <f>(L205*N205-M205*P205)*G205</f>
        <v>0.72984275999999992</v>
      </c>
      <c r="R205" s="47" t="s">
        <v>361</v>
      </c>
      <c r="S205" s="48" t="s">
        <v>362</v>
      </c>
      <c r="T205" s="48">
        <v>1</v>
      </c>
      <c r="U205" s="54">
        <v>0.05</v>
      </c>
      <c r="V205" s="54">
        <f t="shared" si="67"/>
        <v>0.05</v>
      </c>
      <c r="W205" s="93"/>
      <c r="X205" s="87"/>
      <c r="Y205" s="96"/>
      <c r="Z205" s="87"/>
    </row>
    <row r="206" spans="1:26" x14ac:dyDescent="0.2">
      <c r="A206" s="89"/>
      <c r="B206" s="91"/>
      <c r="C206" s="91"/>
      <c r="D206" s="55"/>
      <c r="E206" s="55"/>
      <c r="F206" s="47"/>
      <c r="G206" s="48"/>
      <c r="H206" s="49"/>
      <c r="I206" s="50"/>
      <c r="J206" s="50"/>
      <c r="K206" s="50"/>
      <c r="L206" s="51"/>
      <c r="M206" s="51"/>
      <c r="N206" s="52"/>
      <c r="O206" s="52"/>
      <c r="P206" s="52"/>
      <c r="Q206" s="53"/>
      <c r="R206" s="47" t="s">
        <v>363</v>
      </c>
      <c r="S206" s="48" t="s">
        <v>362</v>
      </c>
      <c r="T206" s="48">
        <v>1</v>
      </c>
      <c r="U206" s="54">
        <v>0.05</v>
      </c>
      <c r="V206" s="54">
        <f t="shared" si="67"/>
        <v>0.05</v>
      </c>
      <c r="W206" s="93"/>
      <c r="X206" s="87"/>
      <c r="Y206" s="96"/>
      <c r="Z206" s="87"/>
    </row>
    <row r="207" spans="1:26" x14ac:dyDescent="0.2">
      <c r="A207" s="89"/>
      <c r="B207" s="91"/>
      <c r="C207" s="91"/>
      <c r="D207" s="55">
        <v>14</v>
      </c>
      <c r="E207" s="55" t="s">
        <v>385</v>
      </c>
      <c r="F207" s="47" t="s">
        <v>386</v>
      </c>
      <c r="G207" s="48">
        <v>1</v>
      </c>
      <c r="H207" s="49" t="s">
        <v>375</v>
      </c>
      <c r="I207" s="50">
        <f>100+6</f>
        <v>106</v>
      </c>
      <c r="J207" s="50">
        <f>47+6</f>
        <v>53</v>
      </c>
      <c r="K207" s="50">
        <v>3</v>
      </c>
      <c r="L207" s="51">
        <v>4.8</v>
      </c>
      <c r="M207" s="51">
        <v>2.6</v>
      </c>
      <c r="N207" s="56">
        <f>I207*J207*K207*7.85/1000000</f>
        <v>0.1323039</v>
      </c>
      <c r="O207" s="56">
        <v>0.11068500000000001</v>
      </c>
      <c r="P207" s="52">
        <f t="shared" ref="P207" si="76">N207-O207</f>
        <v>2.1618899999999996E-2</v>
      </c>
      <c r="Q207" s="53">
        <f>(L207*N207-M207*P207)*G207</f>
        <v>0.57884957999999997</v>
      </c>
      <c r="R207" s="47" t="s">
        <v>387</v>
      </c>
      <c r="S207" s="48" t="s">
        <v>362</v>
      </c>
      <c r="T207" s="48">
        <v>1</v>
      </c>
      <c r="U207" s="54">
        <v>0.05</v>
      </c>
      <c r="V207" s="54">
        <f t="shared" si="67"/>
        <v>0.05</v>
      </c>
      <c r="W207" s="93"/>
      <c r="X207" s="87"/>
      <c r="Y207" s="96"/>
      <c r="Z207" s="87"/>
    </row>
    <row r="208" spans="1:26" x14ac:dyDescent="0.2">
      <c r="A208" s="89"/>
      <c r="B208" s="91"/>
      <c r="C208" s="91"/>
      <c r="D208" s="55"/>
      <c r="E208" s="55"/>
      <c r="F208" s="47"/>
      <c r="G208" s="48"/>
      <c r="H208" s="49"/>
      <c r="I208" s="50"/>
      <c r="J208" s="50"/>
      <c r="K208" s="50"/>
      <c r="L208" s="51"/>
      <c r="M208" s="51"/>
      <c r="N208" s="52"/>
      <c r="O208" s="52"/>
      <c r="P208" s="52"/>
      <c r="Q208" s="53"/>
      <c r="R208" s="47" t="s">
        <v>363</v>
      </c>
      <c r="S208" s="48" t="s">
        <v>362</v>
      </c>
      <c r="T208" s="48">
        <v>1</v>
      </c>
      <c r="U208" s="54">
        <v>0.05</v>
      </c>
      <c r="V208" s="54">
        <f t="shared" si="67"/>
        <v>0.05</v>
      </c>
      <c r="W208" s="93"/>
      <c r="X208" s="87"/>
      <c r="Y208" s="96"/>
      <c r="Z208" s="87"/>
    </row>
    <row r="209" spans="1:26" x14ac:dyDescent="0.2">
      <c r="A209" s="89"/>
      <c r="B209" s="91"/>
      <c r="C209" s="91"/>
      <c r="D209" s="55">
        <v>15</v>
      </c>
      <c r="E209" s="55" t="s">
        <v>388</v>
      </c>
      <c r="F209" s="47" t="s">
        <v>389</v>
      </c>
      <c r="G209" s="48">
        <v>1</v>
      </c>
      <c r="H209" s="49" t="s">
        <v>390</v>
      </c>
      <c r="I209" s="50">
        <f>144+6</f>
        <v>150</v>
      </c>
      <c r="J209" s="50">
        <f>90+6</f>
        <v>96</v>
      </c>
      <c r="K209" s="50">
        <v>3</v>
      </c>
      <c r="L209" s="51">
        <v>5.18</v>
      </c>
      <c r="M209" s="51">
        <v>2.6</v>
      </c>
      <c r="N209" s="56">
        <f>I209*J209*K209*7.85/1000000</f>
        <v>0.33911999999999998</v>
      </c>
      <c r="O209" s="56">
        <v>0.30520799999999998</v>
      </c>
      <c r="P209" s="52">
        <f t="shared" ref="P209" si="77">N209-O209</f>
        <v>3.3911999999999998E-2</v>
      </c>
      <c r="Q209" s="53">
        <f>(L209*N209-M209*P209)*G209</f>
        <v>1.6684703999999999</v>
      </c>
      <c r="R209" s="47" t="s">
        <v>361</v>
      </c>
      <c r="S209" s="48" t="s">
        <v>391</v>
      </c>
      <c r="T209" s="48">
        <v>1</v>
      </c>
      <c r="U209" s="54">
        <v>7.0000000000000007E-2</v>
      </c>
      <c r="V209" s="54">
        <f t="shared" si="67"/>
        <v>7.0000000000000007E-2</v>
      </c>
      <c r="W209" s="93"/>
      <c r="X209" s="87"/>
      <c r="Y209" s="96"/>
      <c r="Z209" s="87"/>
    </row>
    <row r="210" spans="1:26" x14ac:dyDescent="0.2">
      <c r="A210" s="89"/>
      <c r="B210" s="91"/>
      <c r="C210" s="91"/>
      <c r="D210" s="55"/>
      <c r="E210" s="55"/>
      <c r="F210" s="47"/>
      <c r="G210" s="48"/>
      <c r="H210" s="49"/>
      <c r="I210" s="50"/>
      <c r="J210" s="50"/>
      <c r="K210" s="50"/>
      <c r="L210" s="51"/>
      <c r="M210" s="51"/>
      <c r="N210" s="52"/>
      <c r="O210" s="52"/>
      <c r="P210" s="52"/>
      <c r="Q210" s="53"/>
      <c r="R210" s="47" t="s">
        <v>363</v>
      </c>
      <c r="S210" s="48" t="s">
        <v>391</v>
      </c>
      <c r="T210" s="48">
        <v>1</v>
      </c>
      <c r="U210" s="54">
        <v>7.0000000000000007E-2</v>
      </c>
      <c r="V210" s="54">
        <f t="shared" si="67"/>
        <v>7.0000000000000007E-2</v>
      </c>
      <c r="W210" s="93"/>
      <c r="X210" s="87"/>
      <c r="Y210" s="96"/>
      <c r="Z210" s="87"/>
    </row>
    <row r="211" spans="1:26" x14ac:dyDescent="0.2">
      <c r="A211" s="89"/>
      <c r="B211" s="91"/>
      <c r="C211" s="91"/>
      <c r="D211" s="55"/>
      <c r="E211" s="55"/>
      <c r="F211" s="47"/>
      <c r="G211" s="48"/>
      <c r="H211" s="47"/>
      <c r="I211" s="50"/>
      <c r="J211" s="50"/>
      <c r="K211" s="50"/>
      <c r="L211" s="54"/>
      <c r="M211" s="54"/>
      <c r="N211" s="52"/>
      <c r="O211" s="52"/>
      <c r="P211" s="52"/>
      <c r="Q211" s="53"/>
      <c r="R211" s="47" t="s">
        <v>392</v>
      </c>
      <c r="S211" s="48"/>
      <c r="T211" s="48">
        <f>4*3*1+4*1.5+8*2+4*1+8*2+4*2+12*2</f>
        <v>86</v>
      </c>
      <c r="U211" s="54">
        <v>0.05</v>
      </c>
      <c r="V211" s="54">
        <f t="shared" si="67"/>
        <v>4.3</v>
      </c>
      <c r="W211" s="93"/>
      <c r="X211" s="87"/>
      <c r="Y211" s="96"/>
      <c r="Z211" s="87"/>
    </row>
    <row r="212" spans="1:26" x14ac:dyDescent="0.2">
      <c r="A212" s="89"/>
      <c r="B212" s="91"/>
      <c r="C212" s="91"/>
      <c r="D212" s="55"/>
      <c r="E212" s="55"/>
      <c r="F212" s="47"/>
      <c r="G212" s="48"/>
      <c r="H212" s="47"/>
      <c r="I212" s="50"/>
      <c r="J212" s="50"/>
      <c r="K212" s="50"/>
      <c r="L212" s="54"/>
      <c r="M212" s="54"/>
      <c r="N212" s="52"/>
      <c r="O212" s="52"/>
      <c r="P212" s="52"/>
      <c r="Q212" s="53"/>
      <c r="R212" s="47" t="s">
        <v>393</v>
      </c>
      <c r="S212" s="48"/>
      <c r="T212" s="48">
        <f>(0.376+0.048+0.366)*0.505*2*0.3</f>
        <v>0.23937</v>
      </c>
      <c r="U212" s="54">
        <v>15</v>
      </c>
      <c r="V212" s="54">
        <f t="shared" si="67"/>
        <v>3.5905499999999999</v>
      </c>
      <c r="W212" s="93"/>
      <c r="X212" s="87"/>
      <c r="Y212" s="96"/>
      <c r="Z212" s="87"/>
    </row>
    <row r="213" spans="1:26" ht="15" thickBot="1" x14ac:dyDescent="0.25">
      <c r="A213" s="90"/>
      <c r="B213" s="92"/>
      <c r="C213" s="92"/>
      <c r="D213" s="59"/>
      <c r="E213" s="59"/>
      <c r="F213" s="60" t="s">
        <v>158</v>
      </c>
      <c r="G213" s="61"/>
      <c r="H213" s="60"/>
      <c r="I213" s="62"/>
      <c r="J213" s="62"/>
      <c r="K213" s="62"/>
      <c r="L213" s="63"/>
      <c r="M213" s="63"/>
      <c r="N213" s="64"/>
      <c r="O213" s="64"/>
      <c r="P213" s="64"/>
      <c r="Q213" s="65">
        <f>SUM(Q182:Q212)</f>
        <v>35.645725382123892</v>
      </c>
      <c r="R213" s="60"/>
      <c r="S213" s="61"/>
      <c r="T213" s="61"/>
      <c r="U213" s="63"/>
      <c r="V213" s="63">
        <f>SUM(V182:V212)</f>
        <v>10.03055</v>
      </c>
      <c r="W213" s="94">
        <f>(Q213+V213)*W182</f>
        <v>51.157428427978765</v>
      </c>
      <c r="X213" s="88"/>
      <c r="Y213" s="66">
        <v>7.14</v>
      </c>
      <c r="Z213" s="88">
        <f>SUM(Q213:Y213)</f>
        <v>103.97370381010266</v>
      </c>
    </row>
  </sheetData>
  <mergeCells count="67">
    <mergeCell ref="A1:V1"/>
    <mergeCell ref="A2:A3"/>
    <mergeCell ref="B2:B3"/>
    <mergeCell ref="C2:C3"/>
    <mergeCell ref="D2:D3"/>
    <mergeCell ref="E2:E3"/>
    <mergeCell ref="F2:F3"/>
    <mergeCell ref="G2:G3"/>
    <mergeCell ref="H2:H3"/>
    <mergeCell ref="I2:K2"/>
    <mergeCell ref="Y2:Y3"/>
    <mergeCell ref="Z2:Z3"/>
    <mergeCell ref="A4:A30"/>
    <mergeCell ref="B4:B30"/>
    <mergeCell ref="C4:C30"/>
    <mergeCell ref="W4:W30"/>
    <mergeCell ref="X4:X30"/>
    <mergeCell ref="Y4:Y29"/>
    <mergeCell ref="Z4:Z30"/>
    <mergeCell ref="L2:M2"/>
    <mergeCell ref="N2:P2"/>
    <mergeCell ref="Q2:Q3"/>
    <mergeCell ref="R2:V2"/>
    <mergeCell ref="W2:W3"/>
    <mergeCell ref="X2:X3"/>
    <mergeCell ref="Z31:Z61"/>
    <mergeCell ref="A62:A95"/>
    <mergeCell ref="B62:B95"/>
    <mergeCell ref="C62:C95"/>
    <mergeCell ref="W62:W95"/>
    <mergeCell ref="X62:X95"/>
    <mergeCell ref="Y62:Y94"/>
    <mergeCell ref="Z62:Z95"/>
    <mergeCell ref="A31:A61"/>
    <mergeCell ref="B31:B61"/>
    <mergeCell ref="C31:C61"/>
    <mergeCell ref="W31:W61"/>
    <mergeCell ref="X31:X61"/>
    <mergeCell ref="Y31:Y60"/>
    <mergeCell ref="Z96:Z119"/>
    <mergeCell ref="A120:A146"/>
    <mergeCell ref="B120:B146"/>
    <mergeCell ref="C120:C146"/>
    <mergeCell ref="W120:W146"/>
    <mergeCell ref="X120:X146"/>
    <mergeCell ref="Y120:Y145"/>
    <mergeCell ref="Z120:Z146"/>
    <mergeCell ref="A96:A119"/>
    <mergeCell ref="B96:B119"/>
    <mergeCell ref="C96:C119"/>
    <mergeCell ref="W96:W119"/>
    <mergeCell ref="X96:X119"/>
    <mergeCell ref="Y96:Y118"/>
    <mergeCell ref="Z147:Z181"/>
    <mergeCell ref="A182:A213"/>
    <mergeCell ref="B182:B213"/>
    <mergeCell ref="C182:C213"/>
    <mergeCell ref="W182:W213"/>
    <mergeCell ref="X182:X213"/>
    <mergeCell ref="Y182:Y212"/>
    <mergeCell ref="Z182:Z213"/>
    <mergeCell ref="A147:A181"/>
    <mergeCell ref="B147:B181"/>
    <mergeCell ref="C147:C181"/>
    <mergeCell ref="W147:W181"/>
    <mergeCell ref="X147:X181"/>
    <mergeCell ref="Y147:Y180"/>
  </mergeCells>
  <phoneticPr fontId="4" type="noConversion"/>
  <conditionalFormatting sqref="E1:E95 E214:E1048576">
    <cfRule type="duplicateValues" dxfId="1" priority="2"/>
  </conditionalFormatting>
  <conditionalFormatting sqref="E96:E213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物料及工装采购价格审批表 （恒伟五金K1)</vt:lpstr>
      <vt:lpstr>K1靠背成本核算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zzf</cp:lastModifiedBy>
  <dcterms:created xsi:type="dcterms:W3CDTF">2015-06-05T18:19:34Z</dcterms:created>
  <dcterms:modified xsi:type="dcterms:W3CDTF">2022-11-30T07:12:11Z</dcterms:modified>
</cp:coreProperties>
</file>