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H6新前下及塑料件\"/>
    </mc:Choice>
  </mc:AlternateContent>
  <bookViews>
    <workbookView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 " sheetId="60" r:id="rId8"/>
    <sheet name="2028年" sheetId="59" r:id="rId9"/>
    <sheet name="2029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 '!$A$1:$I$48</definedName>
    <definedName name="_xlnm.Print_Area" localSheetId="8">'2028年'!$A$1:$I$48</definedName>
    <definedName name="_xlnm.Print_Area" localSheetId="1">损益表!$A$1:$J$61</definedName>
    <definedName name="_xlnm.Print_Area" localSheetId="10">项目投资!$A$1:$C$35</definedName>
  </definedNames>
  <calcPr calcId="162913"/>
</workbook>
</file>

<file path=xl/calcChain.xml><?xml version="1.0" encoding="utf-8"?>
<calcChain xmlns="http://schemas.openxmlformats.org/spreadsheetml/2006/main">
  <c r="I18" i="61" l="1"/>
  <c r="E18" i="61" s="1"/>
  <c r="I18" i="59"/>
  <c r="F18" i="59" s="1"/>
  <c r="I18" i="60"/>
  <c r="I18" i="58"/>
  <c r="E18" i="58" s="1"/>
  <c r="I18" i="57"/>
  <c r="F18" i="57" s="1"/>
  <c r="I18" i="56"/>
  <c r="D18" i="56" s="1"/>
  <c r="D18" i="61"/>
  <c r="G18" i="61"/>
  <c r="D18" i="60"/>
  <c r="E18" i="60"/>
  <c r="F18" i="60"/>
  <c r="G18" i="60"/>
  <c r="H18" i="60"/>
  <c r="C18" i="60"/>
  <c r="D18" i="58"/>
  <c r="G18" i="58"/>
  <c r="D18" i="57"/>
  <c r="E18" i="57"/>
  <c r="G18" i="57"/>
  <c r="H18" i="57"/>
  <c r="F18" i="56"/>
  <c r="C18" i="56"/>
  <c r="D18" i="43"/>
  <c r="E18" i="43"/>
  <c r="F18" i="43"/>
  <c r="G18" i="43"/>
  <c r="H18" i="43"/>
  <c r="I18" i="43"/>
  <c r="C18" i="61" l="1"/>
  <c r="F18" i="61"/>
  <c r="H18" i="61"/>
  <c r="G18" i="59"/>
  <c r="D18" i="59"/>
  <c r="H18" i="59"/>
  <c r="E18" i="59"/>
  <c r="C18" i="59"/>
  <c r="C18" i="58"/>
  <c r="F18" i="58"/>
  <c r="H18" i="58"/>
  <c r="C18" i="57"/>
  <c r="H18" i="56"/>
  <c r="E18" i="56"/>
  <c r="G18" i="56"/>
  <c r="H10" i="61" l="1"/>
  <c r="G10" i="61"/>
  <c r="F10" i="61"/>
  <c r="E10" i="61"/>
  <c r="D10" i="61"/>
  <c r="C10" i="61"/>
  <c r="H10" i="59"/>
  <c r="G10" i="59"/>
  <c r="F10" i="59"/>
  <c r="E10" i="59"/>
  <c r="D10" i="59"/>
  <c r="C10" i="59"/>
  <c r="H10" i="60"/>
  <c r="G10" i="60"/>
  <c r="F10" i="60"/>
  <c r="E10" i="60"/>
  <c r="D10" i="60"/>
  <c r="C10" i="60"/>
  <c r="H10" i="58"/>
  <c r="G10" i="58"/>
  <c r="F10" i="58"/>
  <c r="E10" i="58"/>
  <c r="D10" i="58"/>
  <c r="C10" i="58"/>
  <c r="H10" i="57"/>
  <c r="G10" i="57"/>
  <c r="F10" i="57"/>
  <c r="E10" i="57"/>
  <c r="D10" i="57"/>
  <c r="C10" i="57"/>
  <c r="H10" i="56"/>
  <c r="G10" i="56"/>
  <c r="F10" i="56"/>
  <c r="E10" i="56"/>
  <c r="D10" i="56"/>
  <c r="C10" i="56"/>
  <c r="D10" i="43"/>
  <c r="E10" i="43"/>
  <c r="F10" i="43"/>
  <c r="G10" i="43"/>
  <c r="H10" i="43"/>
  <c r="C10" i="43"/>
  <c r="C3" i="61"/>
  <c r="D3" i="61"/>
  <c r="E3" i="61"/>
  <c r="F3" i="61"/>
  <c r="G3" i="61"/>
  <c r="H3" i="61"/>
  <c r="C4" i="61"/>
  <c r="D4" i="61"/>
  <c r="E4" i="61"/>
  <c r="F4" i="61"/>
  <c r="G4" i="61"/>
  <c r="H4" i="61"/>
  <c r="C3" i="59"/>
  <c r="D3" i="59"/>
  <c r="E3" i="59"/>
  <c r="F3" i="59"/>
  <c r="G3" i="59"/>
  <c r="H3" i="59"/>
  <c r="C4" i="59"/>
  <c r="D4" i="59"/>
  <c r="E4" i="59"/>
  <c r="F4" i="59"/>
  <c r="G4" i="59"/>
  <c r="H4" i="59"/>
  <c r="C3" i="60"/>
  <c r="D3" i="60"/>
  <c r="E3" i="60"/>
  <c r="F3" i="60"/>
  <c r="G3" i="60"/>
  <c r="H3" i="60"/>
  <c r="C4" i="60"/>
  <c r="D4" i="60"/>
  <c r="E4" i="60"/>
  <c r="F4" i="60"/>
  <c r="G4" i="60"/>
  <c r="H4" i="60"/>
  <c r="C3" i="58"/>
  <c r="D3" i="58"/>
  <c r="E3" i="58"/>
  <c r="F3" i="58"/>
  <c r="G3" i="58"/>
  <c r="H3" i="58"/>
  <c r="C4" i="58"/>
  <c r="D4" i="58"/>
  <c r="E4" i="58"/>
  <c r="F4" i="58"/>
  <c r="G4" i="58"/>
  <c r="H4" i="58"/>
  <c r="C3" i="57"/>
  <c r="D3" i="57"/>
  <c r="E3" i="57"/>
  <c r="F3" i="57"/>
  <c r="G3" i="57"/>
  <c r="H3" i="57"/>
  <c r="C4" i="57"/>
  <c r="D4" i="57"/>
  <c r="E4" i="57"/>
  <c r="F4" i="57"/>
  <c r="G4" i="57"/>
  <c r="H4" i="57"/>
  <c r="C6" i="57"/>
  <c r="C7" i="57" s="1"/>
  <c r="C8" i="57" s="1"/>
  <c r="D6" i="57"/>
  <c r="D7" i="57"/>
  <c r="D8" i="57" s="1"/>
  <c r="C3" i="56"/>
  <c r="D3" i="56"/>
  <c r="E3" i="56"/>
  <c r="F3" i="56"/>
  <c r="G3" i="56"/>
  <c r="H3" i="56"/>
  <c r="C4" i="56"/>
  <c r="D4" i="56"/>
  <c r="E4" i="56"/>
  <c r="F4" i="56"/>
  <c r="G4" i="56"/>
  <c r="H4" i="56"/>
  <c r="H47" i="43"/>
  <c r="H22" i="43" s="1"/>
  <c r="H45" i="43"/>
  <c r="H44" i="43"/>
  <c r="H19" i="43" s="1"/>
  <c r="H43" i="43"/>
  <c r="H38" i="43"/>
  <c r="H40" i="43" s="1"/>
  <c r="H37" i="43"/>
  <c r="H36" i="43"/>
  <c r="H11" i="43" s="1"/>
  <c r="G47" i="43"/>
  <c r="G45" i="43"/>
  <c r="G20" i="43" s="1"/>
  <c r="G44" i="43"/>
  <c r="G19" i="43" s="1"/>
  <c r="G43" i="43"/>
  <c r="G38" i="43"/>
  <c r="G40" i="43" s="1"/>
  <c r="G37" i="43"/>
  <c r="G36" i="43"/>
  <c r="F47" i="43"/>
  <c r="F22" i="43" s="1"/>
  <c r="F45" i="43"/>
  <c r="F44" i="43"/>
  <c r="F19" i="43" s="1"/>
  <c r="F43" i="43"/>
  <c r="F38" i="43"/>
  <c r="F37" i="43"/>
  <c r="F12" i="43" s="1"/>
  <c r="F36" i="43"/>
  <c r="D48" i="43"/>
  <c r="E48" i="43"/>
  <c r="E47" i="43"/>
  <c r="D46" i="43"/>
  <c r="E46" i="43"/>
  <c r="F46" i="43"/>
  <c r="G46" i="43"/>
  <c r="H46" i="43"/>
  <c r="E45" i="43"/>
  <c r="E20" i="43" s="1"/>
  <c r="E44" i="43"/>
  <c r="E43" i="43"/>
  <c r="D40" i="43"/>
  <c r="E40" i="43"/>
  <c r="F40" i="43"/>
  <c r="E38" i="43"/>
  <c r="E37" i="43"/>
  <c r="E12" i="43" s="1"/>
  <c r="E36" i="43"/>
  <c r="D34" i="43"/>
  <c r="E34" i="43"/>
  <c r="F34" i="43"/>
  <c r="G34" i="43"/>
  <c r="H34" i="43"/>
  <c r="H33" i="43"/>
  <c r="G33" i="43"/>
  <c r="F33" i="43"/>
  <c r="E33" i="43"/>
  <c r="D32" i="43"/>
  <c r="E32" i="43"/>
  <c r="F32" i="43"/>
  <c r="G32" i="43"/>
  <c r="H32" i="43"/>
  <c r="D31" i="43"/>
  <c r="E31" i="43"/>
  <c r="F31" i="43"/>
  <c r="G31" i="43"/>
  <c r="H31" i="43"/>
  <c r="D9" i="43"/>
  <c r="E9" i="43"/>
  <c r="F9" i="43"/>
  <c r="G9" i="43"/>
  <c r="H9" i="43"/>
  <c r="D11" i="43"/>
  <c r="E11" i="43"/>
  <c r="F11" i="43"/>
  <c r="G11" i="43"/>
  <c r="D12" i="43"/>
  <c r="D14" i="43" s="1"/>
  <c r="D15" i="43" s="1"/>
  <c r="G12" i="43"/>
  <c r="H12" i="43"/>
  <c r="D13" i="43"/>
  <c r="E13" i="43"/>
  <c r="F13" i="43"/>
  <c r="D19" i="43"/>
  <c r="E19" i="43"/>
  <c r="D20" i="43"/>
  <c r="F20" i="43"/>
  <c r="H20" i="43"/>
  <c r="D22" i="43"/>
  <c r="E22" i="43"/>
  <c r="G22" i="43"/>
  <c r="I20" i="53"/>
  <c r="I21" i="53"/>
  <c r="I22" i="53"/>
  <c r="I23" i="53"/>
  <c r="I24" i="53"/>
  <c r="I25" i="53"/>
  <c r="I19" i="53"/>
  <c r="H20" i="53"/>
  <c r="H21" i="53"/>
  <c r="H22" i="53"/>
  <c r="H23" i="53"/>
  <c r="H24" i="53"/>
  <c r="H25" i="53"/>
  <c r="H19" i="53"/>
  <c r="G20" i="53"/>
  <c r="G21" i="53"/>
  <c r="G22" i="53"/>
  <c r="G23" i="53"/>
  <c r="G24" i="53"/>
  <c r="G25" i="53"/>
  <c r="G19" i="53"/>
  <c r="F20" i="53"/>
  <c r="F21" i="53"/>
  <c r="F22" i="53"/>
  <c r="F23" i="53"/>
  <c r="F24" i="53"/>
  <c r="F25" i="53"/>
  <c r="F19" i="53"/>
  <c r="D7" i="43"/>
  <c r="E7" i="43"/>
  <c r="F7" i="43"/>
  <c r="G7" i="43"/>
  <c r="H7" i="43"/>
  <c r="D6" i="43"/>
  <c r="E6" i="43"/>
  <c r="F6" i="43"/>
  <c r="G6" i="43"/>
  <c r="H6" i="43"/>
  <c r="C3" i="43"/>
  <c r="D3" i="43"/>
  <c r="E3" i="43"/>
  <c r="F3" i="43"/>
  <c r="G3" i="43"/>
  <c r="H3" i="43"/>
  <c r="C4" i="43"/>
  <c r="D4" i="43"/>
  <c r="E4" i="43"/>
  <c r="F4" i="43"/>
  <c r="G4" i="43"/>
  <c r="H4" i="43"/>
  <c r="F26" i="51"/>
  <c r="E26" i="51"/>
  <c r="D26" i="51"/>
  <c r="F85" i="50"/>
  <c r="F86" i="50"/>
  <c r="F87" i="50"/>
  <c r="F88" i="50"/>
  <c r="F89" i="50"/>
  <c r="F90" i="50"/>
  <c r="F91" i="50"/>
  <c r="F92" i="50"/>
  <c r="F71" i="50"/>
  <c r="F72" i="50"/>
  <c r="F73" i="50"/>
  <c r="F74" i="50"/>
  <c r="F75" i="50"/>
  <c r="F76" i="50"/>
  <c r="F77" i="50"/>
  <c r="F78" i="50"/>
  <c r="F58" i="50"/>
  <c r="F59" i="50"/>
  <c r="F60" i="50"/>
  <c r="F61" i="50"/>
  <c r="F62" i="50"/>
  <c r="F63" i="50"/>
  <c r="F64" i="50"/>
  <c r="F65" i="50"/>
  <c r="F45" i="50"/>
  <c r="F46" i="50"/>
  <c r="F47" i="50"/>
  <c r="F48" i="50"/>
  <c r="F49" i="50"/>
  <c r="F50" i="50"/>
  <c r="F51" i="50"/>
  <c r="F52" i="50"/>
  <c r="F32" i="50"/>
  <c r="F33" i="50"/>
  <c r="F34" i="50"/>
  <c r="F35" i="50"/>
  <c r="F36" i="50"/>
  <c r="F37" i="50"/>
  <c r="F38" i="50"/>
  <c r="F39" i="50"/>
  <c r="F18" i="50"/>
  <c r="F19" i="50"/>
  <c r="F20" i="50"/>
  <c r="F21" i="50"/>
  <c r="F22" i="50"/>
  <c r="F23" i="50"/>
  <c r="F24" i="50"/>
  <c r="F25" i="50"/>
  <c r="G71" i="50"/>
  <c r="G72" i="50"/>
  <c r="G73" i="50"/>
  <c r="G74" i="50"/>
  <c r="G75" i="50"/>
  <c r="G76" i="50"/>
  <c r="G77" i="50"/>
  <c r="G78" i="50"/>
  <c r="G58" i="50"/>
  <c r="G59" i="50"/>
  <c r="G60" i="50"/>
  <c r="G61" i="50"/>
  <c r="G62" i="50"/>
  <c r="G63" i="50"/>
  <c r="G64" i="50"/>
  <c r="G65" i="50"/>
  <c r="G45" i="50"/>
  <c r="G46" i="50"/>
  <c r="G47" i="50"/>
  <c r="G48" i="50"/>
  <c r="G49" i="50"/>
  <c r="G50" i="50"/>
  <c r="G51" i="50"/>
  <c r="G52" i="50"/>
  <c r="G32" i="50"/>
  <c r="G33" i="50"/>
  <c r="G34" i="50"/>
  <c r="G35" i="50"/>
  <c r="G36" i="50"/>
  <c r="G37" i="50"/>
  <c r="G38" i="50"/>
  <c r="G39" i="50"/>
  <c r="G18" i="50"/>
  <c r="G19" i="50"/>
  <c r="G20" i="50"/>
  <c r="G21" i="50"/>
  <c r="G22" i="50"/>
  <c r="G23" i="50"/>
  <c r="G24" i="50"/>
  <c r="G25" i="50"/>
  <c r="D9" i="62"/>
  <c r="D8" i="62"/>
  <c r="D7" i="62"/>
  <c r="D6" i="62"/>
  <c r="D5" i="62"/>
  <c r="D4" i="62"/>
  <c r="H48" i="43" l="1"/>
  <c r="H13" i="43"/>
  <c r="H14" i="43" s="1"/>
  <c r="H15" i="43" s="1"/>
  <c r="G48" i="43"/>
  <c r="G14" i="43"/>
  <c r="G15" i="43" s="1"/>
  <c r="G16" i="43" s="1"/>
  <c r="G13" i="43"/>
  <c r="F48" i="43"/>
  <c r="F14" i="43"/>
  <c r="F15" i="43" s="1"/>
  <c r="F16" i="43" s="1"/>
  <c r="E14" i="43"/>
  <c r="E15" i="43" s="1"/>
  <c r="D16" i="43"/>
  <c r="F7" i="50"/>
  <c r="K7" i="50"/>
  <c r="H16" i="43" l="1"/>
  <c r="E16" i="43"/>
  <c r="F10" i="62"/>
  <c r="F9" i="62"/>
  <c r="F8" i="62"/>
  <c r="F6" i="62"/>
  <c r="F7" i="62"/>
  <c r="F5" i="62"/>
  <c r="F4" i="62"/>
  <c r="E10" i="62"/>
  <c r="E9" i="62"/>
  <c r="G9" i="62" s="1"/>
  <c r="H9" i="62" s="1"/>
  <c r="E8" i="62"/>
  <c r="E7" i="62"/>
  <c r="E6" i="62"/>
  <c r="E5" i="62"/>
  <c r="E4" i="62"/>
  <c r="C10" i="62"/>
  <c r="C9" i="62"/>
  <c r="C8" i="62"/>
  <c r="C7" i="62"/>
  <c r="C6" i="62"/>
  <c r="C5" i="62"/>
  <c r="C4" i="62"/>
  <c r="B10" i="62"/>
  <c r="B9" i="62"/>
  <c r="B8" i="62"/>
  <c r="B7" i="62"/>
  <c r="B6" i="62"/>
  <c r="B5" i="62"/>
  <c r="B4" i="62"/>
  <c r="G5" i="62" l="1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D31" i="59"/>
  <c r="E31" i="59"/>
  <c r="F31" i="59"/>
  <c r="G31" i="59"/>
  <c r="H31" i="59"/>
  <c r="D6" i="61"/>
  <c r="D7" i="61" s="1"/>
  <c r="E6" i="61"/>
  <c r="F6" i="61"/>
  <c r="G6" i="61"/>
  <c r="G7" i="61" s="1"/>
  <c r="H6" i="61"/>
  <c r="H7" i="61" s="1"/>
  <c r="C6" i="61"/>
  <c r="C31" i="61"/>
  <c r="C2" i="61"/>
  <c r="D6" i="59"/>
  <c r="D7" i="59" s="1"/>
  <c r="E6" i="59"/>
  <c r="F6" i="59"/>
  <c r="G6" i="59"/>
  <c r="H6" i="59"/>
  <c r="G7" i="59"/>
  <c r="D31" i="60"/>
  <c r="E31" i="60"/>
  <c r="F31" i="60"/>
  <c r="G31" i="60"/>
  <c r="H31" i="60"/>
  <c r="D6" i="60"/>
  <c r="D7" i="60" s="1"/>
  <c r="E6" i="60"/>
  <c r="F6" i="60"/>
  <c r="G6" i="60"/>
  <c r="G7" i="60" s="1"/>
  <c r="H6" i="60"/>
  <c r="D31" i="58"/>
  <c r="E31" i="58"/>
  <c r="F31" i="58"/>
  <c r="G31" i="58"/>
  <c r="H31" i="58"/>
  <c r="D6" i="58"/>
  <c r="E6" i="58"/>
  <c r="F6" i="58"/>
  <c r="F7" i="58" s="1"/>
  <c r="G6" i="58"/>
  <c r="H6" i="58"/>
  <c r="D7" i="58"/>
  <c r="G7" i="58"/>
  <c r="H7" i="58" l="1"/>
  <c r="E7" i="58"/>
  <c r="H7" i="60"/>
  <c r="E7" i="60"/>
  <c r="H7" i="59"/>
  <c r="E7" i="59"/>
  <c r="F7" i="61"/>
  <c r="E7" i="61"/>
  <c r="I6" i="61"/>
  <c r="I3" i="2" s="1"/>
  <c r="F7" i="60"/>
  <c r="F7" i="59"/>
  <c r="C7" i="61"/>
  <c r="I7" i="61" l="1"/>
  <c r="I4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7" i="50"/>
  <c r="C6" i="59" l="1"/>
  <c r="I6" i="59" s="1"/>
  <c r="C31" i="60"/>
  <c r="C6" i="60"/>
  <c r="C2" i="60"/>
  <c r="I6" i="60" l="1"/>
  <c r="G3" i="2" s="1"/>
  <c r="C7" i="60"/>
  <c r="I7" i="60" s="1"/>
  <c r="I70" i="50"/>
  <c r="I57" i="50"/>
  <c r="H62" i="50"/>
  <c r="H61" i="50"/>
  <c r="I44" i="50"/>
  <c r="H49" i="50"/>
  <c r="H48" i="50"/>
  <c r="I31" i="50"/>
  <c r="H36" i="50"/>
  <c r="H35" i="50"/>
  <c r="I17" i="50"/>
  <c r="H22" i="50"/>
  <c r="H21" i="50"/>
  <c r="I3" i="50"/>
  <c r="I11" i="53"/>
  <c r="E24" i="53" s="1"/>
  <c r="I4" i="53"/>
  <c r="I5" i="53"/>
  <c r="E4" i="53"/>
  <c r="F4" i="53"/>
  <c r="G4" i="53"/>
  <c r="H4" i="53"/>
  <c r="E5" i="53"/>
  <c r="F5" i="53"/>
  <c r="G5" i="53"/>
  <c r="H5" i="53"/>
  <c r="D5" i="53"/>
  <c r="D4" i="53"/>
  <c r="H33" i="56" l="1"/>
  <c r="E20" i="50"/>
  <c r="D37" i="43" s="1"/>
  <c r="E21" i="50"/>
  <c r="E25" i="50"/>
  <c r="D47" i="43" s="1"/>
  <c r="E22" i="50"/>
  <c r="D45" i="43" s="1"/>
  <c r="E19" i="50"/>
  <c r="D43" i="43" s="1"/>
  <c r="E23" i="50"/>
  <c r="D44" i="43" s="1"/>
  <c r="E24" i="50"/>
  <c r="D38" i="43" s="1"/>
  <c r="E18" i="50"/>
  <c r="D36" i="43" s="1"/>
  <c r="E50" i="50"/>
  <c r="F44" i="56" s="1"/>
  <c r="E51" i="50"/>
  <c r="F38" i="56" s="1"/>
  <c r="E48" i="50"/>
  <c r="E52" i="50"/>
  <c r="F47" i="56" s="1"/>
  <c r="E49" i="50"/>
  <c r="F45" i="56" s="1"/>
  <c r="E46" i="50"/>
  <c r="F43" i="56" s="1"/>
  <c r="E45" i="50"/>
  <c r="F36" i="56" s="1"/>
  <c r="E47" i="50"/>
  <c r="F37" i="56" s="1"/>
  <c r="E71" i="50"/>
  <c r="H36" i="56" s="1"/>
  <c r="E73" i="50"/>
  <c r="H37" i="56" s="1"/>
  <c r="E77" i="50"/>
  <c r="H38" i="56" s="1"/>
  <c r="E74" i="50"/>
  <c r="E78" i="50"/>
  <c r="H47" i="56" s="1"/>
  <c r="E75" i="50"/>
  <c r="H45" i="56" s="1"/>
  <c r="E72" i="50"/>
  <c r="H43" i="56" s="1"/>
  <c r="E76" i="50"/>
  <c r="H44" i="56" s="1"/>
  <c r="E32" i="50"/>
  <c r="E37" i="50"/>
  <c r="E34" i="50"/>
  <c r="E35" i="50"/>
  <c r="E39" i="50"/>
  <c r="E36" i="50"/>
  <c r="E33" i="50"/>
  <c r="E38" i="50"/>
  <c r="E60" i="50"/>
  <c r="G37" i="56" s="1"/>
  <c r="E64" i="50"/>
  <c r="G38" i="56" s="1"/>
  <c r="E61" i="50"/>
  <c r="E65" i="50"/>
  <c r="G47" i="56" s="1"/>
  <c r="E62" i="50"/>
  <c r="G45" i="56" s="1"/>
  <c r="E59" i="50"/>
  <c r="G43" i="56" s="1"/>
  <c r="E63" i="50"/>
  <c r="G44" i="56" s="1"/>
  <c r="E58" i="50"/>
  <c r="G36" i="56" s="1"/>
  <c r="E11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10" i="50"/>
  <c r="E5" i="50"/>
  <c r="C43" i="43" s="1"/>
  <c r="C43" i="61" s="1"/>
  <c r="G4" i="2"/>
  <c r="G36" i="59" l="1"/>
  <c r="G11" i="59" s="1"/>
  <c r="G36" i="60"/>
  <c r="G11" i="60" s="1"/>
  <c r="G36" i="58"/>
  <c r="G11" i="58" s="1"/>
  <c r="G36" i="61"/>
  <c r="G11" i="61" s="1"/>
  <c r="G36" i="57"/>
  <c r="G11" i="57" s="1"/>
  <c r="G11" i="56"/>
  <c r="G20" i="56"/>
  <c r="G45" i="59"/>
  <c r="G20" i="59" s="1"/>
  <c r="G45" i="60"/>
  <c r="G20" i="60" s="1"/>
  <c r="G45" i="58"/>
  <c r="G20" i="58" s="1"/>
  <c r="G45" i="61"/>
  <c r="G20" i="61" s="1"/>
  <c r="G45" i="57"/>
  <c r="G20" i="57" s="1"/>
  <c r="G38" i="59"/>
  <c r="G13" i="59" s="1"/>
  <c r="G38" i="60"/>
  <c r="G13" i="60" s="1"/>
  <c r="G38" i="58"/>
  <c r="G13" i="58" s="1"/>
  <c r="G38" i="61"/>
  <c r="G13" i="61" s="1"/>
  <c r="G38" i="57"/>
  <c r="G13" i="57" s="1"/>
  <c r="G13" i="56"/>
  <c r="E43" i="61"/>
  <c r="E43" i="59"/>
  <c r="E43" i="60"/>
  <c r="E43" i="58"/>
  <c r="E43" i="57"/>
  <c r="E36" i="56"/>
  <c r="E11" i="56" s="1"/>
  <c r="E36" i="61"/>
  <c r="E11" i="61" s="1"/>
  <c r="E36" i="60"/>
  <c r="E11" i="60" s="1"/>
  <c r="E36" i="58"/>
  <c r="E11" i="58" s="1"/>
  <c r="E36" i="59"/>
  <c r="E11" i="59" s="1"/>
  <c r="E36" i="57"/>
  <c r="E11" i="57" s="1"/>
  <c r="H45" i="59"/>
  <c r="H20" i="59" s="1"/>
  <c r="H45" i="61"/>
  <c r="H20" i="61" s="1"/>
  <c r="H45" i="57"/>
  <c r="H20" i="57" s="1"/>
  <c r="H45" i="58"/>
  <c r="H20" i="58" s="1"/>
  <c r="H45" i="60"/>
  <c r="H20" i="60" s="1"/>
  <c r="H20" i="56"/>
  <c r="H13" i="56"/>
  <c r="H38" i="59"/>
  <c r="H13" i="59" s="1"/>
  <c r="H38" i="61"/>
  <c r="H13" i="61" s="1"/>
  <c r="H38" i="57"/>
  <c r="H13" i="57" s="1"/>
  <c r="H38" i="60"/>
  <c r="H13" i="60" s="1"/>
  <c r="H38" i="58"/>
  <c r="H13" i="58" s="1"/>
  <c r="F37" i="59"/>
  <c r="F12" i="59" s="1"/>
  <c r="F37" i="61"/>
  <c r="F12" i="61" s="1"/>
  <c r="F37" i="60"/>
  <c r="F12" i="60" s="1"/>
  <c r="F37" i="57"/>
  <c r="F12" i="57" s="1"/>
  <c r="F37" i="58"/>
  <c r="F12" i="58" s="1"/>
  <c r="F12" i="56"/>
  <c r="F45" i="59"/>
  <c r="F20" i="59" s="1"/>
  <c r="F45" i="60"/>
  <c r="F20" i="60" s="1"/>
  <c r="F45" i="61"/>
  <c r="F20" i="61" s="1"/>
  <c r="F45" i="58"/>
  <c r="F20" i="58" s="1"/>
  <c r="F45" i="57"/>
  <c r="F20" i="57" s="1"/>
  <c r="F20" i="56"/>
  <c r="F38" i="59"/>
  <c r="F13" i="59" s="1"/>
  <c r="F38" i="60"/>
  <c r="F13" i="60" s="1"/>
  <c r="F38" i="61"/>
  <c r="F13" i="61" s="1"/>
  <c r="F38" i="57"/>
  <c r="F13" i="57" s="1"/>
  <c r="F38" i="58"/>
  <c r="F13" i="58" s="1"/>
  <c r="F13" i="56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H33" i="57"/>
  <c r="G44" i="59"/>
  <c r="G19" i="59" s="1"/>
  <c r="G44" i="60"/>
  <c r="G19" i="60" s="1"/>
  <c r="G44" i="61"/>
  <c r="G19" i="61" s="1"/>
  <c r="G44" i="58"/>
  <c r="G19" i="58" s="1"/>
  <c r="G44" i="57"/>
  <c r="G19" i="57" s="1"/>
  <c r="G19" i="56"/>
  <c r="G37" i="59"/>
  <c r="G12" i="59" s="1"/>
  <c r="G37" i="60"/>
  <c r="G12" i="60" s="1"/>
  <c r="G37" i="61"/>
  <c r="G12" i="61" s="1"/>
  <c r="G37" i="58"/>
  <c r="G12" i="58" s="1"/>
  <c r="G37" i="57"/>
  <c r="G12" i="57" s="1"/>
  <c r="G12" i="56"/>
  <c r="E45" i="59"/>
  <c r="E20" i="59" s="1"/>
  <c r="E45" i="60"/>
  <c r="E20" i="60" s="1"/>
  <c r="E45" i="58"/>
  <c r="E20" i="58" s="1"/>
  <c r="E45" i="61"/>
  <c r="E20" i="61" s="1"/>
  <c r="E45" i="57"/>
  <c r="E20" i="57" s="1"/>
  <c r="E37" i="61"/>
  <c r="E12" i="61" s="1"/>
  <c r="E37" i="59"/>
  <c r="E12" i="59" s="1"/>
  <c r="E37" i="58"/>
  <c r="E12" i="58" s="1"/>
  <c r="E37" i="60"/>
  <c r="E12" i="60" s="1"/>
  <c r="E37" i="57"/>
  <c r="E12" i="57" s="1"/>
  <c r="H44" i="59"/>
  <c r="H19" i="59" s="1"/>
  <c r="H44" i="61"/>
  <c r="H19" i="61" s="1"/>
  <c r="H44" i="60"/>
  <c r="H19" i="60" s="1"/>
  <c r="H44" i="57"/>
  <c r="H19" i="57" s="1"/>
  <c r="H44" i="58"/>
  <c r="H19" i="58" s="1"/>
  <c r="H19" i="56"/>
  <c r="H12" i="56"/>
  <c r="H37" i="59"/>
  <c r="H12" i="59" s="1"/>
  <c r="H37" i="61"/>
  <c r="H12" i="61" s="1"/>
  <c r="H37" i="60"/>
  <c r="H12" i="60" s="1"/>
  <c r="H37" i="57"/>
  <c r="H12" i="57" s="1"/>
  <c r="H37" i="58"/>
  <c r="H12" i="58" s="1"/>
  <c r="F36" i="59"/>
  <c r="F11" i="59" s="1"/>
  <c r="F36" i="58"/>
  <c r="F11" i="58" s="1"/>
  <c r="F36" i="61"/>
  <c r="F11" i="61" s="1"/>
  <c r="F14" i="61" s="1"/>
  <c r="F36" i="60"/>
  <c r="F11" i="60" s="1"/>
  <c r="F36" i="57"/>
  <c r="F11" i="57" s="1"/>
  <c r="F11" i="56"/>
  <c r="F14" i="56" s="1"/>
  <c r="F44" i="59"/>
  <c r="F19" i="59" s="1"/>
  <c r="F44" i="61"/>
  <c r="F19" i="61" s="1"/>
  <c r="F44" i="57"/>
  <c r="F19" i="57" s="1"/>
  <c r="F44" i="60"/>
  <c r="F19" i="60" s="1"/>
  <c r="F44" i="58"/>
  <c r="F19" i="58" s="1"/>
  <c r="F19" i="56"/>
  <c r="D44" i="59"/>
  <c r="D19" i="59" s="1"/>
  <c r="D44" i="61"/>
  <c r="D19" i="61" s="1"/>
  <c r="D44" i="60"/>
  <c r="D19" i="60" s="1"/>
  <c r="D44" i="58"/>
  <c r="D19" i="58" s="1"/>
  <c r="D44" i="57"/>
  <c r="D19" i="57" s="1"/>
  <c r="G43" i="59"/>
  <c r="G43" i="60"/>
  <c r="G43" i="61"/>
  <c r="G43" i="58"/>
  <c r="G43" i="57"/>
  <c r="E38" i="61"/>
  <c r="E13" i="61" s="1"/>
  <c r="E38" i="60"/>
  <c r="E13" i="60" s="1"/>
  <c r="E38" i="59"/>
  <c r="E13" i="59" s="1"/>
  <c r="E38" i="58"/>
  <c r="E13" i="58" s="1"/>
  <c r="E38" i="57"/>
  <c r="E13" i="57" s="1"/>
  <c r="E44" i="60"/>
  <c r="E19" i="60" s="1"/>
  <c r="E44" i="59"/>
  <c r="E19" i="59" s="1"/>
  <c r="E44" i="61"/>
  <c r="E19" i="61" s="1"/>
  <c r="E44" i="58"/>
  <c r="E19" i="58" s="1"/>
  <c r="E44" i="57"/>
  <c r="E19" i="57" s="1"/>
  <c r="H43" i="59"/>
  <c r="H43" i="61"/>
  <c r="H43" i="57"/>
  <c r="H43" i="60"/>
  <c r="H43" i="58"/>
  <c r="H11" i="56"/>
  <c r="H36" i="59"/>
  <c r="H11" i="59" s="1"/>
  <c r="H36" i="61"/>
  <c r="H11" i="61" s="1"/>
  <c r="H36" i="57"/>
  <c r="H11" i="57" s="1"/>
  <c r="H36" i="60"/>
  <c r="H11" i="60" s="1"/>
  <c r="H36" i="58"/>
  <c r="H11" i="58" s="1"/>
  <c r="F43" i="59"/>
  <c r="F43" i="58"/>
  <c r="F43" i="61"/>
  <c r="F43" i="60"/>
  <c r="F43" i="57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H22" i="56"/>
  <c r="H47" i="59"/>
  <c r="H47" i="60"/>
  <c r="H47" i="61"/>
  <c r="H47" i="57"/>
  <c r="H47" i="58"/>
  <c r="G47" i="59"/>
  <c r="G47" i="60"/>
  <c r="G47" i="57"/>
  <c r="G47" i="61"/>
  <c r="G47" i="58"/>
  <c r="G22" i="56"/>
  <c r="F47" i="59"/>
  <c r="F47" i="57"/>
  <c r="F47" i="61"/>
  <c r="F47" i="60"/>
  <c r="F47" i="58"/>
  <c r="F22" i="56"/>
  <c r="E47" i="61"/>
  <c r="E47" i="59"/>
  <c r="E47" i="58"/>
  <c r="E47" i="60"/>
  <c r="E47" i="57"/>
  <c r="D47" i="60"/>
  <c r="D47" i="59"/>
  <c r="D47" i="58"/>
  <c r="D47" i="61"/>
  <c r="D47" i="57"/>
  <c r="E38" i="56"/>
  <c r="E13" i="56" s="1"/>
  <c r="D45" i="56"/>
  <c r="D20" i="56" s="1"/>
  <c r="E43" i="56"/>
  <c r="E37" i="56"/>
  <c r="E12" i="56" s="1"/>
  <c r="D38" i="56"/>
  <c r="D13" i="56" s="1"/>
  <c r="D47" i="56"/>
  <c r="D22" i="56" s="1"/>
  <c r="E45" i="56"/>
  <c r="E20" i="56" s="1"/>
  <c r="E44" i="56"/>
  <c r="E19" i="56" s="1"/>
  <c r="D44" i="56"/>
  <c r="D19" i="56" s="1"/>
  <c r="E47" i="56"/>
  <c r="E22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D14" i="60" l="1"/>
  <c r="F14" i="58"/>
  <c r="D14" i="61"/>
  <c r="H14" i="59"/>
  <c r="G14" i="59"/>
  <c r="D14" i="59"/>
  <c r="H14" i="57"/>
  <c r="H14" i="56"/>
  <c r="F14" i="57"/>
  <c r="D14" i="56"/>
  <c r="H14" i="60"/>
  <c r="I19" i="61"/>
  <c r="I16" i="2" s="1"/>
  <c r="I42" i="2" s="1"/>
  <c r="G14" i="58"/>
  <c r="I20" i="61"/>
  <c r="I17" i="2" s="1"/>
  <c r="I43" i="2" s="1"/>
  <c r="G14" i="60"/>
  <c r="H33" i="58"/>
  <c r="D14" i="57"/>
  <c r="E14" i="57"/>
  <c r="E14" i="60"/>
  <c r="G14" i="57"/>
  <c r="I19" i="60"/>
  <c r="G16" i="2" s="1"/>
  <c r="G42" i="2" s="1"/>
  <c r="E14" i="56"/>
  <c r="D14" i="58"/>
  <c r="E14" i="59"/>
  <c r="E14" i="61"/>
  <c r="G14" i="61"/>
  <c r="H14" i="58"/>
  <c r="H14" i="61"/>
  <c r="F14" i="60"/>
  <c r="F14" i="59"/>
  <c r="E14" i="58"/>
  <c r="G14" i="56"/>
  <c r="H22" i="61"/>
  <c r="H22" i="60"/>
  <c r="H22" i="57"/>
  <c r="H22" i="58"/>
  <c r="H22" i="59"/>
  <c r="G22" i="61"/>
  <c r="G22" i="57"/>
  <c r="G22" i="60"/>
  <c r="G22" i="58"/>
  <c r="G22" i="59"/>
  <c r="F22" i="61"/>
  <c r="F22" i="60"/>
  <c r="F22" i="57"/>
  <c r="F22" i="58"/>
  <c r="F22" i="59"/>
  <c r="E22" i="60"/>
  <c r="E22" i="58"/>
  <c r="E22" i="59"/>
  <c r="E22" i="57"/>
  <c r="E22" i="61"/>
  <c r="D22" i="61"/>
  <c r="D22" i="58"/>
  <c r="D22" i="59"/>
  <c r="D22" i="57"/>
  <c r="D22" i="60"/>
  <c r="L7" i="55"/>
  <c r="L8" i="55" s="1"/>
  <c r="C16" i="55"/>
  <c r="D16" i="55"/>
  <c r="E16" i="55"/>
  <c r="F16" i="55"/>
  <c r="G16" i="55"/>
  <c r="H16" i="55"/>
  <c r="H33" i="60" l="1"/>
  <c r="C2" i="59"/>
  <c r="C2" i="58"/>
  <c r="C2" i="57"/>
  <c r="C2" i="56"/>
  <c r="H33" i="59" l="1"/>
  <c r="H33" i="61" l="1"/>
  <c r="C36" i="43"/>
  <c r="C36" i="61" s="1"/>
  <c r="C11" i="61" s="1"/>
  <c r="I11" i="61" l="1"/>
  <c r="I8" i="2" s="1"/>
  <c r="I34" i="2" s="1"/>
  <c r="C36" i="58"/>
  <c r="C36" i="60"/>
  <c r="C11" i="60" s="1"/>
  <c r="I11" i="60" s="1"/>
  <c r="C36" i="59"/>
  <c r="C36" i="57"/>
  <c r="C36" i="56"/>
  <c r="M8" i="55"/>
  <c r="L9" i="55"/>
  <c r="L10" i="55" s="1"/>
  <c r="L11" i="55" s="1"/>
  <c r="M11" i="55" s="1"/>
  <c r="M7" i="55"/>
  <c r="C31" i="59"/>
  <c r="C6" i="58"/>
  <c r="I6" i="58" s="1"/>
  <c r="C31" i="58"/>
  <c r="I6" i="57"/>
  <c r="C31" i="57"/>
  <c r="C6" i="56"/>
  <c r="I6" i="56" s="1"/>
  <c r="C31" i="56"/>
  <c r="D9" i="57" l="1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8" i="2"/>
  <c r="E3" i="2"/>
  <c r="D3" i="2"/>
  <c r="C7" i="56"/>
  <c r="I7" i="56" s="1"/>
  <c r="I7" i="57"/>
  <c r="C7" i="58"/>
  <c r="I7" i="58" s="1"/>
  <c r="C38" i="43"/>
  <c r="C38" i="61" s="1"/>
  <c r="C13" i="61" s="1"/>
  <c r="I13" i="61" s="1"/>
  <c r="I10" i="2" s="1"/>
  <c r="C19" i="59"/>
  <c r="I19" i="59" s="1"/>
  <c r="C37" i="43"/>
  <c r="C37" i="61" s="1"/>
  <c r="C12" i="61" s="1"/>
  <c r="M9" i="55"/>
  <c r="M10" i="55"/>
  <c r="C7" i="59"/>
  <c r="I7" i="59" s="1"/>
  <c r="H3" i="2"/>
  <c r="C11" i="58"/>
  <c r="I11" i="58" s="1"/>
  <c r="C11" i="56"/>
  <c r="I11" i="56" s="1"/>
  <c r="G8" i="58" l="1"/>
  <c r="G9" i="58" s="1"/>
  <c r="D8" i="58"/>
  <c r="D9" i="58" s="1"/>
  <c r="F8" i="58"/>
  <c r="F9" i="58" s="1"/>
  <c r="E8" i="58"/>
  <c r="E9" i="58" s="1"/>
  <c r="H8" i="58"/>
  <c r="H9" i="58" s="1"/>
  <c r="I36" i="2"/>
  <c r="F32" i="56"/>
  <c r="H32" i="56"/>
  <c r="H34" i="56" s="1"/>
  <c r="H40" i="56" s="1"/>
  <c r="H15" i="56"/>
  <c r="H16" i="56" s="1"/>
  <c r="G32" i="57"/>
  <c r="D32" i="57"/>
  <c r="I12" i="61"/>
  <c r="I9" i="2" s="1"/>
  <c r="I35" i="2" s="1"/>
  <c r="C14" i="61"/>
  <c r="I14" i="61" s="1"/>
  <c r="I11" i="2" s="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H34" i="57" s="1"/>
  <c r="H40" i="57" s="1"/>
  <c r="H15" i="57"/>
  <c r="H16" i="57" s="1"/>
  <c r="F32" i="57"/>
  <c r="G34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4" i="2"/>
  <c r="E4" i="2"/>
  <c r="I8" i="57"/>
  <c r="C8" i="58"/>
  <c r="C11" i="57"/>
  <c r="I11" i="57" s="1"/>
  <c r="D8" i="2"/>
  <c r="C19" i="58"/>
  <c r="I19" i="58" s="1"/>
  <c r="C19" i="57"/>
  <c r="I19" i="57" s="1"/>
  <c r="C11" i="59"/>
  <c r="I11" i="59" s="1"/>
  <c r="C19" i="56"/>
  <c r="I19" i="56" s="1"/>
  <c r="C8" i="59"/>
  <c r="F3" i="2"/>
  <c r="H16" i="2"/>
  <c r="H42" i="2" s="1"/>
  <c r="H4" i="2"/>
  <c r="F4" i="2"/>
  <c r="I8" i="58" l="1"/>
  <c r="I13" i="60"/>
  <c r="G10" i="2" s="1"/>
  <c r="G36" i="2" s="1"/>
  <c r="I8" i="61"/>
  <c r="I5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I8" i="56"/>
  <c r="I12" i="59"/>
  <c r="H9" i="2" s="1"/>
  <c r="H35" i="2" s="1"/>
  <c r="I13" i="57"/>
  <c r="E10" i="2" s="1"/>
  <c r="E36" i="2" s="1"/>
  <c r="H32" i="59"/>
  <c r="H34" i="59" s="1"/>
  <c r="H40" i="59" s="1"/>
  <c r="H15" i="59"/>
  <c r="H16" i="59" s="1"/>
  <c r="H32" i="60"/>
  <c r="H34" i="60" s="1"/>
  <c r="H40" i="60" s="1"/>
  <c r="H15" i="60"/>
  <c r="H16" i="60" s="1"/>
  <c r="G32" i="61"/>
  <c r="E32" i="60"/>
  <c r="F32" i="59"/>
  <c r="D32" i="59"/>
  <c r="D32" i="61"/>
  <c r="H32" i="58"/>
  <c r="H34" i="58" s="1"/>
  <c r="H40" i="58" s="1"/>
  <c r="H15" i="58"/>
  <c r="H16" i="58" s="1"/>
  <c r="D32" i="58"/>
  <c r="I8" i="59"/>
  <c r="H5" i="2" s="1"/>
  <c r="I8" i="60"/>
  <c r="G5" i="2" s="1"/>
  <c r="I13" i="59"/>
  <c r="H10" i="2" s="1"/>
  <c r="H36" i="2" s="1"/>
  <c r="G32" i="59"/>
  <c r="F32" i="60"/>
  <c r="E32" i="61"/>
  <c r="D32" i="60"/>
  <c r="E32" i="58"/>
  <c r="G32" i="58"/>
  <c r="G9" i="2"/>
  <c r="C14" i="60"/>
  <c r="C9" i="60"/>
  <c r="I9" i="60" s="1"/>
  <c r="F5" i="2"/>
  <c r="C14" i="59"/>
  <c r="H8" i="2"/>
  <c r="H34" i="2" s="1"/>
  <c r="D6" i="2"/>
  <c r="C9" i="57"/>
  <c r="I9" i="57" s="1"/>
  <c r="E5" i="2"/>
  <c r="E8" i="2"/>
  <c r="E34" i="2" s="1"/>
  <c r="D5" i="2"/>
  <c r="C14" i="56"/>
  <c r="I14" i="56" s="1"/>
  <c r="C9" i="58"/>
  <c r="I9" i="58" s="1"/>
  <c r="C14" i="57"/>
  <c r="I14" i="57" s="1"/>
  <c r="C14" i="58"/>
  <c r="I14" i="58" s="1"/>
  <c r="E16" i="2"/>
  <c r="E42" i="2" s="1"/>
  <c r="F10" i="2"/>
  <c r="F36" i="2" s="1"/>
  <c r="D10" i="2"/>
  <c r="D36" i="2" s="1"/>
  <c r="D16" i="2"/>
  <c r="D42" i="2" s="1"/>
  <c r="C9" i="59"/>
  <c r="I9" i="59" s="1"/>
  <c r="F8" i="2"/>
  <c r="F34" i="2" s="1"/>
  <c r="D34" i="2"/>
  <c r="I14" i="59" l="1"/>
  <c r="H11" i="2" s="1"/>
  <c r="I9" i="61"/>
  <c r="I6" i="2" s="1"/>
  <c r="C32" i="61"/>
  <c r="C32" i="56"/>
  <c r="C20" i="56" s="1"/>
  <c r="I20" i="56" s="1"/>
  <c r="I14" i="60"/>
  <c r="G11" i="2" s="1"/>
  <c r="G35" i="2"/>
  <c r="C32" i="60"/>
  <c r="G6" i="2"/>
  <c r="C32" i="57"/>
  <c r="C20" i="57" s="1"/>
  <c r="I20" i="57" s="1"/>
  <c r="E6" i="2"/>
  <c r="E29" i="2" s="1"/>
  <c r="C32" i="58"/>
  <c r="C20" i="58" s="1"/>
  <c r="I20" i="58" s="1"/>
  <c r="F6" i="2"/>
  <c r="F29" i="2" s="1"/>
  <c r="C32" i="59"/>
  <c r="H6" i="2"/>
  <c r="H29" i="2" s="1"/>
  <c r="D29" i="2"/>
  <c r="D47" i="2"/>
  <c r="I29" i="2" l="1"/>
  <c r="I49" i="2"/>
  <c r="I47" i="2"/>
  <c r="G29" i="2"/>
  <c r="G47" i="2"/>
  <c r="C20" i="60"/>
  <c r="E17" i="2"/>
  <c r="E47" i="2"/>
  <c r="F17" i="2"/>
  <c r="F9" i="2"/>
  <c r="F35" i="2" s="1"/>
  <c r="C20" i="59"/>
  <c r="I20" i="59" s="1"/>
  <c r="F11" i="2"/>
  <c r="H47" i="2"/>
  <c r="D11" i="2"/>
  <c r="D9" i="2"/>
  <c r="D35" i="2" s="1"/>
  <c r="I20" i="60" l="1"/>
  <c r="G17" i="2" s="1"/>
  <c r="E43" i="2"/>
  <c r="E49" i="2"/>
  <c r="F49" i="2"/>
  <c r="F43" i="2"/>
  <c r="E11" i="2"/>
  <c r="E9" i="2"/>
  <c r="E35" i="2" s="1"/>
  <c r="F16" i="2"/>
  <c r="G43" i="2" l="1"/>
  <c r="G49" i="2"/>
  <c r="D17" i="2"/>
  <c r="F42" i="2"/>
  <c r="F47" i="2"/>
  <c r="D43" i="2" l="1"/>
  <c r="D49" i="2"/>
  <c r="H17" i="2"/>
  <c r="B5" i="51"/>
  <c r="H43" i="2" l="1"/>
  <c r="H49" i="2"/>
  <c r="H11" i="53" l="1"/>
  <c r="E23" i="53" s="1"/>
  <c r="G11" i="53"/>
  <c r="E22" i="53" s="1"/>
  <c r="F11" i="53"/>
  <c r="E21" i="53" s="1"/>
  <c r="E11" i="53"/>
  <c r="E20" i="53" s="1"/>
  <c r="D11" i="53"/>
  <c r="E19" i="53" s="1"/>
  <c r="G22" i="51"/>
  <c r="B27" i="51"/>
  <c r="D27" i="51" s="1"/>
  <c r="I21" i="61" s="1"/>
  <c r="B8" i="51"/>
  <c r="B7" i="51"/>
  <c r="C47" i="43"/>
  <c r="C47" i="61" s="1"/>
  <c r="C31" i="43"/>
  <c r="C32" i="43" s="1"/>
  <c r="C6" i="43"/>
  <c r="I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J5" i="2" s="1"/>
  <c r="E21" i="43" l="1"/>
  <c r="H21" i="43"/>
  <c r="F21" i="43"/>
  <c r="D21" i="43"/>
  <c r="G21" i="43"/>
  <c r="F21" i="61"/>
  <c r="F46" i="61" s="1"/>
  <c r="E21" i="61"/>
  <c r="E46" i="61" s="1"/>
  <c r="G21" i="61"/>
  <c r="G46" i="61" s="1"/>
  <c r="C21" i="61"/>
  <c r="C46" i="61" s="1"/>
  <c r="H21" i="61"/>
  <c r="H46" i="61" s="1"/>
  <c r="H48" i="61" s="1"/>
  <c r="I18" i="2"/>
  <c r="I50" i="2" s="1"/>
  <c r="D21" i="61"/>
  <c r="D46" i="61" s="1"/>
  <c r="D33" i="56"/>
  <c r="D34" i="56" s="1"/>
  <c r="D40" i="56" s="1"/>
  <c r="D15" i="56"/>
  <c r="D16" i="56" s="1"/>
  <c r="G33" i="56"/>
  <c r="G34" i="56" s="1"/>
  <c r="G40" i="56" s="1"/>
  <c r="G15" i="56"/>
  <c r="G16" i="56" s="1"/>
  <c r="E33" i="56"/>
  <c r="E34" i="56" s="1"/>
  <c r="E40" i="56" s="1"/>
  <c r="E15" i="56"/>
  <c r="E16" i="56" s="1"/>
  <c r="E10" i="36"/>
  <c r="E17" i="36" s="1"/>
  <c r="E19" i="36" s="1"/>
  <c r="C33" i="60"/>
  <c r="F33" i="56"/>
  <c r="F34" i="56" s="1"/>
  <c r="F40" i="56" s="1"/>
  <c r="F15" i="56"/>
  <c r="F16" i="56" s="1"/>
  <c r="D33" i="43"/>
  <c r="C22" i="61"/>
  <c r="C56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3" i="2"/>
  <c r="J3" i="2" s="1"/>
  <c r="C19" i="43"/>
  <c r="I19" i="43" s="1"/>
  <c r="C33" i="43"/>
  <c r="C34" i="43" s="1"/>
  <c r="C40" i="43" s="1"/>
  <c r="C7" i="43"/>
  <c r="I7" i="43" s="1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E33" i="57" l="1"/>
  <c r="E34" i="57" s="1"/>
  <c r="E40" i="57" s="1"/>
  <c r="E15" i="57"/>
  <c r="E16" i="57" s="1"/>
  <c r="G33" i="57"/>
  <c r="G34" i="57" s="1"/>
  <c r="G40" i="57" s="1"/>
  <c r="G15" i="57"/>
  <c r="G16" i="57" s="1"/>
  <c r="D33" i="57"/>
  <c r="D34" i="57" s="1"/>
  <c r="D40" i="57" s="1"/>
  <c r="D15" i="57"/>
  <c r="D16" i="57" s="1"/>
  <c r="I10" i="56"/>
  <c r="F33" i="57"/>
  <c r="F34" i="57" s="1"/>
  <c r="F40" i="57" s="1"/>
  <c r="F15" i="57"/>
  <c r="F16" i="57" s="1"/>
  <c r="C33" i="61"/>
  <c r="C34" i="61" s="1"/>
  <c r="C40" i="61" s="1"/>
  <c r="C48" i="61" s="1"/>
  <c r="I15" i="2"/>
  <c r="G17" i="61"/>
  <c r="G23" i="61" s="1"/>
  <c r="E17" i="61"/>
  <c r="E23" i="61" s="1"/>
  <c r="D17" i="61"/>
  <c r="D23" i="61" s="1"/>
  <c r="H17" i="61"/>
  <c r="H23" i="61" s="1"/>
  <c r="H24" i="61" s="1"/>
  <c r="H25" i="61" s="1"/>
  <c r="H26" i="61" s="1"/>
  <c r="H27" i="61" s="1"/>
  <c r="F17" i="61"/>
  <c r="F23" i="61" s="1"/>
  <c r="C17" i="61"/>
  <c r="C23" i="61" s="1"/>
  <c r="I10" i="43"/>
  <c r="C7" i="2" s="1"/>
  <c r="I22" i="59"/>
  <c r="H19" i="2" s="1"/>
  <c r="H51" i="2" s="1"/>
  <c r="I22" i="60"/>
  <c r="G19" i="2" s="1"/>
  <c r="G51" i="2" s="1"/>
  <c r="I22" i="58"/>
  <c r="F19" i="2" s="1"/>
  <c r="F51" i="2" s="1"/>
  <c r="I22" i="57"/>
  <c r="E19" i="2" s="1"/>
  <c r="E51" i="2" s="1"/>
  <c r="I22" i="61"/>
  <c r="I22" i="56"/>
  <c r="D19" i="2" s="1"/>
  <c r="D51" i="2" s="1"/>
  <c r="I21" i="58"/>
  <c r="I21" i="60"/>
  <c r="C9" i="43"/>
  <c r="I9" i="43" s="1"/>
  <c r="C4" i="2"/>
  <c r="J4" i="2" s="1"/>
  <c r="C33" i="56"/>
  <c r="C34" i="56" s="1"/>
  <c r="C40" i="56" s="1"/>
  <c r="C14" i="43"/>
  <c r="I14" i="43" s="1"/>
  <c r="C57" i="2"/>
  <c r="C55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7" i="2"/>
  <c r="J17" i="2" s="1"/>
  <c r="C9" i="2"/>
  <c r="J9" i="2" s="1"/>
  <c r="I21" i="43"/>
  <c r="E27" i="51"/>
  <c r="D28" i="51"/>
  <c r="M17" i="36"/>
  <c r="D33" i="58" l="1"/>
  <c r="D34" i="58" s="1"/>
  <c r="D40" i="58" s="1"/>
  <c r="D15" i="58"/>
  <c r="D16" i="58" s="1"/>
  <c r="G33" i="58"/>
  <c r="G34" i="58" s="1"/>
  <c r="G40" i="58" s="1"/>
  <c r="G15" i="58"/>
  <c r="G16" i="58" s="1"/>
  <c r="E33" i="58"/>
  <c r="E34" i="58" s="1"/>
  <c r="E40" i="58" s="1"/>
  <c r="E15" i="58"/>
  <c r="E16" i="58" s="1"/>
  <c r="F33" i="58"/>
  <c r="F34" i="58" s="1"/>
  <c r="F40" i="58" s="1"/>
  <c r="F15" i="58"/>
  <c r="F16" i="58" s="1"/>
  <c r="C15" i="61"/>
  <c r="G18" i="2"/>
  <c r="G50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D48" i="57" s="1"/>
  <c r="H21" i="57"/>
  <c r="H46" i="57" s="1"/>
  <c r="H48" i="57" s="1"/>
  <c r="E21" i="57"/>
  <c r="E46" i="57" s="1"/>
  <c r="E48" i="57" s="1"/>
  <c r="F21" i="57"/>
  <c r="F46" i="57" s="1"/>
  <c r="F48" i="57" s="1"/>
  <c r="G21" i="57"/>
  <c r="G46" i="57" s="1"/>
  <c r="G48" i="57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E48" i="56" s="1"/>
  <c r="G21" i="56"/>
  <c r="G46" i="56" s="1"/>
  <c r="G48" i="56" s="1"/>
  <c r="H17" i="59"/>
  <c r="H23" i="59" s="1"/>
  <c r="H24" i="59" s="1"/>
  <c r="H25" i="59" s="1"/>
  <c r="H26" i="59" s="1"/>
  <c r="H27" i="59" s="1"/>
  <c r="D17" i="59"/>
  <c r="E17" i="59"/>
  <c r="G17" i="59"/>
  <c r="G23" i="59" s="1"/>
  <c r="F17" i="59"/>
  <c r="F23" i="59" s="1"/>
  <c r="E60" i="2"/>
  <c r="E17" i="57"/>
  <c r="E23" i="57" s="1"/>
  <c r="E24" i="57" s="1"/>
  <c r="E25" i="57" s="1"/>
  <c r="E26" i="57" s="1"/>
  <c r="E27" i="57" s="1"/>
  <c r="F17" i="57"/>
  <c r="G17" i="57"/>
  <c r="G23" i="57" s="1"/>
  <c r="G24" i="57" s="1"/>
  <c r="G25" i="57" s="1"/>
  <c r="G26" i="57" s="1"/>
  <c r="G27" i="57" s="1"/>
  <c r="D17" i="57"/>
  <c r="D23" i="57" s="1"/>
  <c r="D24" i="57" s="1"/>
  <c r="D25" i="57" s="1"/>
  <c r="D26" i="57" s="1"/>
  <c r="D27" i="57" s="1"/>
  <c r="H17" i="57"/>
  <c r="H23" i="57" s="1"/>
  <c r="H24" i="57" s="1"/>
  <c r="H25" i="57" s="1"/>
  <c r="H26" i="57" s="1"/>
  <c r="H27" i="57" s="1"/>
  <c r="F60" i="2"/>
  <c r="G17" i="58"/>
  <c r="E17" i="58"/>
  <c r="D17" i="58"/>
  <c r="H17" i="58"/>
  <c r="F17" i="58"/>
  <c r="F23" i="58" s="1"/>
  <c r="F17" i="60"/>
  <c r="H17" i="60"/>
  <c r="D17" i="60"/>
  <c r="G17" i="60"/>
  <c r="E17" i="60"/>
  <c r="I17" i="61"/>
  <c r="G17" i="56"/>
  <c r="H17" i="56"/>
  <c r="D17" i="56"/>
  <c r="F17" i="56"/>
  <c r="E17" i="56"/>
  <c r="I19" i="2"/>
  <c r="I51" i="2" s="1"/>
  <c r="F27" i="51"/>
  <c r="G27" i="51" s="1"/>
  <c r="H27" i="51" s="1"/>
  <c r="I27" i="51" s="1"/>
  <c r="J27" i="51" s="1"/>
  <c r="G15" i="2"/>
  <c r="G60" i="2"/>
  <c r="M19" i="36"/>
  <c r="C17" i="60"/>
  <c r="C21" i="60"/>
  <c r="C33" i="57"/>
  <c r="C34" i="57" s="1"/>
  <c r="C40" i="57" s="1"/>
  <c r="I10" i="57"/>
  <c r="C35" i="2"/>
  <c r="J35" i="2"/>
  <c r="I22" i="36"/>
  <c r="D7" i="2"/>
  <c r="C30" i="2"/>
  <c r="C43" i="2"/>
  <c r="J43" i="2"/>
  <c r="F6" i="36"/>
  <c r="F5" i="36" s="1"/>
  <c r="F17" i="36" s="1"/>
  <c r="F19" i="36" s="1"/>
  <c r="L6" i="36"/>
  <c r="L5" i="36" s="1"/>
  <c r="L17" i="36" s="1"/>
  <c r="L19" i="36" s="1"/>
  <c r="I23" i="36"/>
  <c r="C17" i="57"/>
  <c r="C21" i="43"/>
  <c r="C17" i="59"/>
  <c r="C6" i="2"/>
  <c r="C15" i="56"/>
  <c r="I15" i="56" s="1"/>
  <c r="C17" i="58"/>
  <c r="C20" i="36"/>
  <c r="D20" i="36" s="1"/>
  <c r="E20" i="36" s="1"/>
  <c r="C16" i="2"/>
  <c r="J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H18" i="2"/>
  <c r="H50" i="2" s="1"/>
  <c r="C21" i="59"/>
  <c r="C46" i="59" s="1"/>
  <c r="C8" i="2"/>
  <c r="J8" i="2" s="1"/>
  <c r="C10" i="2"/>
  <c r="J10" i="2" s="1"/>
  <c r="C15" i="43"/>
  <c r="I15" i="43" s="1"/>
  <c r="E28" i="51"/>
  <c r="C19" i="2"/>
  <c r="C18" i="2"/>
  <c r="G23" i="58" l="1"/>
  <c r="G24" i="58" s="1"/>
  <c r="G25" i="58" s="1"/>
  <c r="G26" i="58" s="1"/>
  <c r="G27" i="58" s="1"/>
  <c r="F23" i="57"/>
  <c r="F24" i="57" s="1"/>
  <c r="F25" i="57" s="1"/>
  <c r="F26" i="57" s="1"/>
  <c r="F27" i="57" s="1"/>
  <c r="E23" i="56"/>
  <c r="E24" i="56" s="1"/>
  <c r="E25" i="56" s="1"/>
  <c r="E26" i="56" s="1"/>
  <c r="E27" i="56" s="1"/>
  <c r="H23" i="56"/>
  <c r="H24" i="56" s="1"/>
  <c r="H25" i="56" s="1"/>
  <c r="H26" i="56" s="1"/>
  <c r="H27" i="56" s="1"/>
  <c r="D23" i="60"/>
  <c r="D23" i="58"/>
  <c r="I17" i="60"/>
  <c r="D23" i="56"/>
  <c r="D24" i="56" s="1"/>
  <c r="D25" i="56" s="1"/>
  <c r="D26" i="56" s="1"/>
  <c r="D27" i="56" s="1"/>
  <c r="F23" i="60"/>
  <c r="H23" i="58"/>
  <c r="H24" i="58" s="1"/>
  <c r="H25" i="58" s="1"/>
  <c r="H26" i="58" s="1"/>
  <c r="H27" i="58" s="1"/>
  <c r="E48" i="58"/>
  <c r="G48" i="58"/>
  <c r="G23" i="56"/>
  <c r="G24" i="56" s="1"/>
  <c r="G25" i="56" s="1"/>
  <c r="G26" i="56" s="1"/>
  <c r="G27" i="56" s="1"/>
  <c r="G23" i="60"/>
  <c r="E23" i="59"/>
  <c r="D48" i="58"/>
  <c r="F24" i="58"/>
  <c r="F25" i="58" s="1"/>
  <c r="F26" i="58" s="1"/>
  <c r="F27" i="58" s="1"/>
  <c r="D24" i="58"/>
  <c r="D25" i="58" s="1"/>
  <c r="D26" i="58" s="1"/>
  <c r="D27" i="58" s="1"/>
  <c r="E33" i="60"/>
  <c r="E34" i="60" s="1"/>
  <c r="E40" i="60" s="1"/>
  <c r="E48" i="60" s="1"/>
  <c r="E15" i="60"/>
  <c r="E16" i="60" s="1"/>
  <c r="G33" i="60"/>
  <c r="G34" i="60" s="1"/>
  <c r="G40" i="60" s="1"/>
  <c r="G48" i="60" s="1"/>
  <c r="G15" i="60"/>
  <c r="G16" i="60" s="1"/>
  <c r="D33" i="60"/>
  <c r="D34" i="60" s="1"/>
  <c r="D40" i="60" s="1"/>
  <c r="D48" i="60" s="1"/>
  <c r="J18" i="2"/>
  <c r="C49" i="2"/>
  <c r="J6" i="2"/>
  <c r="I17" i="57"/>
  <c r="E14" i="2" s="1"/>
  <c r="F23" i="56"/>
  <c r="F24" i="56" s="1"/>
  <c r="F25" i="56" s="1"/>
  <c r="F26" i="56" s="1"/>
  <c r="F27" i="56" s="1"/>
  <c r="E23" i="60"/>
  <c r="D23" i="59"/>
  <c r="F48" i="58"/>
  <c r="F33" i="60"/>
  <c r="F34" i="60" s="1"/>
  <c r="F40" i="60" s="1"/>
  <c r="F48" i="60" s="1"/>
  <c r="F15" i="60"/>
  <c r="F16" i="60" s="1"/>
  <c r="J19" i="2"/>
  <c r="I17" i="58"/>
  <c r="I23" i="58" s="1"/>
  <c r="I17" i="59"/>
  <c r="I23" i="59" s="1"/>
  <c r="I23" i="61"/>
  <c r="H23" i="60"/>
  <c r="H24" i="60" s="1"/>
  <c r="H25" i="60" s="1"/>
  <c r="H26" i="60" s="1"/>
  <c r="H27" i="60" s="1"/>
  <c r="E23" i="58"/>
  <c r="E24" i="58" s="1"/>
  <c r="E25" i="58" s="1"/>
  <c r="E26" i="58" s="1"/>
  <c r="E27" i="58" s="1"/>
  <c r="C16" i="61"/>
  <c r="C24" i="61"/>
  <c r="C25" i="61" s="1"/>
  <c r="C26" i="61" s="1"/>
  <c r="C27" i="61" s="1"/>
  <c r="I41" i="2"/>
  <c r="I48" i="2"/>
  <c r="D30" i="2"/>
  <c r="D31" i="2" s="1"/>
  <c r="D32" i="2" s="1"/>
  <c r="K27" i="51"/>
  <c r="F20" i="36"/>
  <c r="G20" i="36" s="1"/>
  <c r="H20" i="36" s="1"/>
  <c r="I24" i="36" s="1"/>
  <c r="I28" i="51"/>
  <c r="J26" i="51"/>
  <c r="J28" i="51" s="1"/>
  <c r="F28" i="51"/>
  <c r="J42" i="2"/>
  <c r="C46" i="60"/>
  <c r="C23" i="60"/>
  <c r="F18" i="36"/>
  <c r="G18" i="36" s="1"/>
  <c r="H18" i="36" s="1"/>
  <c r="E24" i="36" s="1"/>
  <c r="J36" i="2"/>
  <c r="E7" i="2"/>
  <c r="C34" i="2"/>
  <c r="J34" i="2"/>
  <c r="I10" i="58"/>
  <c r="C29" i="2"/>
  <c r="C31" i="2" s="1"/>
  <c r="C16" i="43"/>
  <c r="C16" i="56"/>
  <c r="I16" i="56"/>
  <c r="C48" i="57"/>
  <c r="C15" i="57"/>
  <c r="I15" i="57" s="1"/>
  <c r="C33" i="58"/>
  <c r="C34" i="58" s="1"/>
  <c r="C40" i="58" s="1"/>
  <c r="C48" i="58" s="1"/>
  <c r="C23" i="59"/>
  <c r="C23" i="58"/>
  <c r="C42" i="2"/>
  <c r="C23" i="57"/>
  <c r="C47" i="2"/>
  <c r="C11" i="2"/>
  <c r="J11" i="2" s="1"/>
  <c r="C36" i="2"/>
  <c r="C51" i="2"/>
  <c r="C46" i="43"/>
  <c r="C48" i="43" s="1"/>
  <c r="C50" i="2"/>
  <c r="G28" i="51"/>
  <c r="E24" i="60" l="1"/>
  <c r="E25" i="60" s="1"/>
  <c r="E26" i="60" s="1"/>
  <c r="E27" i="60" s="1"/>
  <c r="F24" i="60"/>
  <c r="F25" i="60" s="1"/>
  <c r="F26" i="60" s="1"/>
  <c r="F27" i="60" s="1"/>
  <c r="F33" i="59"/>
  <c r="F34" i="59" s="1"/>
  <c r="F40" i="59" s="1"/>
  <c r="F48" i="59" s="1"/>
  <c r="F15" i="59"/>
  <c r="D15" i="60"/>
  <c r="I10" i="60"/>
  <c r="G24" i="60"/>
  <c r="G25" i="60" s="1"/>
  <c r="G26" i="60" s="1"/>
  <c r="G27" i="60" s="1"/>
  <c r="D33" i="59"/>
  <c r="D34" i="59" s="1"/>
  <c r="D40" i="59" s="1"/>
  <c r="D48" i="59" s="1"/>
  <c r="D15" i="59"/>
  <c r="D16" i="59" s="1"/>
  <c r="G33" i="59"/>
  <c r="G34" i="59" s="1"/>
  <c r="G40" i="59" s="1"/>
  <c r="G48" i="59" s="1"/>
  <c r="G15" i="59"/>
  <c r="E33" i="59"/>
  <c r="E34" i="59" s="1"/>
  <c r="E40" i="59" s="1"/>
  <c r="E48" i="59" s="1"/>
  <c r="E15" i="59"/>
  <c r="I20" i="36"/>
  <c r="J20" i="36" s="1"/>
  <c r="K20" i="36" s="1"/>
  <c r="L20" i="36" s="1"/>
  <c r="K26" i="51"/>
  <c r="J60" i="2" s="1"/>
  <c r="I23" i="60"/>
  <c r="G20" i="2" s="1"/>
  <c r="G14" i="2"/>
  <c r="F14" i="2"/>
  <c r="F41" i="2" s="1"/>
  <c r="I18" i="36"/>
  <c r="J18" i="36" s="1"/>
  <c r="K18" i="36" s="1"/>
  <c r="L18" i="36" s="1"/>
  <c r="J47" i="2"/>
  <c r="F7" i="2"/>
  <c r="F30" i="2" s="1"/>
  <c r="F31" i="2" s="1"/>
  <c r="F32" i="2" s="1"/>
  <c r="C32" i="2"/>
  <c r="C33" i="59"/>
  <c r="C34" i="59" s="1"/>
  <c r="C40" i="59" s="1"/>
  <c r="C48" i="59" s="1"/>
  <c r="J29" i="2"/>
  <c r="I23" i="57"/>
  <c r="I24" i="57" s="1"/>
  <c r="J51" i="2"/>
  <c r="J49" i="2"/>
  <c r="J50" i="2"/>
  <c r="D12" i="2"/>
  <c r="C16" i="57"/>
  <c r="C24" i="57"/>
  <c r="C15" i="58"/>
  <c r="I15" i="58" s="1"/>
  <c r="E30" i="2"/>
  <c r="E31" i="2" s="1"/>
  <c r="E32" i="2" s="1"/>
  <c r="H48" i="2"/>
  <c r="E41" i="2"/>
  <c r="E48" i="2"/>
  <c r="F20" i="2"/>
  <c r="H28" i="51"/>
  <c r="E16" i="59" l="1"/>
  <c r="E24" i="59"/>
  <c r="E25" i="59" s="1"/>
  <c r="E26" i="59" s="1"/>
  <c r="E27" i="59" s="1"/>
  <c r="D16" i="60"/>
  <c r="D24" i="60"/>
  <c r="D25" i="60" s="1"/>
  <c r="D26" i="60" s="1"/>
  <c r="D27" i="60" s="1"/>
  <c r="D24" i="59"/>
  <c r="D25" i="59" s="1"/>
  <c r="D26" i="59" s="1"/>
  <c r="D27" i="59" s="1"/>
  <c r="F33" i="61"/>
  <c r="F34" i="61" s="1"/>
  <c r="F40" i="61" s="1"/>
  <c r="F48" i="61" s="1"/>
  <c r="F15" i="61"/>
  <c r="G16" i="59"/>
  <c r="G24" i="59"/>
  <c r="G25" i="59" s="1"/>
  <c r="G26" i="59" s="1"/>
  <c r="G27" i="59" s="1"/>
  <c r="E33" i="61"/>
  <c r="E34" i="61" s="1"/>
  <c r="E40" i="61" s="1"/>
  <c r="E48" i="61" s="1"/>
  <c r="E15" i="61"/>
  <c r="G33" i="61"/>
  <c r="G34" i="61" s="1"/>
  <c r="G40" i="61" s="1"/>
  <c r="G48" i="61" s="1"/>
  <c r="G15" i="61"/>
  <c r="D33" i="61"/>
  <c r="D34" i="61" s="1"/>
  <c r="D40" i="61" s="1"/>
  <c r="D48" i="61" s="1"/>
  <c r="F16" i="59"/>
  <c r="F24" i="59"/>
  <c r="F25" i="59" s="1"/>
  <c r="F26" i="59" s="1"/>
  <c r="F27" i="59" s="1"/>
  <c r="I25" i="57"/>
  <c r="I26" i="57" s="1"/>
  <c r="D38" i="2"/>
  <c r="D13" i="2"/>
  <c r="F48" i="2"/>
  <c r="G41" i="2"/>
  <c r="G48" i="2"/>
  <c r="C25" i="57"/>
  <c r="C26" i="57" s="1"/>
  <c r="C34" i="60"/>
  <c r="C40" i="60" s="1"/>
  <c r="C48" i="60" s="1"/>
  <c r="E20" i="2"/>
  <c r="I16" i="43"/>
  <c r="C12" i="2"/>
  <c r="C38" i="2" s="1"/>
  <c r="I16" i="58"/>
  <c r="I24" i="58"/>
  <c r="H41" i="2"/>
  <c r="C16" i="58"/>
  <c r="E12" i="2"/>
  <c r="I16" i="57"/>
  <c r="C24" i="58"/>
  <c r="E21" i="2"/>
  <c r="E53" i="2" s="1"/>
  <c r="E16" i="61" l="1"/>
  <c r="E24" i="61"/>
  <c r="E25" i="61" s="1"/>
  <c r="E26" i="61" s="1"/>
  <c r="E27" i="61" s="1"/>
  <c r="D15" i="61"/>
  <c r="I10" i="61"/>
  <c r="I7" i="2" s="1"/>
  <c r="I30" i="2" s="1"/>
  <c r="I31" i="2" s="1"/>
  <c r="I32" i="2" s="1"/>
  <c r="E22" i="2"/>
  <c r="G16" i="61"/>
  <c r="G24" i="61"/>
  <c r="G25" i="61" s="1"/>
  <c r="G26" i="61" s="1"/>
  <c r="G27" i="61" s="1"/>
  <c r="F16" i="61"/>
  <c r="F24" i="61"/>
  <c r="F25" i="61" s="1"/>
  <c r="F26" i="61" s="1"/>
  <c r="F27" i="61" s="1"/>
  <c r="I25" i="58"/>
  <c r="I26" i="58" s="1"/>
  <c r="I10" i="59"/>
  <c r="H7" i="2" s="1"/>
  <c r="H30" i="2" s="1"/>
  <c r="H31" i="2" s="1"/>
  <c r="H32" i="2" s="1"/>
  <c r="E38" i="2"/>
  <c r="E39" i="2" s="1"/>
  <c r="E13" i="2"/>
  <c r="C27" i="57"/>
  <c r="I27" i="57"/>
  <c r="C25" i="58"/>
  <c r="C26" i="58" s="1"/>
  <c r="G7" i="2"/>
  <c r="C15" i="60"/>
  <c r="I15" i="60" s="1"/>
  <c r="C15" i="59"/>
  <c r="I15" i="59" s="1"/>
  <c r="I16" i="59" s="1"/>
  <c r="C13" i="2"/>
  <c r="F12" i="2"/>
  <c r="D16" i="61" l="1"/>
  <c r="D24" i="61"/>
  <c r="D25" i="61" s="1"/>
  <c r="D26" i="61" s="1"/>
  <c r="I15" i="61"/>
  <c r="G30" i="2"/>
  <c r="G31" i="2" s="1"/>
  <c r="G32" i="2" s="1"/>
  <c r="J7" i="2"/>
  <c r="J30" i="2" s="1"/>
  <c r="J31" i="2" s="1"/>
  <c r="J32" i="2" s="1"/>
  <c r="F38" i="2"/>
  <c r="F39" i="2" s="1"/>
  <c r="F13" i="2"/>
  <c r="E23" i="2"/>
  <c r="E24" i="2" s="1"/>
  <c r="I27" i="58"/>
  <c r="C27" i="58"/>
  <c r="C24" i="59"/>
  <c r="G12" i="2"/>
  <c r="C16" i="60"/>
  <c r="C24" i="60"/>
  <c r="C16" i="59"/>
  <c r="H12" i="2"/>
  <c r="I24" i="59"/>
  <c r="H21" i="2" s="1"/>
  <c r="F21" i="2"/>
  <c r="F53" i="2" s="1"/>
  <c r="F22" i="2"/>
  <c r="I12" i="2" l="1"/>
  <c r="I16" i="61"/>
  <c r="I24" i="61"/>
  <c r="I21" i="2" s="1"/>
  <c r="D27" i="61"/>
  <c r="I26" i="61"/>
  <c r="I25" i="59"/>
  <c r="I26" i="59" s="1"/>
  <c r="H38" i="2"/>
  <c r="H39" i="2" s="1"/>
  <c r="H13" i="2"/>
  <c r="G38" i="2"/>
  <c r="G39" i="2" s="1"/>
  <c r="G13" i="2"/>
  <c r="J12" i="2"/>
  <c r="J38" i="2" s="1"/>
  <c r="E52" i="2"/>
  <c r="E59" i="2"/>
  <c r="E58" i="2" s="1"/>
  <c r="F23" i="2"/>
  <c r="F52" i="2" s="1"/>
  <c r="C25" i="59"/>
  <c r="C26" i="59" s="1"/>
  <c r="C25" i="60"/>
  <c r="C26" i="60" s="1"/>
  <c r="I16" i="60"/>
  <c r="I24" i="60"/>
  <c r="H53" i="2"/>
  <c r="H22" i="2" l="1"/>
  <c r="I53" i="2"/>
  <c r="I25" i="61"/>
  <c r="I22" i="2" s="1"/>
  <c r="J13" i="2"/>
  <c r="I27" i="61"/>
  <c r="I23" i="2"/>
  <c r="I38" i="2"/>
  <c r="I39" i="2" s="1"/>
  <c r="I13" i="2"/>
  <c r="F59" i="2"/>
  <c r="F58" i="2" s="1"/>
  <c r="F24" i="2"/>
  <c r="C27" i="60"/>
  <c r="C27" i="59"/>
  <c r="H23" i="2"/>
  <c r="I25" i="60"/>
  <c r="G22" i="2" s="1"/>
  <c r="G21" i="2"/>
  <c r="G53" i="2" s="1"/>
  <c r="I59" i="2" l="1"/>
  <c r="I58" i="2" s="1"/>
  <c r="I52" i="2"/>
  <c r="I24" i="2"/>
  <c r="I26" i="60"/>
  <c r="I27" i="60" s="1"/>
  <c r="H52" i="2"/>
  <c r="H24" i="2"/>
  <c r="I27" i="59"/>
  <c r="H59" i="2"/>
  <c r="H58" i="2" s="1"/>
  <c r="G23" i="2" l="1"/>
  <c r="G24" i="2" s="1"/>
  <c r="G59" i="2" l="1"/>
  <c r="G58" i="2" s="1"/>
  <c r="G52" i="2"/>
  <c r="D60" i="2" l="1"/>
  <c r="C17" i="56"/>
  <c r="I17" i="56" s="1"/>
  <c r="C23" i="56" l="1"/>
  <c r="C24" i="56" s="1"/>
  <c r="C25" i="56" s="1"/>
  <c r="D14" i="2" l="1"/>
  <c r="I23" i="56"/>
  <c r="C26" i="56"/>
  <c r="C27" i="56" l="1"/>
  <c r="I24" i="56"/>
  <c r="D20" i="2"/>
  <c r="D48" i="2"/>
  <c r="D41" i="2"/>
  <c r="I25" i="56" l="1"/>
  <c r="I26" i="56" s="1"/>
  <c r="D23" i="2" s="1"/>
  <c r="D24" i="2" s="1"/>
  <c r="D39" i="2"/>
  <c r="D21" i="2"/>
  <c r="D53" i="2" s="1"/>
  <c r="D22" i="2" l="1"/>
  <c r="I27" i="56"/>
  <c r="D59" i="2"/>
  <c r="D58" i="2" s="1"/>
  <c r="D52" i="2"/>
  <c r="C60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4" i="2"/>
  <c r="C48" i="2" l="1"/>
  <c r="J14" i="2"/>
  <c r="C20" i="2"/>
  <c r="C41" i="2"/>
  <c r="J41" i="2" l="1"/>
  <c r="J48" i="2"/>
  <c r="C39" i="2"/>
  <c r="J20" i="2"/>
  <c r="C21" i="2"/>
  <c r="C53" i="2" l="1"/>
  <c r="C22" i="2"/>
  <c r="C23" i="2"/>
  <c r="J21" i="2"/>
  <c r="J39" i="2"/>
  <c r="C59" i="2" l="1"/>
  <c r="C58" i="2" s="1"/>
  <c r="C52" i="2"/>
  <c r="C24" i="2"/>
  <c r="J53" i="2"/>
  <c r="J22" i="2"/>
  <c r="J23" i="2" s="1"/>
  <c r="J52" i="2" l="1"/>
  <c r="J24" i="2"/>
  <c r="J59" i="2"/>
  <c r="J58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  <author>zzf</author>
  </authors>
  <commentList>
    <comment ref="G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N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假设自提</t>
        </r>
      </text>
    </comment>
    <comment ref="G22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<sst xmlns="http://schemas.openxmlformats.org/spreadsheetml/2006/main" count="1862" uniqueCount="323">
  <si>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</si>
  <si>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</si>
  <si>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</si>
  <si>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</si>
  <si>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</si>
  <si>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</si>
  <si>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</si>
  <si>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</si>
  <si>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</si>
  <si>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</si>
  <si>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</si>
  <si>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</si>
  <si>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</si>
  <si>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</si>
  <si>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</si>
  <si>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</si>
  <si>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</si>
  <si>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</si>
  <si>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</si>
  <si>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</si>
  <si>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</si>
  <si>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</si>
  <si>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</si>
  <si>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</si>
  <si>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</si>
  <si>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</si>
  <si>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</si>
  <si>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</si>
  <si>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</si>
  <si>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</si>
  <si>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</si>
  <si>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</si>
  <si>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</si>
  <si>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</si>
  <si>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</si>
  <si>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</si>
  <si>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</si>
  <si>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</si>
  <si>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</si>
  <si>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</si>
  <si>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</si>
  <si>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</si>
  <si>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</si>
  <si>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</si>
  <si>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</si>
  <si>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</si>
  <si>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</si>
  <si>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</si>
  <si>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</si>
  <si>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</si>
  <si>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</si>
  <si>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</si>
  <si>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</si>
  <si>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</si>
  <si>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</si>
  <si>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</si>
  <si>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</si>
  <si>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</si>
  <si>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</si>
  <si>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</si>
  <si>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</si>
  <si>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</si>
  <si>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</si>
  <si>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</si>
  <si>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</si>
  <si>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</si>
  <si>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</si>
  <si>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</si>
  <si>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</si>
  <si>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</si>
  <si>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</si>
  <si>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</si>
  <si>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</si>
  <si>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</si>
  <si>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</si>
  <si>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</si>
  <si>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</si>
  <si>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</si>
  <si>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</si>
  <si>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</si>
  <si>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</si>
  <si>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</si>
  <si>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</si>
  <si>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</si>
  <si>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</si>
  <si>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</si>
  <si>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</si>
  <si>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</si>
  <si>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</si>
  <si>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</si>
  <si>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</si>
  <si>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</si>
  <si>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</si>
  <si>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</si>
  <si>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</si>
  <si>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</si>
  <si>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</si>
  <si>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</si>
  <si>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</si>
  <si>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</si>
  <si>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</si>
  <si>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</si>
  <si>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</si>
  <si>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</si>
  <si>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</si>
  <si>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</si>
  <si>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</si>
  <si>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</si>
  <si>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</si>
  <si>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</si>
  <si>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</si>
  <si>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</si>
  <si>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</si>
  <si>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</si>
  <si>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</si>
  <si>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</si>
  <si>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</si>
  <si>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</si>
  <si>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</si>
  <si>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</si>
  <si>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</si>
  <si>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</si>
  <si>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</si>
  <si>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</si>
  <si>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</si>
  <si>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</si>
  <si>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</si>
  <si>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</si>
  <si>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</si>
  <si>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</si>
  <si>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</si>
  <si>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</si>
  <si>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</si>
  <si>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</si>
  <si>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</si>
  <si>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</si>
  <si>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</si>
  <si>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</si>
  <si>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</si>
  <si>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</si>
  <si>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</si>
  <si>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</si>
  <si>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</si>
  <si>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</si>
  <si>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</si>
  <si>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</si>
  <si>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</si>
  <si>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</si>
  <si>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</si>
  <si>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</si>
  <si>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</si>
  <si>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</si>
  <si>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</si>
  <si>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</si>
  <si>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</si>
  <si>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</si>
  <si>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</si>
  <si>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</si>
  <si>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</si>
  <si>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</si>
  <si>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</si>
  <si>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</si>
  <si>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</si>
  <si>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</si>
  <si>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</si>
  <si>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</si>
  <si>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</si>
  <si>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</si>
  <si>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</si>
  <si>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</si>
  <si>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</si>
  <si>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</si>
  <si>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</si>
  <si>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</si>
  <si>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</si>
  <si>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</si>
  <si>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</si>
  <si>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</si>
  <si>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</si>
  <si>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</si>
  <si>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</si>
  <si>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</si>
  <si>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</si>
  <si>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</si>
  <si>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</si>
  <si>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</si>
  <si>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</si>
  <si>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</si>
  <si>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</si>
  <si>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</si>
  <si>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</si>
  <si>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</si>
  <si>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</si>
  <si>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</si>
  <si>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</si>
  <si>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</si>
  <si>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</si>
  <si>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</si>
  <si>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</si>
  <si>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</si>
  <si>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</si>
  <si>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</si>
  <si>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</si>
  <si>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</si>
  <si>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</si>
  <si>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</si>
  <si>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</si>
  <si>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</si>
  <si>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</si>
  <si>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</si>
  <si>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</si>
  <si>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</si>
  <si>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</si>
  <si>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</si>
  <si>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</si>
  <si>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</si>
  <si>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</si>
  <si>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</si>
  <si>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</si>
  <si>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</si>
  <si>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</si>
  <si>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</si>
  <si>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</si>
  <si>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</si>
  <si>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</si>
  <si>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</si>
  <si>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</si>
  <si>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</si>
  <si>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</si>
  <si>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</si>
  <si>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</si>
  <si>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</si>
  <si>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</si>
  <si>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</si>
  <si>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</si>
  <si>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</si>
  <si>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</si>
  <si>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</si>
  <si>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t xml:space="preserve">2028年  </t>
    <phoneticPr fontId="38" type="noConversion"/>
  </si>
  <si>
    <t>2028年</t>
    <phoneticPr fontId="38" type="noConversion"/>
  </si>
  <si>
    <t>2027年</t>
  </si>
  <si>
    <t>材料成本年降汇总表1%</t>
    <phoneticPr fontId="38" type="noConversion"/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</si>
  <si>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</si>
  <si>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</si>
  <si>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</si>
  <si>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t>22年预算（综合）</t>
    <phoneticPr fontId="38" type="noConversion"/>
  </si>
  <si>
    <t>21年的后视镜</t>
    <phoneticPr fontId="38" type="noConversion"/>
  </si>
  <si>
    <r>
      <t>2028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</si>
  <si>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2023年</t>
    </r>
    <r>
      <rPr>
        <b/>
        <sz val="10"/>
        <rFont val="宋体"/>
        <family val="3"/>
        <charset val="134"/>
      </rPr>
      <t/>
    </r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</si>
  <si>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</si>
  <si>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</si>
  <si>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</si>
  <si>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</si>
  <si>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考虑折旧问题，后视镜减去部分固定制造。</t>
    <phoneticPr fontId="38" type="noConversion"/>
  </si>
  <si>
    <t>成都后视镜2022</t>
    <phoneticPr fontId="38" type="noConversion"/>
  </si>
  <si>
    <t>成都后视镜2021实际</t>
    <phoneticPr fontId="38" type="noConversion"/>
  </si>
  <si>
    <t>2029年</t>
  </si>
  <si>
    <t>供应商年降：     7 年0%</t>
    <phoneticPr fontId="38" type="noConversion"/>
  </si>
  <si>
    <t>2023年</t>
    <phoneticPr fontId="38" type="noConversion"/>
  </si>
  <si>
    <t>2024年</t>
    <phoneticPr fontId="38" type="noConversion"/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</si>
  <si>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</si>
  <si>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</si>
  <si>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</si>
  <si>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</si>
  <si>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</si>
  <si>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</si>
  <si>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</si>
  <si>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</si>
  <si>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t xml:space="preserve">2029年  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</si>
  <si>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</si>
  <si>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北汽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</si>
  <si>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</si>
  <si>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</si>
  <si>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</si>
  <si>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</si>
  <si>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</si>
  <si>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</si>
  <si>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</si>
  <si>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</si>
  <si>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</si>
  <si>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</si>
  <si>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r>
      <t xml:space="preserve">Actors车型H6后视镜喷漆镀铬后盖外后视镜项目可行性分析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</si>
  <si>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 xml:space="preserve">Actors车型H6后视镜喷漆镀铬后盖外后视镜项目研发费用预算表 </t>
    <phoneticPr fontId="38" type="noConversion"/>
  </si>
  <si>
    <t>Actors车型H6后视镜喷漆镀铬后盖</t>
    <phoneticPr fontId="38" type="noConversion"/>
  </si>
  <si>
    <t>HSJ2208</t>
    <phoneticPr fontId="38" type="noConversion"/>
  </si>
  <si>
    <r>
      <rPr>
        <sz val="10"/>
        <rFont val="微软雅黑"/>
        <family val="2"/>
        <charset val="134"/>
      </rPr>
      <t>左后盖</t>
    </r>
    <r>
      <rPr>
        <sz val="10"/>
        <rFont val="微软雅黑"/>
        <family val="2"/>
        <charset val="134"/>
      </rPr>
      <t xml:space="preserve"> ABDECKUNG LI FHS2500 CHN</t>
    </r>
  </si>
  <si>
    <t>左后盖装饰盖 ABDECKUNG UT LI CHN</t>
  </si>
  <si>
    <r>
      <rPr>
        <sz val="10"/>
        <rFont val="微软雅黑"/>
        <family val="2"/>
        <charset val="134"/>
      </rPr>
      <t>右后盖</t>
    </r>
    <r>
      <rPr>
        <sz val="10"/>
        <rFont val="微软雅黑"/>
        <family val="2"/>
        <charset val="134"/>
      </rPr>
      <t xml:space="preserve"> ABDECKUNG RE FHS2500 CHN</t>
    </r>
  </si>
  <si>
    <t>右后盖装饰盖 ABDECKUNG UT RE CHN</t>
  </si>
  <si>
    <t>A9608118007-2</t>
  </si>
  <si>
    <t>A9608118207-2</t>
  </si>
  <si>
    <t>A9608118207-3</t>
  </si>
  <si>
    <t>A9608118107-2</t>
  </si>
  <si>
    <t>A9608118307-2</t>
  </si>
  <si>
    <t>A9608118307-3</t>
  </si>
  <si>
    <t>喷漆</t>
  </si>
  <si>
    <t>镀铬</t>
  </si>
  <si>
    <t>分总成国内，总成德国</t>
  </si>
  <si>
    <t>德国/土耳其</t>
  </si>
  <si>
    <t>送货地点</t>
  </si>
  <si>
    <t>欧元 周开票/挂账2个月</t>
  </si>
  <si>
    <t>现汇或承兑的比例</t>
  </si>
  <si>
    <t>河北底漆</t>
  </si>
  <si>
    <t>镀铬与面漆德国委外</t>
  </si>
  <si>
    <t>海运--纸箱</t>
  </si>
  <si>
    <t>无现场服务要求</t>
  </si>
  <si>
    <t>包含所有的主、辅料</t>
  </si>
  <si>
    <t>开发费分摊情况</t>
  </si>
  <si>
    <t>与客户沟通，由客户承担开发费</t>
  </si>
  <si>
    <t>产品应用场景</t>
  </si>
  <si>
    <t>与国内相同</t>
  </si>
  <si>
    <t>三包周期</t>
  </si>
  <si>
    <t>36个月</t>
  </si>
  <si>
    <t>涂红色处为必填项</t>
  </si>
  <si>
    <t>4 年</t>
    <phoneticPr fontId="38" type="noConversion"/>
  </si>
  <si>
    <t>变动费用参考河北工厂2021年实际及2022预算暂估。</t>
    <phoneticPr fontId="38" type="noConversion"/>
  </si>
  <si>
    <t>研发费用客户支付，模具费按3年分摊。</t>
    <phoneticPr fontId="38" type="noConversion"/>
  </si>
  <si>
    <t>按3年或5万台分摊</t>
    <phoneticPr fontId="38" type="noConversion"/>
  </si>
  <si>
    <t>研发费用由客户支付</t>
    <phoneticPr fontId="38" type="noConversion"/>
  </si>
  <si>
    <t>客户支付</t>
    <phoneticPr fontId="38" type="noConversion"/>
  </si>
  <si>
    <t>销售价格（未税）：由海外事业部提供，在河北工厂自提货销价，包括年降1%。</t>
    <phoneticPr fontId="38" type="noConversion"/>
  </si>
  <si>
    <t>原定底漆河北自制、面漆电镀德国委外，但国外加工费暂无数据，故按全部外购进行成本预估，成本不包含出口物流包装。供应商年度降价与销价年降持平。</t>
    <phoneticPr fontId="38" type="noConversion"/>
  </si>
  <si>
    <t>考虑产品防护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</si>
</sst>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0" xfId="1" applyNumberFormat="1" applyFont="1" applyFill="1">
      <alignment vertical="center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8" fontId="16" fillId="9" borderId="1" xfId="1" applyNumberFormat="1" applyFont="1" applyFill="1" applyBorder="1" applyAlignment="1">
      <alignment horizontal="center" vertical="center"/>
    </xf>
    <xf numFmtId="178" fontId="15" fillId="9" borderId="1" xfId="1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2" fillId="2" borderId="5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43" fontId="27" fillId="0" borderId="0" xfId="1" applyFont="1" applyFill="1" applyAlignment="1">
      <alignment horizontal="center" vertical="center" wrapText="1"/>
    </xf>
    <xf numFmtId="43" fontId="27" fillId="0" borderId="0" xfId="1" applyFont="1" applyFill="1" applyBorder="1" applyAlignment="1">
      <alignment horizontal="center" vertical="center" wrapText="1"/>
    </xf>
    <xf numFmtId="9" fontId="50" fillId="0" borderId="1" xfId="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1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0" customFormat="1" ht="35.25" customHeight="1">
      <c r="A2" s="131" t="s">
        <v>0</v>
      </c>
      <c r="B2" s="131" t="s">
        <v>1</v>
      </c>
      <c r="C2" s="131" t="s">
        <v>2</v>
      </c>
      <c r="D2" s="132"/>
    </row>
    <row r="3" spans="1:4" s="130" customFormat="1" ht="33.75" customHeight="1">
      <c r="A3" s="133">
        <v>1</v>
      </c>
      <c r="B3" s="133" t="s">
        <v>3</v>
      </c>
      <c r="C3" s="134" t="s">
        <v>4</v>
      </c>
      <c r="D3" s="132"/>
    </row>
    <row r="4" spans="1:4" s="130" customFormat="1" ht="33.75" customHeight="1">
      <c r="A4" s="133">
        <v>2</v>
      </c>
      <c r="B4" s="133" t="s">
        <v>5</v>
      </c>
      <c r="C4" s="297" t="s">
        <v>320</v>
      </c>
    </row>
    <row r="5" spans="1:4" s="130" customFormat="1" ht="33.75" customHeight="1">
      <c r="A5" s="133">
        <v>3</v>
      </c>
      <c r="B5" s="214" t="s">
        <v>6</v>
      </c>
      <c r="C5" s="298" t="s">
        <v>321</v>
      </c>
    </row>
    <row r="6" spans="1:4" s="130" customFormat="1" ht="33.75" customHeight="1">
      <c r="A6" s="133">
        <v>4</v>
      </c>
      <c r="B6" s="215"/>
      <c r="C6" s="134" t="s">
        <v>7</v>
      </c>
    </row>
    <row r="7" spans="1:4" s="130" customFormat="1" ht="33.75" customHeight="1">
      <c r="A7" s="133">
        <v>5</v>
      </c>
      <c r="B7" s="136" t="s">
        <v>8</v>
      </c>
      <c r="C7" s="134" t="s">
        <v>315</v>
      </c>
    </row>
    <row r="8" spans="1:4" s="130" customFormat="1" ht="33.75" customHeight="1">
      <c r="A8" s="133">
        <v>6</v>
      </c>
      <c r="B8" s="214" t="s">
        <v>9</v>
      </c>
      <c r="C8" s="134" t="s">
        <v>10</v>
      </c>
    </row>
    <row r="9" spans="1:4" s="130" customFormat="1" ht="33.75" customHeight="1">
      <c r="A9" s="133">
        <v>7</v>
      </c>
      <c r="B9" s="215"/>
      <c r="C9" s="134" t="s">
        <v>316</v>
      </c>
    </row>
    <row r="10" spans="1:4" s="130" customFormat="1" ht="33.75" customHeight="1">
      <c r="A10" s="133">
        <v>8</v>
      </c>
      <c r="B10" s="215"/>
      <c r="C10" s="135" t="s">
        <v>11</v>
      </c>
    </row>
    <row r="11" spans="1:4" s="130" customFormat="1" ht="33.75" customHeight="1">
      <c r="A11" s="133">
        <v>9</v>
      </c>
      <c r="B11" s="215"/>
      <c r="C11" s="297" t="s">
        <v>12</v>
      </c>
    </row>
    <row r="12" spans="1:4" s="130" customFormat="1" ht="33.75" customHeight="1">
      <c r="A12" s="133">
        <v>10</v>
      </c>
      <c r="B12" s="136" t="s">
        <v>13</v>
      </c>
      <c r="C12" s="134" t="s">
        <v>14</v>
      </c>
    </row>
    <row r="13" spans="1:4" ht="33.75" customHeight="1"/>
    <row r="14" spans="1:4" ht="33.75" customHeight="1"/>
    <row r="15" spans="1:4" ht="33.75" customHeight="1">
      <c r="C15" s="13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I19" sqref="I19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20" t="s">
        <v>138</v>
      </c>
      <c r="B1" s="220"/>
      <c r="C1" s="224" t="s">
        <v>268</v>
      </c>
      <c r="D1" s="225"/>
      <c r="E1" s="225"/>
      <c r="F1" s="225"/>
      <c r="G1" s="225"/>
      <c r="H1" s="225"/>
      <c r="I1" s="226"/>
    </row>
    <row r="2" spans="1:38">
      <c r="A2" s="220" t="s">
        <v>139</v>
      </c>
      <c r="B2" s="220"/>
      <c r="C2" s="227" t="str">
        <f>'2023年'!C2:I2</f>
        <v>北汽</v>
      </c>
      <c r="D2" s="227"/>
      <c r="E2" s="227"/>
      <c r="F2" s="227"/>
      <c r="G2" s="227"/>
      <c r="H2" s="227"/>
      <c r="I2" s="227"/>
    </row>
    <row r="3" spans="1:38" ht="42.75">
      <c r="A3" s="220" t="s">
        <v>140</v>
      </c>
      <c r="B3" s="220"/>
      <c r="C3" s="149" t="str">
        <f>'2023年'!C3</f>
        <v>左后盖 ABDECKUNG LI FHS2500 CHN</v>
      </c>
      <c r="D3" s="185" t="str">
        <f>'2023年'!D3</f>
        <v>左后盖装饰盖 ABDECKUNG UT LI CHN</v>
      </c>
      <c r="E3" s="185" t="str">
        <f>'2023年'!E3</f>
        <v>左后盖装饰盖 ABDECKUNG UT LI CHN</v>
      </c>
      <c r="F3" s="185" t="str">
        <f>'2023年'!F3</f>
        <v>右后盖 ABDECKUNG RE FHS2500 CHN</v>
      </c>
      <c r="G3" s="185" t="str">
        <f>'2023年'!G3</f>
        <v>右后盖装饰盖 ABDECKUNG UT RE CHN</v>
      </c>
      <c r="H3" s="185" t="str">
        <f>'2023年'!H3</f>
        <v>右后盖装饰盖 ABDECKUNG UT RE CHN</v>
      </c>
      <c r="I3" s="221" t="s">
        <v>16</v>
      </c>
    </row>
    <row r="4" spans="1:38">
      <c r="A4" s="220" t="s">
        <v>141</v>
      </c>
      <c r="B4" s="220"/>
      <c r="C4" s="149" t="str">
        <f>'2023年'!C4</f>
        <v>A9608118007-2</v>
      </c>
      <c r="D4" s="149" t="str">
        <f>'2023年'!D4</f>
        <v>A9608118207-2</v>
      </c>
      <c r="E4" s="149" t="str">
        <f>'2023年'!E4</f>
        <v>A9608118207-3</v>
      </c>
      <c r="F4" s="149" t="str">
        <f>'2023年'!F4</f>
        <v>A9608118107-2</v>
      </c>
      <c r="G4" s="149" t="str">
        <f>'2023年'!G4</f>
        <v>A9608118307-2</v>
      </c>
      <c r="H4" s="149" t="str">
        <f>'2023年'!H4</f>
        <v>A9608118307-3</v>
      </c>
      <c r="I4" s="222"/>
    </row>
    <row r="5" spans="1:38">
      <c r="A5" s="220" t="s">
        <v>142</v>
      </c>
      <c r="B5" s="220"/>
      <c r="C5" s="49"/>
      <c r="D5" s="182"/>
      <c r="E5" s="182"/>
      <c r="F5" s="182"/>
      <c r="G5" s="182"/>
      <c r="H5" s="182"/>
      <c r="I5" s="223"/>
      <c r="AL5" s="46" t="s">
        <v>17</v>
      </c>
    </row>
    <row r="6" spans="1:38" ht="17.25">
      <c r="A6" s="50" t="s">
        <v>15</v>
      </c>
      <c r="B6" s="51" t="s">
        <v>143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>SUM(C6:H6)</f>
        <v>0</v>
      </c>
      <c r="T6" s="51" t="s">
        <v>3</v>
      </c>
      <c r="AJ6" s="50" t="s">
        <v>15</v>
      </c>
      <c r="AK6" s="51" t="s">
        <v>3</v>
      </c>
      <c r="AL6" s="46" t="s">
        <v>18</v>
      </c>
    </row>
    <row r="7" spans="1:38">
      <c r="A7" s="181">
        <v>1</v>
      </c>
      <c r="B7" s="51" t="s">
        <v>19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>SUM(C7:H7)</f>
        <v>0</v>
      </c>
      <c r="J7" s="47"/>
      <c r="T7" s="51" t="s">
        <v>19</v>
      </c>
      <c r="AJ7" s="50" t="s">
        <v>20</v>
      </c>
      <c r="AK7" s="51" t="s">
        <v>19</v>
      </c>
      <c r="AL7" s="46" t="s">
        <v>18</v>
      </c>
    </row>
    <row r="8" spans="1:38">
      <c r="A8" s="181">
        <v>2</v>
      </c>
      <c r="B8" s="181" t="s">
        <v>21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>SUM(C8:H8)</f>
        <v>0</v>
      </c>
      <c r="J8" s="67"/>
      <c r="T8" s="181" t="s">
        <v>23</v>
      </c>
      <c r="AJ8" s="50" t="s">
        <v>22</v>
      </c>
      <c r="AK8" s="181" t="s">
        <v>23</v>
      </c>
      <c r="AL8" s="46" t="s">
        <v>18</v>
      </c>
    </row>
    <row r="9" spans="1:38">
      <c r="A9" s="181">
        <v>3</v>
      </c>
      <c r="B9" s="51" t="s">
        <v>24</v>
      </c>
      <c r="C9" s="52">
        <f>+C7-C8</f>
        <v>0</v>
      </c>
      <c r="D9" s="52">
        <f t="shared" ref="D9:H9" si="0">+D7-D8</f>
        <v>0</v>
      </c>
      <c r="E9" s="52">
        <f t="shared" si="0"/>
        <v>0</v>
      </c>
      <c r="F9" s="52">
        <f t="shared" si="0"/>
        <v>0</v>
      </c>
      <c r="G9" s="52">
        <f t="shared" si="0"/>
        <v>0</v>
      </c>
      <c r="H9" s="52">
        <f t="shared" si="0"/>
        <v>0</v>
      </c>
      <c r="I9" s="52">
        <f>SUM(C9:H9)</f>
        <v>0</v>
      </c>
      <c r="T9" s="51" t="s">
        <v>24</v>
      </c>
      <c r="AJ9" s="50" t="s">
        <v>25</v>
      </c>
      <c r="AK9" s="51" t="s">
        <v>24</v>
      </c>
      <c r="AL9" s="46" t="s">
        <v>26</v>
      </c>
    </row>
    <row r="10" spans="1:38">
      <c r="A10" s="181">
        <v>4</v>
      </c>
      <c r="B10" s="50" t="s">
        <v>27</v>
      </c>
      <c r="C10" s="52">
        <f>C6*C33</f>
        <v>0</v>
      </c>
      <c r="D10" s="52">
        <f t="shared" ref="D10:H10" si="1">D6*D33</f>
        <v>0</v>
      </c>
      <c r="E10" s="52">
        <f t="shared" si="1"/>
        <v>0</v>
      </c>
      <c r="F10" s="52">
        <f t="shared" si="1"/>
        <v>0</v>
      </c>
      <c r="G10" s="52">
        <f t="shared" si="1"/>
        <v>0</v>
      </c>
      <c r="H10" s="52">
        <f t="shared" si="1"/>
        <v>0</v>
      </c>
      <c r="I10" s="52">
        <f>SUM(C10:H10)</f>
        <v>0</v>
      </c>
      <c r="T10" s="50" t="s">
        <v>27</v>
      </c>
      <c r="AJ10" s="50" t="s">
        <v>28</v>
      </c>
      <c r="AK10" s="50" t="s">
        <v>27</v>
      </c>
      <c r="AL10" s="46" t="s">
        <v>29</v>
      </c>
    </row>
    <row r="11" spans="1:38">
      <c r="A11" s="181">
        <v>5</v>
      </c>
      <c r="B11" s="50" t="s">
        <v>30</v>
      </c>
      <c r="C11" s="52">
        <f>+C6*C36</f>
        <v>0</v>
      </c>
      <c r="D11" s="52">
        <f t="shared" ref="D11:H11" si="2">+D6*D36</f>
        <v>0</v>
      </c>
      <c r="E11" s="52">
        <f t="shared" si="2"/>
        <v>0</v>
      </c>
      <c r="F11" s="52">
        <f t="shared" si="2"/>
        <v>0</v>
      </c>
      <c r="G11" s="52">
        <f t="shared" si="2"/>
        <v>0</v>
      </c>
      <c r="H11" s="52">
        <f t="shared" si="2"/>
        <v>0</v>
      </c>
      <c r="I11" s="52">
        <f>SUM(C11:H11)</f>
        <v>0</v>
      </c>
      <c r="T11" s="50" t="s">
        <v>30</v>
      </c>
      <c r="AJ11" s="50" t="s">
        <v>31</v>
      </c>
      <c r="AK11" s="50" t="s">
        <v>30</v>
      </c>
    </row>
    <row r="12" spans="1:38">
      <c r="A12" s="181">
        <v>6</v>
      </c>
      <c r="B12" s="50" t="s">
        <v>32</v>
      </c>
      <c r="C12" s="52">
        <f>+C6*C37</f>
        <v>0</v>
      </c>
      <c r="D12" s="52">
        <f t="shared" ref="D12:H12" si="3">+D6*D37</f>
        <v>0</v>
      </c>
      <c r="E12" s="52">
        <f t="shared" si="3"/>
        <v>0</v>
      </c>
      <c r="F12" s="52">
        <f t="shared" si="3"/>
        <v>0</v>
      </c>
      <c r="G12" s="52">
        <f t="shared" si="3"/>
        <v>0</v>
      </c>
      <c r="H12" s="52">
        <f t="shared" si="3"/>
        <v>0</v>
      </c>
      <c r="I12" s="52">
        <f>SUM(C12:H12)</f>
        <v>0</v>
      </c>
      <c r="T12" s="50" t="s">
        <v>32</v>
      </c>
      <c r="AJ12" s="50" t="s">
        <v>33</v>
      </c>
      <c r="AK12" s="50" t="s">
        <v>32</v>
      </c>
    </row>
    <row r="13" spans="1:38">
      <c r="A13" s="181">
        <v>7</v>
      </c>
      <c r="B13" s="50" t="s">
        <v>34</v>
      </c>
      <c r="C13" s="52">
        <f>+C6*C38</f>
        <v>0</v>
      </c>
      <c r="D13" s="52">
        <f t="shared" ref="D13:H13" si="4">+D6*D38</f>
        <v>0</v>
      </c>
      <c r="E13" s="52">
        <f t="shared" si="4"/>
        <v>0</v>
      </c>
      <c r="F13" s="52">
        <f t="shared" si="4"/>
        <v>0</v>
      </c>
      <c r="G13" s="52">
        <f t="shared" si="4"/>
        <v>0</v>
      </c>
      <c r="H13" s="52">
        <f t="shared" si="4"/>
        <v>0</v>
      </c>
      <c r="I13" s="52">
        <f>SUM(C13:H13)</f>
        <v>0</v>
      </c>
      <c r="T13" s="50" t="s">
        <v>34</v>
      </c>
      <c r="AJ13" s="50" t="s">
        <v>35</v>
      </c>
      <c r="AK13" s="50" t="s">
        <v>34</v>
      </c>
      <c r="AL13" s="46" t="s">
        <v>18</v>
      </c>
    </row>
    <row r="14" spans="1:38">
      <c r="A14" s="181">
        <v>8</v>
      </c>
      <c r="B14" s="53" t="s">
        <v>36</v>
      </c>
      <c r="C14" s="52">
        <f>SUM(C11:C13)</f>
        <v>0</v>
      </c>
      <c r="D14" s="52">
        <f t="shared" ref="D14:H14" si="5">SUM(D11:D13)</f>
        <v>0</v>
      </c>
      <c r="E14" s="52">
        <f t="shared" si="5"/>
        <v>0</v>
      </c>
      <c r="F14" s="52">
        <f t="shared" si="5"/>
        <v>0</v>
      </c>
      <c r="G14" s="52">
        <f t="shared" si="5"/>
        <v>0</v>
      </c>
      <c r="H14" s="52">
        <f t="shared" si="5"/>
        <v>0</v>
      </c>
      <c r="I14" s="52">
        <f>SUM(C14:H14)</f>
        <v>0</v>
      </c>
      <c r="T14" s="53" t="s">
        <v>36</v>
      </c>
      <c r="AJ14" s="50" t="s">
        <v>37</v>
      </c>
      <c r="AK14" s="53" t="s">
        <v>36</v>
      </c>
    </row>
    <row r="15" spans="1:38">
      <c r="A15" s="181">
        <v>9</v>
      </c>
      <c r="B15" s="53" t="s">
        <v>38</v>
      </c>
      <c r="C15" s="52">
        <f>+C9-C10-C14</f>
        <v>0</v>
      </c>
      <c r="D15" s="52">
        <f t="shared" ref="D15:H15" si="6">+D9-D10-D14</f>
        <v>0</v>
      </c>
      <c r="E15" s="52">
        <f t="shared" si="6"/>
        <v>0</v>
      </c>
      <c r="F15" s="52">
        <f t="shared" si="6"/>
        <v>0</v>
      </c>
      <c r="G15" s="52">
        <f t="shared" si="6"/>
        <v>0</v>
      </c>
      <c r="H15" s="52">
        <f t="shared" si="6"/>
        <v>0</v>
      </c>
      <c r="I15" s="52">
        <f>SUM(C15:H15)</f>
        <v>0</v>
      </c>
      <c r="T15" s="53" t="s">
        <v>38</v>
      </c>
      <c r="AJ15" s="50" t="s">
        <v>39</v>
      </c>
      <c r="AK15" s="53" t="s">
        <v>38</v>
      </c>
    </row>
    <row r="16" spans="1:38">
      <c r="A16" s="181">
        <v>10</v>
      </c>
      <c r="B16" s="50" t="s">
        <v>40</v>
      </c>
      <c r="C16" s="54" t="e">
        <f>+C15/C9</f>
        <v>#DIV/0!</v>
      </c>
      <c r="D16" s="54" t="e">
        <f t="shared" ref="D16:H16" si="7">+D15/D9</f>
        <v>#DIV/0!</v>
      </c>
      <c r="E16" s="54" t="e">
        <f t="shared" si="7"/>
        <v>#DIV/0!</v>
      </c>
      <c r="F16" s="54" t="e">
        <f t="shared" si="7"/>
        <v>#DIV/0!</v>
      </c>
      <c r="G16" s="54" t="e">
        <f t="shared" si="7"/>
        <v>#DIV/0!</v>
      </c>
      <c r="H16" s="54" t="e">
        <f t="shared" si="7"/>
        <v>#DIV/0!</v>
      </c>
      <c r="I16" s="54" t="e">
        <f t="shared" ref="I16" si="8">+I15/I9</f>
        <v>#DIV/0!</v>
      </c>
      <c r="T16" s="50" t="s">
        <v>40</v>
      </c>
      <c r="AJ16" s="50" t="s">
        <v>41</v>
      </c>
      <c r="AK16" s="50" t="s">
        <v>40</v>
      </c>
    </row>
    <row r="17" spans="1:38">
      <c r="A17" s="181">
        <v>11</v>
      </c>
      <c r="B17" s="50" t="s">
        <v>42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42</v>
      </c>
      <c r="AJ17" s="50" t="s">
        <v>43</v>
      </c>
      <c r="AK17" s="50" t="s">
        <v>42</v>
      </c>
    </row>
    <row r="18" spans="1:38" s="44" customFormat="1">
      <c r="A18" s="181">
        <v>12</v>
      </c>
      <c r="B18" s="55" t="s">
        <v>144</v>
      </c>
      <c r="C18" s="315" t="e">
        <f>$I$18/$I$9*C9</f>
        <v>#DIV/0!</v>
      </c>
      <c r="D18" s="315" t="e">
        <f t="shared" ref="D18:H18" si="10">$I$18/$I$9*D9</f>
        <v>#DIV/0!</v>
      </c>
      <c r="E18" s="315" t="e">
        <f t="shared" si="10"/>
        <v>#DIV/0!</v>
      </c>
      <c r="F18" s="315" t="e">
        <f t="shared" si="10"/>
        <v>#DIV/0!</v>
      </c>
      <c r="G18" s="315" t="e">
        <f t="shared" si="10"/>
        <v>#DIV/0!</v>
      </c>
      <c r="H18" s="315" t="e">
        <f t="shared" si="10"/>
        <v>#DIV/0!</v>
      </c>
      <c r="I18" s="56">
        <f>项目投资!J26</f>
        <v>0</v>
      </c>
      <c r="J18" s="68" t="s">
        <v>145</v>
      </c>
      <c r="K18" s="68"/>
      <c r="L18" s="68"/>
    </row>
    <row r="19" spans="1:38">
      <c r="A19" s="181">
        <v>13</v>
      </c>
      <c r="B19" s="50" t="s">
        <v>44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44</v>
      </c>
      <c r="AJ19" s="50" t="s">
        <v>45</v>
      </c>
      <c r="AK19" s="50" t="s">
        <v>44</v>
      </c>
      <c r="AL19" s="46" t="s">
        <v>18</v>
      </c>
    </row>
    <row r="20" spans="1:38">
      <c r="A20" s="181">
        <v>14</v>
      </c>
      <c r="B20" s="50" t="s">
        <v>46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46</v>
      </c>
      <c r="AJ20" s="50" t="s">
        <v>47</v>
      </c>
      <c r="AK20" s="50" t="s">
        <v>46</v>
      </c>
    </row>
    <row r="21" spans="1:38">
      <c r="A21" s="181">
        <v>15</v>
      </c>
      <c r="B21" s="50" t="s">
        <v>48</v>
      </c>
      <c r="C21" s="57" t="e">
        <f>$I$21/$I$6*C6</f>
        <v>#DIV/0!</v>
      </c>
      <c r="D21" s="57" t="e">
        <f>$I$21/$I$6*D6</f>
        <v>#DIV/0!</v>
      </c>
      <c r="E21" s="57" t="e">
        <f>$I$21/$I$6*E6</f>
        <v>#DIV/0!</v>
      </c>
      <c r="F21" s="57" t="e">
        <f>$I$21/$I$6*F6</f>
        <v>#DIV/0!</v>
      </c>
      <c r="G21" s="57" t="e">
        <f>$I$21/$I$6*G6</f>
        <v>#DIV/0!</v>
      </c>
      <c r="H21" s="57" t="e">
        <f>$I$21/$I$6*H6</f>
        <v>#DIV/0!</v>
      </c>
      <c r="I21" s="52">
        <f>项目投资!D27</f>
        <v>0</v>
      </c>
      <c r="T21" s="50" t="s">
        <v>48</v>
      </c>
      <c r="AJ21" s="50"/>
      <c r="AK21" s="50"/>
    </row>
    <row r="22" spans="1:38">
      <c r="A22" s="181">
        <v>16</v>
      </c>
      <c r="B22" s="50" t="s">
        <v>49</v>
      </c>
      <c r="C22" s="52">
        <f>C6*C47</f>
        <v>0</v>
      </c>
      <c r="D22" s="52">
        <f t="shared" ref="D22:H22" si="13">D6*D47</f>
        <v>0</v>
      </c>
      <c r="E22" s="52">
        <f t="shared" si="13"/>
        <v>0</v>
      </c>
      <c r="F22" s="52">
        <f t="shared" si="13"/>
        <v>0</v>
      </c>
      <c r="G22" s="52">
        <f t="shared" si="13"/>
        <v>0</v>
      </c>
      <c r="H22" s="52">
        <f t="shared" si="13"/>
        <v>0</v>
      </c>
      <c r="I22" s="52">
        <f>SUM(C22:H22)</f>
        <v>0</v>
      </c>
      <c r="T22" s="50" t="s">
        <v>49</v>
      </c>
      <c r="AJ22" s="50" t="s">
        <v>50</v>
      </c>
      <c r="AK22" s="50" t="s">
        <v>49</v>
      </c>
    </row>
    <row r="23" spans="1:38">
      <c r="A23" s="181">
        <v>17</v>
      </c>
      <c r="B23" s="53" t="s">
        <v>51</v>
      </c>
      <c r="C23" s="57" t="e">
        <f>+C22+C21+C20+C19+C17</f>
        <v>#DIV/0!</v>
      </c>
      <c r="D23" s="57" t="e">
        <f t="shared" ref="D23:H23" si="14">+D22+D21+D20+D19+D17</f>
        <v>#DIV/0!</v>
      </c>
      <c r="E23" s="57" t="e">
        <f t="shared" si="14"/>
        <v>#DIV/0!</v>
      </c>
      <c r="F23" s="57" t="e">
        <f t="shared" si="14"/>
        <v>#DIV/0!</v>
      </c>
      <c r="G23" s="57" t="e">
        <f t="shared" si="14"/>
        <v>#DIV/0!</v>
      </c>
      <c r="H23" s="57" t="e">
        <f t="shared" si="14"/>
        <v>#DIV/0!</v>
      </c>
      <c r="I23" s="57" t="e">
        <f t="shared" ref="I23" si="15">+I22+I21+I20+I19+I17</f>
        <v>#DIV/0!</v>
      </c>
      <c r="T23" s="53" t="s">
        <v>51</v>
      </c>
      <c r="AJ23" s="50" t="s">
        <v>52</v>
      </c>
      <c r="AK23" s="53" t="s">
        <v>51</v>
      </c>
    </row>
    <row r="24" spans="1:38">
      <c r="A24" s="181">
        <v>18</v>
      </c>
      <c r="B24" s="58" t="s">
        <v>53</v>
      </c>
      <c r="C24" s="57" t="e">
        <f>+C15-C23</f>
        <v>#DIV/0!</v>
      </c>
      <c r="D24" s="57" t="e">
        <f t="shared" ref="D24:H24" si="16">+D15-D23</f>
        <v>#DIV/0!</v>
      </c>
      <c r="E24" s="57" t="e">
        <f t="shared" si="16"/>
        <v>#DIV/0!</v>
      </c>
      <c r="F24" s="57" t="e">
        <f t="shared" si="16"/>
        <v>#DIV/0!</v>
      </c>
      <c r="G24" s="57" t="e">
        <f t="shared" si="16"/>
        <v>#DIV/0!</v>
      </c>
      <c r="H24" s="57" t="e">
        <f t="shared" si="16"/>
        <v>#DIV/0!</v>
      </c>
      <c r="I24" s="57" t="e">
        <f t="shared" ref="I24" si="17">+I15-I23</f>
        <v>#DIV/0!</v>
      </c>
      <c r="K24" s="69"/>
      <c r="T24" s="50" t="s">
        <v>53</v>
      </c>
      <c r="AJ24" s="50" t="s">
        <v>54</v>
      </c>
      <c r="AK24" s="50" t="s">
        <v>53</v>
      </c>
    </row>
    <row r="25" spans="1:38">
      <c r="A25" s="181">
        <v>19</v>
      </c>
      <c r="B25" s="50" t="s">
        <v>242</v>
      </c>
      <c r="C25" s="57" t="e">
        <f>IF(C24&lt;0,0,C24*0.15)</f>
        <v>#DIV/0!</v>
      </c>
      <c r="D25" s="57" t="e">
        <f t="shared" ref="D25:H25" si="18">IF(D24&lt;0,0,D24*0.15)</f>
        <v>#DIV/0!</v>
      </c>
      <c r="E25" s="57" t="e">
        <f t="shared" si="18"/>
        <v>#DIV/0!</v>
      </c>
      <c r="F25" s="57" t="e">
        <f t="shared" si="18"/>
        <v>#DIV/0!</v>
      </c>
      <c r="G25" s="57" t="e">
        <f t="shared" si="18"/>
        <v>#DIV/0!</v>
      </c>
      <c r="H25" s="57" t="e">
        <f t="shared" si="18"/>
        <v>#DIV/0!</v>
      </c>
      <c r="I25" s="57" t="e">
        <f>IF(I24&lt;0,0,I24*0.15)</f>
        <v>#DIV/0!</v>
      </c>
      <c r="J25" s="65"/>
      <c r="K25" s="65"/>
      <c r="L25" s="65"/>
      <c r="T25" s="50" t="s">
        <v>55</v>
      </c>
      <c r="AJ25" s="50" t="s">
        <v>56</v>
      </c>
      <c r="AK25" s="50" t="s">
        <v>55</v>
      </c>
    </row>
    <row r="26" spans="1:38">
      <c r="A26" s="181">
        <v>20</v>
      </c>
      <c r="B26" s="50" t="s">
        <v>57</v>
      </c>
      <c r="C26" s="57" t="e">
        <f t="shared" ref="C26:H26" si="19">C24-C25</f>
        <v>#DIV/0!</v>
      </c>
      <c r="D26" s="57" t="e">
        <f t="shared" si="19"/>
        <v>#DIV/0!</v>
      </c>
      <c r="E26" s="57" t="e">
        <f t="shared" si="19"/>
        <v>#DIV/0!</v>
      </c>
      <c r="F26" s="57" t="e">
        <f t="shared" si="19"/>
        <v>#DIV/0!</v>
      </c>
      <c r="G26" s="57" t="e">
        <f t="shared" si="19"/>
        <v>#DIV/0!</v>
      </c>
      <c r="H26" s="57" t="e">
        <f t="shared" si="19"/>
        <v>#DIV/0!</v>
      </c>
      <c r="I26" s="52" t="e">
        <f>+SUM(C26:H26)</f>
        <v>#DIV/0!</v>
      </c>
      <c r="J26" s="65"/>
      <c r="K26" s="65"/>
      <c r="L26" s="65"/>
      <c r="T26" s="50" t="s">
        <v>57</v>
      </c>
      <c r="AJ26" s="50" t="s">
        <v>58</v>
      </c>
      <c r="AK26" s="50" t="s">
        <v>57</v>
      </c>
    </row>
    <row r="27" spans="1:38">
      <c r="A27" s="181">
        <v>21</v>
      </c>
      <c r="B27" s="50" t="s">
        <v>61</v>
      </c>
      <c r="C27" s="59" t="e">
        <f t="shared" ref="C27:I27" si="20">C26/C7</f>
        <v>#DIV/0!</v>
      </c>
      <c r="D27" s="59" t="e">
        <f t="shared" ref="D27:H27" si="21">D26/D7</f>
        <v>#DIV/0!</v>
      </c>
      <c r="E27" s="59" t="e">
        <f t="shared" si="21"/>
        <v>#DIV/0!</v>
      </c>
      <c r="F27" s="59" t="e">
        <f t="shared" si="21"/>
        <v>#DIV/0!</v>
      </c>
      <c r="G27" s="59" t="e">
        <f t="shared" si="21"/>
        <v>#DIV/0!</v>
      </c>
      <c r="H27" s="59" t="e">
        <f t="shared" si="21"/>
        <v>#DIV/0!</v>
      </c>
      <c r="I27" s="59" t="e">
        <f t="shared" si="20"/>
        <v>#DIV/0!</v>
      </c>
      <c r="J27" s="65"/>
      <c r="K27" s="65"/>
      <c r="L27" s="65"/>
      <c r="T27" s="50" t="s">
        <v>61</v>
      </c>
      <c r="AJ27" s="50" t="s">
        <v>60</v>
      </c>
      <c r="AK27" s="50" t="s">
        <v>61</v>
      </c>
    </row>
    <row r="28" spans="1:38">
      <c r="J28" s="65"/>
      <c r="K28" s="65"/>
      <c r="L28" s="65"/>
      <c r="T28" s="50"/>
    </row>
    <row r="29" spans="1:38">
      <c r="A29" s="46" t="s">
        <v>62</v>
      </c>
      <c r="I29" s="47" t="s">
        <v>147</v>
      </c>
      <c r="J29" s="65"/>
      <c r="K29" s="65"/>
      <c r="L29" s="65"/>
      <c r="T29" s="50"/>
      <c r="AJ29" s="46" t="s">
        <v>62</v>
      </c>
    </row>
    <row r="30" spans="1:38">
      <c r="A30" s="50" t="s">
        <v>63</v>
      </c>
      <c r="B30" s="53" t="s">
        <v>64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64</v>
      </c>
      <c r="AJ30" s="50" t="s">
        <v>65</v>
      </c>
      <c r="AK30" s="53" t="s">
        <v>64</v>
      </c>
    </row>
    <row r="31" spans="1:38">
      <c r="A31" s="181">
        <v>1</v>
      </c>
      <c r="B31" s="55" t="s">
        <v>66</v>
      </c>
      <c r="C31" s="61">
        <f>销量!C8</f>
        <v>85</v>
      </c>
      <c r="D31" s="61">
        <f>销量!D8</f>
        <v>35</v>
      </c>
      <c r="E31" s="61">
        <f>销量!E8</f>
        <v>45</v>
      </c>
      <c r="F31" s="61">
        <f>销量!F8</f>
        <v>85</v>
      </c>
      <c r="G31" s="61">
        <f>销量!G8</f>
        <v>35</v>
      </c>
      <c r="H31" s="61">
        <f>销量!H8</f>
        <v>45</v>
      </c>
      <c r="I31" s="57"/>
      <c r="J31" s="65"/>
      <c r="K31" s="65"/>
      <c r="L31" s="65"/>
      <c r="N31" s="65"/>
      <c r="T31" s="50" t="s">
        <v>66</v>
      </c>
      <c r="AJ31" s="50" t="s">
        <v>20</v>
      </c>
      <c r="AK31" s="50" t="s">
        <v>66</v>
      </c>
    </row>
    <row r="32" spans="1:38">
      <c r="A32" s="181">
        <v>2</v>
      </c>
      <c r="B32" s="50" t="s">
        <v>148</v>
      </c>
      <c r="C32" s="52" t="e">
        <f>C9/C6</f>
        <v>#DIV/0!</v>
      </c>
      <c r="D32" s="52" t="e">
        <f t="shared" ref="D32:H32" si="22">D9/D6</f>
        <v>#DIV/0!</v>
      </c>
      <c r="E32" s="52" t="e">
        <f t="shared" si="22"/>
        <v>#DIV/0!</v>
      </c>
      <c r="F32" s="52" t="e">
        <f t="shared" si="22"/>
        <v>#DIV/0!</v>
      </c>
      <c r="G32" s="52" t="e">
        <f t="shared" si="22"/>
        <v>#DIV/0!</v>
      </c>
      <c r="H32" s="52" t="e">
        <f t="shared" si="22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81">
        <v>3</v>
      </c>
      <c r="B33" s="55" t="s">
        <v>67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67</v>
      </c>
      <c r="AJ33" s="50" t="s">
        <v>22</v>
      </c>
      <c r="AK33" s="50" t="s">
        <v>67</v>
      </c>
    </row>
    <row r="34" spans="1:37" ht="17.25" customHeight="1">
      <c r="A34" s="181">
        <v>4</v>
      </c>
      <c r="B34" s="50" t="s">
        <v>69</v>
      </c>
      <c r="C34" s="62" t="e">
        <f>C32-C33</f>
        <v>#DIV/0!</v>
      </c>
      <c r="D34" s="62" t="e">
        <f t="shared" ref="D34:H34" si="23">D32-D33</f>
        <v>#DIV/0!</v>
      </c>
      <c r="E34" s="62" t="e">
        <f t="shared" si="23"/>
        <v>#DIV/0!</v>
      </c>
      <c r="F34" s="62" t="e">
        <f t="shared" si="23"/>
        <v>#DIV/0!</v>
      </c>
      <c r="G34" s="62" t="e">
        <f t="shared" si="23"/>
        <v>#DIV/0!</v>
      </c>
      <c r="H34" s="62" t="e">
        <f t="shared" si="23"/>
        <v>#DIV/0!</v>
      </c>
      <c r="I34" s="57"/>
      <c r="K34" s="65"/>
      <c r="L34" s="65"/>
      <c r="M34" s="65"/>
      <c r="N34" s="65"/>
      <c r="O34" s="65"/>
      <c r="P34" s="65"/>
      <c r="T34" s="50" t="s">
        <v>69</v>
      </c>
      <c r="AJ34" s="50" t="s">
        <v>68</v>
      </c>
      <c r="AK34" s="50" t="s">
        <v>69</v>
      </c>
    </row>
    <row r="35" spans="1:37">
      <c r="A35" s="50" t="s">
        <v>65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71</v>
      </c>
      <c r="AK35" s="53" t="s">
        <v>8</v>
      </c>
    </row>
    <row r="36" spans="1:37">
      <c r="A36" s="181">
        <v>1</v>
      </c>
      <c r="B36" s="50" t="s">
        <v>72</v>
      </c>
      <c r="C36" s="56">
        <f>'2023年'!C36</f>
        <v>0</v>
      </c>
      <c r="D36" s="56">
        <f>'2023年'!D36</f>
        <v>0</v>
      </c>
      <c r="E36" s="56">
        <f>'2023年'!H36</f>
        <v>0</v>
      </c>
      <c r="F36" s="56">
        <f>'2024年'!F36</f>
        <v>0</v>
      </c>
      <c r="G36" s="56">
        <f>'2024年'!G36</f>
        <v>0</v>
      </c>
      <c r="H36" s="56">
        <f>'2024年'!H36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72</v>
      </c>
      <c r="AJ36" s="50" t="s">
        <v>68</v>
      </c>
      <c r="AK36" s="50" t="s">
        <v>72</v>
      </c>
    </row>
    <row r="37" spans="1:37">
      <c r="A37" s="181">
        <v>2</v>
      </c>
      <c r="B37" s="50" t="s">
        <v>73</v>
      </c>
      <c r="C37" s="56">
        <f>'2023年'!C37</f>
        <v>0</v>
      </c>
      <c r="D37" s="56">
        <f>'2023年'!D37</f>
        <v>0</v>
      </c>
      <c r="E37" s="56">
        <f>'2023年'!H37</f>
        <v>0</v>
      </c>
      <c r="F37" s="56">
        <f>'2024年'!F37</f>
        <v>0</v>
      </c>
      <c r="G37" s="56">
        <f>'2024年'!G37</f>
        <v>0</v>
      </c>
      <c r="H37" s="56">
        <f>'2024年'!H37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73</v>
      </c>
      <c r="AJ37" s="50" t="s">
        <v>25</v>
      </c>
      <c r="AK37" s="50" t="s">
        <v>73</v>
      </c>
    </row>
    <row r="38" spans="1:37">
      <c r="A38" s="181">
        <v>3</v>
      </c>
      <c r="B38" s="50" t="s">
        <v>74</v>
      </c>
      <c r="C38" s="56">
        <f>'2023年'!C38</f>
        <v>2.38</v>
      </c>
      <c r="D38" s="56">
        <f>'2023年'!D38</f>
        <v>0.98</v>
      </c>
      <c r="E38" s="56">
        <f>'2023年'!H38</f>
        <v>1.26</v>
      </c>
      <c r="F38" s="56">
        <f>'2024年'!F38</f>
        <v>2.38</v>
      </c>
      <c r="G38" s="56">
        <f>'2024年'!G38</f>
        <v>0.98</v>
      </c>
      <c r="H38" s="56">
        <f>'2024年'!H38</f>
        <v>1.26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74</v>
      </c>
      <c r="AJ38" s="50" t="s">
        <v>31</v>
      </c>
      <c r="AK38" s="50" t="s">
        <v>74</v>
      </c>
    </row>
    <row r="39" spans="1:37">
      <c r="A39" s="50" t="s">
        <v>71</v>
      </c>
      <c r="B39" s="53" t="s">
        <v>76</v>
      </c>
      <c r="C39" s="57"/>
      <c r="D39" s="57"/>
      <c r="E39" s="57"/>
      <c r="F39" s="57"/>
      <c r="G39" s="57"/>
      <c r="H39" s="57"/>
      <c r="I39" s="57"/>
      <c r="T39" s="53" t="s">
        <v>76</v>
      </c>
      <c r="AJ39" s="50" t="s">
        <v>75</v>
      </c>
      <c r="AK39" s="53" t="s">
        <v>76</v>
      </c>
    </row>
    <row r="40" spans="1:37">
      <c r="A40" s="181">
        <v>1</v>
      </c>
      <c r="B40" s="50" t="s">
        <v>78</v>
      </c>
      <c r="C40" s="57" t="e">
        <f>C34-C36-C37-C38</f>
        <v>#DIV/0!</v>
      </c>
      <c r="D40" s="57" t="e">
        <f t="shared" ref="D40:H40" si="24">D34-D36-D37-D38</f>
        <v>#DIV/0!</v>
      </c>
      <c r="E40" s="57" t="e">
        <f t="shared" si="24"/>
        <v>#DIV/0!</v>
      </c>
      <c r="F40" s="57" t="e">
        <f t="shared" si="24"/>
        <v>#DIV/0!</v>
      </c>
      <c r="G40" s="57" t="e">
        <f t="shared" si="24"/>
        <v>#DIV/0!</v>
      </c>
      <c r="H40" s="57" t="e">
        <f t="shared" si="24"/>
        <v>#DIV/0!</v>
      </c>
      <c r="I40" s="57"/>
      <c r="T40" s="50" t="s">
        <v>78</v>
      </c>
      <c r="AJ40" s="50" t="s">
        <v>20</v>
      </c>
      <c r="AK40" s="50" t="s">
        <v>78</v>
      </c>
    </row>
    <row r="41" spans="1:37">
      <c r="A41" s="181">
        <v>2</v>
      </c>
      <c r="B41" s="50" t="s">
        <v>79</v>
      </c>
      <c r="C41" s="57"/>
      <c r="D41" s="57"/>
      <c r="E41" s="57"/>
      <c r="F41" s="57"/>
      <c r="G41" s="57"/>
      <c r="H41" s="57"/>
      <c r="I41" s="57"/>
      <c r="T41" s="50" t="s">
        <v>79</v>
      </c>
      <c r="AJ41" s="50" t="s">
        <v>22</v>
      </c>
      <c r="AK41" s="50" t="s">
        <v>79</v>
      </c>
    </row>
    <row r="42" spans="1:37">
      <c r="A42" s="50" t="s">
        <v>75</v>
      </c>
      <c r="B42" s="53" t="s">
        <v>81</v>
      </c>
      <c r="C42" s="57"/>
      <c r="D42" s="57"/>
      <c r="E42" s="57"/>
      <c r="F42" s="57"/>
      <c r="G42" s="57"/>
      <c r="H42" s="57"/>
      <c r="I42" s="57"/>
      <c r="T42" s="53" t="s">
        <v>81</v>
      </c>
      <c r="AJ42" s="50" t="s">
        <v>80</v>
      </c>
      <c r="AK42" s="53" t="s">
        <v>81</v>
      </c>
    </row>
    <row r="43" spans="1:37">
      <c r="A43" s="181">
        <v>1</v>
      </c>
      <c r="B43" s="58" t="s">
        <v>82</v>
      </c>
      <c r="C43" s="56">
        <f>'2023年'!C43</f>
        <v>0</v>
      </c>
      <c r="D43" s="56">
        <f>'2023年'!D43</f>
        <v>0</v>
      </c>
      <c r="E43" s="56">
        <f>'2023年'!H43</f>
        <v>0</v>
      </c>
      <c r="F43" s="56">
        <f>'2024年'!F43</f>
        <v>0</v>
      </c>
      <c r="G43" s="56">
        <f>'2024年'!G43</f>
        <v>0</v>
      </c>
      <c r="H43" s="56">
        <f>'2024年'!H43</f>
        <v>0</v>
      </c>
      <c r="I43" s="57"/>
      <c r="T43" s="50" t="s">
        <v>82</v>
      </c>
      <c r="AJ43" s="50" t="s">
        <v>20</v>
      </c>
      <c r="AK43" s="50" t="s">
        <v>82</v>
      </c>
    </row>
    <row r="44" spans="1:37">
      <c r="A44" s="181">
        <v>2</v>
      </c>
      <c r="B44" s="58" t="s">
        <v>83</v>
      </c>
      <c r="C44" s="56">
        <f>'2023年'!C44</f>
        <v>1.7850000000000001</v>
      </c>
      <c r="D44" s="56">
        <f>'2023年'!D44</f>
        <v>0.7350000000000001</v>
      </c>
      <c r="E44" s="56">
        <f>'2023年'!H44</f>
        <v>0.94500000000000006</v>
      </c>
      <c r="F44" s="56">
        <f>'2024年'!F44</f>
        <v>1.7850000000000001</v>
      </c>
      <c r="G44" s="56">
        <f>'2024年'!G44</f>
        <v>0.7350000000000001</v>
      </c>
      <c r="H44" s="56">
        <f>'2024年'!H44</f>
        <v>0.94500000000000006</v>
      </c>
      <c r="I44" s="57"/>
      <c r="T44" s="50" t="s">
        <v>83</v>
      </c>
      <c r="AJ44" s="50" t="s">
        <v>22</v>
      </c>
      <c r="AK44" s="50" t="s">
        <v>83</v>
      </c>
    </row>
    <row r="45" spans="1:37">
      <c r="A45" s="181">
        <v>3</v>
      </c>
      <c r="B45" s="58" t="s">
        <v>84</v>
      </c>
      <c r="C45" s="56">
        <f>'2023年'!C45</f>
        <v>2.4650000000000003</v>
      </c>
      <c r="D45" s="56">
        <f>'2023年'!D45</f>
        <v>1.0150000000000001</v>
      </c>
      <c r="E45" s="56">
        <f>'2023年'!H45</f>
        <v>1.3050000000000002</v>
      </c>
      <c r="F45" s="56">
        <f>'2024年'!F45</f>
        <v>2.4650000000000003</v>
      </c>
      <c r="G45" s="56">
        <f>'2024年'!G45</f>
        <v>1.0150000000000001</v>
      </c>
      <c r="H45" s="56">
        <f>'2024年'!H45</f>
        <v>1.3050000000000002</v>
      </c>
      <c r="I45" s="57"/>
      <c r="T45" s="50" t="s">
        <v>84</v>
      </c>
      <c r="AJ45" s="50" t="s">
        <v>68</v>
      </c>
      <c r="AK45" s="50" t="s">
        <v>84</v>
      </c>
    </row>
    <row r="46" spans="1:37" s="45" customFormat="1">
      <c r="A46" s="181">
        <v>4</v>
      </c>
      <c r="B46" s="58" t="s">
        <v>85</v>
      </c>
      <c r="C46" s="63" t="e">
        <f>C21/C6</f>
        <v>#DIV/0!</v>
      </c>
      <c r="D46" s="63" t="e">
        <f t="shared" ref="D46:F46" si="25">D21/D6</f>
        <v>#DIV/0!</v>
      </c>
      <c r="E46" s="63" t="e">
        <f t="shared" si="25"/>
        <v>#DIV/0!</v>
      </c>
      <c r="F46" s="63" t="e">
        <f t="shared" si="25"/>
        <v>#DIV/0!</v>
      </c>
      <c r="G46" s="63" t="e">
        <f t="shared" ref="G46:H46" si="26">G21/G6</f>
        <v>#DIV/0!</v>
      </c>
      <c r="H46" s="63" t="e">
        <f t="shared" si="26"/>
        <v>#DIV/0!</v>
      </c>
      <c r="I46" s="63"/>
      <c r="T46" s="58" t="s">
        <v>87</v>
      </c>
      <c r="AJ46" s="58" t="s">
        <v>28</v>
      </c>
      <c r="AK46" s="58" t="s">
        <v>87</v>
      </c>
    </row>
    <row r="47" spans="1:37" s="45" customFormat="1">
      <c r="A47" s="181">
        <v>5</v>
      </c>
      <c r="B47" s="58" t="s">
        <v>87</v>
      </c>
      <c r="C47" s="63">
        <f>'2023年'!C47</f>
        <v>1.8105</v>
      </c>
      <c r="D47" s="63">
        <f>'2023年'!D47</f>
        <v>0.74549999999999994</v>
      </c>
      <c r="E47" s="63">
        <f>'2023年'!H47</f>
        <v>0.95850000000000002</v>
      </c>
      <c r="F47" s="63">
        <f>'2024年'!F47</f>
        <v>1.8105</v>
      </c>
      <c r="G47" s="63">
        <f>'2024年'!G47</f>
        <v>0.74549999999999994</v>
      </c>
      <c r="H47" s="63">
        <f>'2024年'!H47</f>
        <v>0.95850000000000002</v>
      </c>
      <c r="I47" s="63"/>
      <c r="T47" s="58" t="s">
        <v>87</v>
      </c>
      <c r="AJ47" s="58" t="s">
        <v>28</v>
      </c>
      <c r="AK47" s="58" t="s">
        <v>87</v>
      </c>
    </row>
    <row r="48" spans="1:37">
      <c r="A48" s="50" t="s">
        <v>80</v>
      </c>
      <c r="B48" s="53" t="s">
        <v>98</v>
      </c>
      <c r="C48" s="57" t="e">
        <f>C40-C43-C44-C45-C47-C46</f>
        <v>#DIV/0!</v>
      </c>
      <c r="D48" s="57" t="e">
        <f t="shared" ref="D48:F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ref="G48" si="28">G40-G43-G44-G45-G47-G46</f>
        <v>#DIV/0!</v>
      </c>
      <c r="H48" s="57" t="e">
        <f t="shared" ref="H48" si="29">H40-H43-H44-H45-H47-H46</f>
        <v>#DIV/0!</v>
      </c>
      <c r="I48" s="57"/>
      <c r="T48" s="53" t="s">
        <v>98</v>
      </c>
      <c r="AJ48" s="50" t="s">
        <v>97</v>
      </c>
      <c r="AK48" s="53" t="s">
        <v>98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18" activePane="bottomRight" state="frozen"/>
      <selection pane="topRight"/>
      <selection pane="bottomLeft"/>
      <selection pane="bottomRight" activeCell="D26" sqref="D26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9" ht="20.25">
      <c r="A1" s="231" t="s">
        <v>149</v>
      </c>
      <c r="B1" s="231"/>
      <c r="C1" s="231"/>
      <c r="E1" s="232" t="s">
        <v>282</v>
      </c>
      <c r="F1" s="233"/>
      <c r="G1" s="233"/>
      <c r="H1" s="234"/>
      <c r="I1" s="166"/>
    </row>
    <row r="2" spans="1:9" ht="23.45" customHeight="1">
      <c r="A2" s="25" t="s">
        <v>1</v>
      </c>
      <c r="B2" s="26" t="s">
        <v>150</v>
      </c>
      <c r="C2" s="27" t="s">
        <v>151</v>
      </c>
      <c r="E2" s="1" t="s">
        <v>152</v>
      </c>
      <c r="F2" s="1" t="s">
        <v>1</v>
      </c>
      <c r="G2" s="28" t="s">
        <v>153</v>
      </c>
      <c r="H2" s="1" t="s">
        <v>151</v>
      </c>
      <c r="I2" s="166"/>
    </row>
    <row r="3" spans="1:9" ht="15.75" customHeight="1">
      <c r="A3" s="29" t="s">
        <v>154</v>
      </c>
      <c r="B3" s="30"/>
      <c r="C3" s="31"/>
      <c r="E3" s="239" t="s">
        <v>155</v>
      </c>
      <c r="F3" s="2" t="s">
        <v>156</v>
      </c>
      <c r="G3" s="32"/>
      <c r="H3" s="245" t="s">
        <v>317</v>
      </c>
      <c r="I3" s="166"/>
    </row>
    <row r="4" spans="1:9" ht="15.75" customHeight="1">
      <c r="A4" s="29" t="s">
        <v>157</v>
      </c>
      <c r="B4" s="30"/>
      <c r="C4" s="33"/>
      <c r="E4" s="240"/>
      <c r="F4" s="2" t="s">
        <v>158</v>
      </c>
      <c r="G4" s="32"/>
      <c r="H4" s="246"/>
      <c r="I4" s="166"/>
    </row>
    <row r="5" spans="1:9" ht="15.75" customHeight="1">
      <c r="A5" s="29" t="s">
        <v>159</v>
      </c>
      <c r="B5" s="34">
        <f>SUM(G3:G4)</f>
        <v>0</v>
      </c>
      <c r="C5" s="31"/>
      <c r="E5" s="241" t="s">
        <v>160</v>
      </c>
      <c r="F5" s="35" t="s">
        <v>161</v>
      </c>
      <c r="G5" s="159">
        <v>126</v>
      </c>
      <c r="H5" s="246"/>
      <c r="I5" s="166"/>
    </row>
    <row r="6" spans="1:9" ht="15.75" customHeight="1">
      <c r="A6" s="29" t="s">
        <v>162</v>
      </c>
      <c r="B6" s="30"/>
      <c r="C6" s="31"/>
      <c r="E6" s="242"/>
      <c r="F6" s="35" t="s">
        <v>163</v>
      </c>
      <c r="G6" s="159"/>
      <c r="H6" s="246"/>
      <c r="I6" s="166"/>
    </row>
    <row r="7" spans="1:9" ht="15.75" customHeight="1">
      <c r="A7" s="36" t="s">
        <v>164</v>
      </c>
      <c r="B7" s="34">
        <f>SUM(B3:B6)</f>
        <v>0</v>
      </c>
      <c r="C7" s="31"/>
      <c r="E7" s="242"/>
      <c r="F7" s="35" t="s">
        <v>165</v>
      </c>
      <c r="G7" s="159"/>
      <c r="H7" s="246"/>
      <c r="I7" s="166"/>
    </row>
    <row r="8" spans="1:9" ht="15.75" customHeight="1">
      <c r="A8" s="37" t="s">
        <v>166</v>
      </c>
      <c r="B8" s="34">
        <f>SUM(G5:G12)</f>
        <v>126</v>
      </c>
      <c r="C8" s="38"/>
      <c r="E8" s="242"/>
      <c r="F8" s="35" t="s">
        <v>167</v>
      </c>
      <c r="G8" s="159"/>
      <c r="H8" s="246"/>
      <c r="I8" s="166"/>
    </row>
    <row r="9" spans="1:9" ht="15.75" customHeight="1">
      <c r="A9" s="29" t="s">
        <v>168</v>
      </c>
      <c r="B9" s="34">
        <v>0</v>
      </c>
      <c r="C9" s="33" t="s">
        <v>319</v>
      </c>
      <c r="E9" s="242"/>
      <c r="F9" s="2" t="s">
        <v>169</v>
      </c>
      <c r="G9" s="159"/>
      <c r="H9" s="246"/>
      <c r="I9" s="166"/>
    </row>
    <row r="10" spans="1:9" ht="15.75" customHeight="1">
      <c r="A10" s="33" t="s">
        <v>16</v>
      </c>
      <c r="B10" s="34">
        <f>B7+B8+B9</f>
        <v>126</v>
      </c>
      <c r="C10" s="31"/>
      <c r="E10" s="242"/>
      <c r="F10" s="2" t="s">
        <v>170</v>
      </c>
      <c r="G10" s="160"/>
      <c r="H10" s="246"/>
      <c r="I10" s="166"/>
    </row>
    <row r="11" spans="1:9" ht="15.75" customHeight="1">
      <c r="E11" s="242"/>
      <c r="F11" s="2" t="s">
        <v>171</v>
      </c>
      <c r="G11" s="160"/>
      <c r="H11" s="246"/>
      <c r="I11" s="166"/>
    </row>
    <row r="12" spans="1:9" ht="15.75" customHeight="1">
      <c r="E12" s="243"/>
      <c r="F12" s="2" t="s">
        <v>172</v>
      </c>
      <c r="G12" s="150"/>
      <c r="H12" s="247"/>
      <c r="I12" s="166"/>
    </row>
    <row r="13" spans="1:9" ht="15.75" customHeight="1">
      <c r="E13" s="239" t="s">
        <v>48</v>
      </c>
      <c r="F13" s="2" t="s">
        <v>173</v>
      </c>
      <c r="G13" s="159">
        <v>2</v>
      </c>
      <c r="H13" s="245" t="s">
        <v>318</v>
      </c>
      <c r="I13" s="166"/>
    </row>
    <row r="14" spans="1:9" ht="15.75" customHeight="1">
      <c r="E14" s="240"/>
      <c r="F14" s="2" t="s">
        <v>174</v>
      </c>
      <c r="G14" s="159">
        <v>1.5</v>
      </c>
      <c r="H14" s="246"/>
      <c r="I14" s="167"/>
    </row>
    <row r="15" spans="1:9" ht="15.75" customHeight="1">
      <c r="E15" s="240"/>
      <c r="F15" s="2" t="s">
        <v>175</v>
      </c>
      <c r="G15" s="159"/>
      <c r="H15" s="246"/>
      <c r="I15" s="167"/>
    </row>
    <row r="16" spans="1:9" ht="15.75" customHeight="1">
      <c r="E16" s="240"/>
      <c r="F16" s="2" t="s">
        <v>176</v>
      </c>
      <c r="G16" s="159">
        <v>1.5</v>
      </c>
      <c r="H16" s="246"/>
      <c r="I16" s="167"/>
    </row>
    <row r="17" spans="1:12" ht="15.75" customHeight="1">
      <c r="E17" s="240"/>
      <c r="F17" s="2" t="s">
        <v>177</v>
      </c>
      <c r="G17" s="159">
        <v>5</v>
      </c>
      <c r="H17" s="246"/>
      <c r="I17" s="168"/>
    </row>
    <row r="18" spans="1:12" ht="15.75" customHeight="1">
      <c r="E18" s="240"/>
      <c r="F18" s="2" t="s">
        <v>178</v>
      </c>
      <c r="G18" s="159">
        <v>3.5</v>
      </c>
      <c r="H18" s="246"/>
      <c r="I18" s="169"/>
    </row>
    <row r="19" spans="1:12" ht="15.75" customHeight="1">
      <c r="E19" s="240"/>
      <c r="F19" s="2" t="s">
        <v>179</v>
      </c>
      <c r="G19" s="159">
        <v>32.5</v>
      </c>
      <c r="H19" s="246"/>
      <c r="I19" s="169"/>
    </row>
    <row r="20" spans="1:12" ht="15.75" customHeight="1">
      <c r="E20" s="240"/>
      <c r="F20" s="2" t="s">
        <v>180</v>
      </c>
      <c r="G20" s="159"/>
      <c r="H20" s="246"/>
      <c r="I20" s="167"/>
    </row>
    <row r="21" spans="1:12" ht="15.75" customHeight="1">
      <c r="E21" s="244"/>
      <c r="F21" s="2" t="s">
        <v>126</v>
      </c>
      <c r="G21" s="159">
        <v>0</v>
      </c>
      <c r="H21" s="246"/>
      <c r="I21" s="167"/>
    </row>
    <row r="22" spans="1:12" ht="15.75" customHeight="1">
      <c r="E22" s="1" t="s">
        <v>16</v>
      </c>
      <c r="F22" s="2"/>
      <c r="G22" s="28">
        <f>SUM(G3:G21)</f>
        <v>172</v>
      </c>
      <c r="H22" s="247"/>
      <c r="I22" s="167"/>
    </row>
    <row r="23" spans="1:12" ht="30.75" customHeight="1">
      <c r="E23" s="235" t="s">
        <v>181</v>
      </c>
      <c r="F23" s="235"/>
      <c r="G23" s="235"/>
      <c r="H23" s="235"/>
      <c r="I23" s="170"/>
    </row>
    <row r="25" spans="1:12" ht="33">
      <c r="A25" s="18" t="s">
        <v>1</v>
      </c>
      <c r="B25" s="18" t="s">
        <v>150</v>
      </c>
      <c r="C25" s="18" t="s">
        <v>182</v>
      </c>
      <c r="D25" s="165" t="s">
        <v>183</v>
      </c>
      <c r="E25" s="165" t="s">
        <v>184</v>
      </c>
      <c r="F25" s="165" t="s">
        <v>185</v>
      </c>
      <c r="G25" s="165" t="s">
        <v>231</v>
      </c>
      <c r="H25" s="165" t="s">
        <v>240</v>
      </c>
      <c r="I25" s="165" t="s">
        <v>239</v>
      </c>
      <c r="J25" s="178" t="s">
        <v>256</v>
      </c>
      <c r="K25" s="20" t="s">
        <v>16</v>
      </c>
      <c r="L25" s="42" t="s">
        <v>186</v>
      </c>
    </row>
    <row r="26" spans="1:12" ht="16.5">
      <c r="A26" s="39" t="s">
        <v>144</v>
      </c>
      <c r="B26" s="40">
        <f>(B5+B8)*10000</f>
        <v>1260000</v>
      </c>
      <c r="C26" s="41">
        <v>0.05</v>
      </c>
      <c r="D26" s="12">
        <f>B26*(1-C26)/3</f>
        <v>399000</v>
      </c>
      <c r="E26" s="12">
        <f>D26</f>
        <v>399000</v>
      </c>
      <c r="F26" s="12">
        <f>E26</f>
        <v>399000</v>
      </c>
      <c r="G26" s="12"/>
      <c r="H26" s="12"/>
      <c r="I26" s="12"/>
      <c r="J26" s="12">
        <f>I26</f>
        <v>0</v>
      </c>
      <c r="K26" s="12">
        <f>SUM(D26:J26)</f>
        <v>1197000</v>
      </c>
      <c r="L26" s="12">
        <f>B26*0.05</f>
        <v>63000</v>
      </c>
    </row>
    <row r="27" spans="1:12" ht="16.5">
      <c r="A27" s="39" t="s">
        <v>187</v>
      </c>
      <c r="B27" s="40">
        <f>B9*10000</f>
        <v>0</v>
      </c>
      <c r="C27" s="12"/>
      <c r="D27" s="12">
        <f>B27/7</f>
        <v>0</v>
      </c>
      <c r="E27" s="12">
        <f t="shared" ref="E26:H27" si="0">D27</f>
        <v>0</v>
      </c>
      <c r="F27" s="12">
        <f t="shared" si="0"/>
        <v>0</v>
      </c>
      <c r="G27" s="12">
        <f t="shared" si="0"/>
        <v>0</v>
      </c>
      <c r="H27" s="12">
        <f t="shared" si="0"/>
        <v>0</v>
      </c>
      <c r="I27" s="12">
        <f>H27</f>
        <v>0</v>
      </c>
      <c r="J27" s="12">
        <f>I27</f>
        <v>0</v>
      </c>
      <c r="K27" s="12">
        <f>SUM(D27:J27)</f>
        <v>0</v>
      </c>
      <c r="L27" s="12"/>
    </row>
    <row r="28" spans="1:12" ht="16.5">
      <c r="A28" s="236" t="s">
        <v>106</v>
      </c>
      <c r="B28" s="237"/>
      <c r="C28" s="238"/>
      <c r="D28" s="12">
        <f>SUM(D26:D27)</f>
        <v>399000</v>
      </c>
      <c r="E28" s="12">
        <f t="shared" ref="E28:J28" si="1">SUM(E26:E27)</f>
        <v>399000</v>
      </c>
      <c r="F28" s="12">
        <f t="shared" si="1"/>
        <v>399000</v>
      </c>
      <c r="G28" s="12">
        <f t="shared" si="1"/>
        <v>0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43"/>
      <c r="L28" s="43"/>
    </row>
    <row r="41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H3:H12"/>
    <mergeCell ref="H13:H22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C5" sqref="C5:H6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188</v>
      </c>
      <c r="E1" s="16"/>
      <c r="F1" s="16"/>
      <c r="G1" s="16"/>
      <c r="H1" s="16"/>
      <c r="I1" s="16"/>
      <c r="J1" s="16"/>
    </row>
    <row r="2" spans="1:13" ht="24" customHeight="1">
      <c r="A2" s="17" t="s">
        <v>189</v>
      </c>
      <c r="E2" s="16"/>
      <c r="F2" s="16"/>
      <c r="G2" s="16"/>
      <c r="H2" s="16"/>
      <c r="I2" s="16"/>
      <c r="J2" s="16"/>
    </row>
    <row r="3" spans="1:13">
      <c r="C3" s="5" t="s">
        <v>190</v>
      </c>
      <c r="D3" s="8" t="s">
        <v>314</v>
      </c>
      <c r="E3" s="152">
        <v>0.01</v>
      </c>
    </row>
    <row r="5" spans="1:13" ht="45" customHeight="1">
      <c r="A5" s="249" t="s">
        <v>191</v>
      </c>
      <c r="B5" s="184" t="s">
        <v>140</v>
      </c>
      <c r="C5" s="288" t="s">
        <v>285</v>
      </c>
      <c r="D5" s="288" t="s">
        <v>286</v>
      </c>
      <c r="E5" s="288" t="s">
        <v>286</v>
      </c>
      <c r="F5" s="288" t="s">
        <v>287</v>
      </c>
      <c r="G5" s="288" t="s">
        <v>288</v>
      </c>
      <c r="H5" s="288" t="s">
        <v>288</v>
      </c>
      <c r="I5" s="14"/>
      <c r="J5" s="248" t="s">
        <v>16</v>
      </c>
    </row>
    <row r="6" spans="1:13" ht="31.5" customHeight="1">
      <c r="A6" s="249"/>
      <c r="B6" s="184" t="s">
        <v>141</v>
      </c>
      <c r="C6" s="289" t="s">
        <v>289</v>
      </c>
      <c r="D6" s="289" t="s">
        <v>290</v>
      </c>
      <c r="E6" s="289" t="s">
        <v>291</v>
      </c>
      <c r="F6" s="290" t="s">
        <v>292</v>
      </c>
      <c r="G6" s="289" t="s">
        <v>293</v>
      </c>
      <c r="H6" s="289" t="s">
        <v>294</v>
      </c>
      <c r="I6" s="189"/>
      <c r="J6" s="248"/>
      <c r="L6" s="5">
        <v>100</v>
      </c>
    </row>
    <row r="7" spans="1:13" ht="19.5" customHeight="1">
      <c r="A7" s="249"/>
      <c r="B7" s="19" t="s">
        <v>192</v>
      </c>
      <c r="C7" s="291" t="s">
        <v>295</v>
      </c>
      <c r="D7" s="291" t="s">
        <v>295</v>
      </c>
      <c r="E7" s="291" t="s">
        <v>296</v>
      </c>
      <c r="F7" s="291" t="s">
        <v>295</v>
      </c>
      <c r="G7" s="291" t="s">
        <v>295</v>
      </c>
      <c r="H7" s="291" t="s">
        <v>296</v>
      </c>
      <c r="I7" s="193"/>
      <c r="J7" s="248"/>
      <c r="L7" s="5">
        <f>L6*(1-$E$3)</f>
        <v>99</v>
      </c>
      <c r="M7" s="5">
        <f>L7/$L$6</f>
        <v>0.99</v>
      </c>
    </row>
    <row r="8" spans="1:13" ht="33">
      <c r="A8" s="249"/>
      <c r="B8" s="19" t="s">
        <v>193</v>
      </c>
      <c r="C8" s="292">
        <v>85</v>
      </c>
      <c r="D8" s="292">
        <v>35</v>
      </c>
      <c r="E8" s="292">
        <v>45</v>
      </c>
      <c r="F8" s="292">
        <v>85</v>
      </c>
      <c r="G8" s="292">
        <v>35</v>
      </c>
      <c r="H8" s="292">
        <v>45</v>
      </c>
      <c r="I8" s="190"/>
      <c r="J8" s="250"/>
      <c r="L8" s="5">
        <f>L7*(1-$E$3)</f>
        <v>98.01</v>
      </c>
      <c r="M8" s="5">
        <f t="shared" ref="M8:M11" si="0">L8/$L$6</f>
        <v>0.98010000000000008</v>
      </c>
    </row>
    <row r="9" spans="1:13" ht="17.25">
      <c r="A9" s="249" t="s">
        <v>194</v>
      </c>
      <c r="B9" s="183" t="s">
        <v>183</v>
      </c>
      <c r="C9" s="293">
        <v>2000</v>
      </c>
      <c r="D9" s="293">
        <v>1000</v>
      </c>
      <c r="E9" s="293">
        <v>1000</v>
      </c>
      <c r="F9" s="293">
        <v>2000</v>
      </c>
      <c r="G9" s="293">
        <v>1000</v>
      </c>
      <c r="H9" s="293">
        <v>1000</v>
      </c>
      <c r="I9" s="195"/>
      <c r="J9" s="191">
        <f>SUM(C9:I9)</f>
        <v>8000</v>
      </c>
      <c r="L9" s="5">
        <f t="shared" ref="L9" si="1">L8*(1-$E$3)</f>
        <v>97.029899999999998</v>
      </c>
      <c r="M9" s="5">
        <f t="shared" si="0"/>
        <v>0.97029900000000002</v>
      </c>
    </row>
    <row r="10" spans="1:13" ht="17.25">
      <c r="A10" s="249"/>
      <c r="B10" s="183" t="s">
        <v>184</v>
      </c>
      <c r="C10" s="293">
        <v>20000</v>
      </c>
      <c r="D10" s="293">
        <v>10000</v>
      </c>
      <c r="E10" s="293">
        <v>10000</v>
      </c>
      <c r="F10" s="293">
        <v>20000</v>
      </c>
      <c r="G10" s="293">
        <v>10000</v>
      </c>
      <c r="H10" s="293">
        <v>10000</v>
      </c>
      <c r="I10" s="194"/>
      <c r="J10" s="191">
        <f t="shared" ref="J10:J15" si="2">SUM(C10:I10)</f>
        <v>80000</v>
      </c>
      <c r="L10" s="5">
        <f>L9</f>
        <v>97.029899999999998</v>
      </c>
      <c r="M10" s="5">
        <f t="shared" si="0"/>
        <v>0.97029900000000002</v>
      </c>
    </row>
    <row r="11" spans="1:13" ht="17.25">
      <c r="A11" s="249"/>
      <c r="B11" s="183" t="s">
        <v>185</v>
      </c>
      <c r="C11" s="293">
        <v>40000</v>
      </c>
      <c r="D11" s="293">
        <v>20000</v>
      </c>
      <c r="E11" s="293">
        <v>20000</v>
      </c>
      <c r="F11" s="293">
        <v>40000</v>
      </c>
      <c r="G11" s="293">
        <v>20000</v>
      </c>
      <c r="H11" s="293">
        <v>20000</v>
      </c>
      <c r="I11" s="194"/>
      <c r="J11" s="191">
        <f t="shared" si="2"/>
        <v>160000</v>
      </c>
      <c r="L11" s="5">
        <f>L10</f>
        <v>97.029899999999998</v>
      </c>
      <c r="M11" s="5">
        <f t="shared" si="0"/>
        <v>0.97029900000000002</v>
      </c>
    </row>
    <row r="12" spans="1:13" ht="17.25">
      <c r="A12" s="249"/>
      <c r="B12" s="183" t="s">
        <v>231</v>
      </c>
      <c r="C12" s="293">
        <v>40000</v>
      </c>
      <c r="D12" s="293">
        <v>20000</v>
      </c>
      <c r="E12" s="293">
        <v>20000</v>
      </c>
      <c r="F12" s="293">
        <v>40000</v>
      </c>
      <c r="G12" s="293">
        <v>20000</v>
      </c>
      <c r="H12" s="293">
        <v>20000</v>
      </c>
      <c r="I12" s="194"/>
      <c r="J12" s="191">
        <f t="shared" si="2"/>
        <v>160000</v>
      </c>
    </row>
    <row r="13" spans="1:13" ht="17.25">
      <c r="A13" s="249"/>
      <c r="B13" s="183" t="s">
        <v>240</v>
      </c>
      <c r="C13" s="293">
        <v>40000</v>
      </c>
      <c r="D13" s="293">
        <v>20000</v>
      </c>
      <c r="E13" s="293">
        <v>20000</v>
      </c>
      <c r="F13" s="293">
        <v>40000</v>
      </c>
      <c r="G13" s="293">
        <v>20000</v>
      </c>
      <c r="H13" s="293">
        <v>20000</v>
      </c>
      <c r="I13" s="194"/>
      <c r="J13" s="191">
        <f t="shared" si="2"/>
        <v>160000</v>
      </c>
    </row>
    <row r="14" spans="1:13">
      <c r="A14" s="249"/>
      <c r="B14" s="183" t="s">
        <v>239</v>
      </c>
      <c r="C14" s="194"/>
      <c r="D14" s="194"/>
      <c r="E14" s="194"/>
      <c r="F14" s="194"/>
      <c r="G14" s="194"/>
      <c r="H14" s="194"/>
      <c r="I14" s="194"/>
      <c r="J14" s="191">
        <f t="shared" si="2"/>
        <v>0</v>
      </c>
    </row>
    <row r="15" spans="1:13">
      <c r="A15" s="249"/>
      <c r="B15" s="183" t="s">
        <v>256</v>
      </c>
      <c r="C15" s="194"/>
      <c r="D15" s="194"/>
      <c r="E15" s="194"/>
      <c r="F15" s="194"/>
      <c r="G15" s="194"/>
      <c r="H15" s="194"/>
      <c r="I15" s="194"/>
      <c r="J15" s="191">
        <f t="shared" si="2"/>
        <v>0</v>
      </c>
    </row>
    <row r="16" spans="1:13">
      <c r="A16" s="248" t="s">
        <v>16</v>
      </c>
      <c r="B16" s="248"/>
      <c r="C16" s="22">
        <f t="shared" ref="C16:J16" si="3">SUM(C9:C15)</f>
        <v>142000</v>
      </c>
      <c r="D16" s="22">
        <f t="shared" si="3"/>
        <v>71000</v>
      </c>
      <c r="E16" s="22">
        <f t="shared" si="3"/>
        <v>71000</v>
      </c>
      <c r="F16" s="22">
        <f t="shared" si="3"/>
        <v>142000</v>
      </c>
      <c r="G16" s="22">
        <f t="shared" si="3"/>
        <v>71000</v>
      </c>
      <c r="H16" s="22">
        <f t="shared" si="3"/>
        <v>71000</v>
      </c>
      <c r="I16" s="22">
        <f t="shared" si="3"/>
        <v>0</v>
      </c>
      <c r="J16" s="192">
        <f t="shared" si="3"/>
        <v>568000</v>
      </c>
    </row>
    <row r="17" spans="1:3">
      <c r="A17" s="23"/>
      <c r="B17" s="23"/>
      <c r="C17" s="2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15" activePane="bottomRight" state="frozen"/>
      <selection pane="topRight"/>
      <selection pane="bottomLeft"/>
      <selection pane="bottomRight" activeCell="D16" sqref="D16:J16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3.875" style="5" bestFit="1" customWidth="1"/>
    <col min="6" max="6" width="12.125" style="5" customWidth="1"/>
    <col min="7" max="9" width="14.37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261" t="s">
        <v>6</v>
      </c>
      <c r="B1" s="261"/>
      <c r="C1" s="6"/>
      <c r="K1" s="13"/>
    </row>
    <row r="2" spans="1:11">
      <c r="A2" s="262" t="s">
        <v>195</v>
      </c>
      <c r="B2" s="262"/>
      <c r="C2" s="263"/>
      <c r="D2" s="263"/>
      <c r="E2" s="269" t="s">
        <v>257</v>
      </c>
      <c r="F2" s="270"/>
      <c r="G2" s="270"/>
      <c r="H2" s="270"/>
      <c r="I2" s="270"/>
      <c r="J2" s="270"/>
      <c r="K2" s="270"/>
    </row>
    <row r="3" spans="1:11">
      <c r="A3" s="268" t="s">
        <v>15</v>
      </c>
      <c r="B3" s="268" t="s">
        <v>196</v>
      </c>
      <c r="C3" s="7" t="s">
        <v>197</v>
      </c>
      <c r="D3" s="264" t="s">
        <v>283</v>
      </c>
      <c r="E3" s="264"/>
      <c r="F3" s="7" t="s">
        <v>198</v>
      </c>
      <c r="G3" s="256" t="s">
        <v>284</v>
      </c>
      <c r="H3" s="257"/>
      <c r="I3" s="258"/>
      <c r="J3" s="213"/>
      <c r="K3" s="251" t="s">
        <v>151</v>
      </c>
    </row>
    <row r="4" spans="1:11" ht="27.75" customHeight="1">
      <c r="A4" s="268"/>
      <c r="B4" s="268"/>
      <c r="C4" s="7" t="s">
        <v>140</v>
      </c>
      <c r="D4" s="149" t="str">
        <f>销量!C5</f>
        <v>左后盖 ABDECKUNG LI FHS2500 CHN</v>
      </c>
      <c r="E4" s="149" t="str">
        <f>销量!D5</f>
        <v>左后盖装饰盖 ABDECKUNG UT LI CHN</v>
      </c>
      <c r="F4" s="149" t="str">
        <f>销量!E5</f>
        <v>左后盖装饰盖 ABDECKUNG UT LI CHN</v>
      </c>
      <c r="G4" s="149" t="str">
        <f>销量!F5</f>
        <v>右后盖 ABDECKUNG RE FHS2500 CHN</v>
      </c>
      <c r="H4" s="149" t="str">
        <f>销量!G5</f>
        <v>右后盖装饰盖 ABDECKUNG UT RE CHN</v>
      </c>
      <c r="I4" s="149" t="str">
        <f>销量!H5</f>
        <v>右后盖装饰盖 ABDECKUNG UT RE CHN</v>
      </c>
      <c r="J4" s="149"/>
      <c r="K4" s="252"/>
    </row>
    <row r="5" spans="1:11" ht="42.75">
      <c r="A5" s="268"/>
      <c r="B5" s="268"/>
      <c r="C5" s="7" t="s">
        <v>141</v>
      </c>
      <c r="D5" s="149" t="str">
        <f>销量!C6</f>
        <v>A9608118007-2</v>
      </c>
      <c r="E5" s="149" t="str">
        <f>销量!D6</f>
        <v>A9608118207-2</v>
      </c>
      <c r="F5" s="149" t="str">
        <f>销量!E6</f>
        <v>A9608118207-3</v>
      </c>
      <c r="G5" s="149" t="str">
        <f>销量!F6</f>
        <v>A9608118107-2</v>
      </c>
      <c r="H5" s="149" t="str">
        <f>销量!G6</f>
        <v>A9608118307-2</v>
      </c>
      <c r="I5" s="149" t="str">
        <f>销量!H6</f>
        <v>A9608118307-3</v>
      </c>
      <c r="J5" s="149">
        <f>销量!I6</f>
        <v>0</v>
      </c>
      <c r="K5" s="253"/>
    </row>
    <row r="6" spans="1:11" ht="16.5" customHeight="1">
      <c r="A6" s="10">
        <v>1</v>
      </c>
      <c r="B6" s="254" t="s">
        <v>232</v>
      </c>
      <c r="C6" s="255"/>
      <c r="D6" s="299">
        <v>68.778073453456784</v>
      </c>
      <c r="E6" s="299">
        <v>27.56</v>
      </c>
      <c r="F6" s="299">
        <v>35.018879499744017</v>
      </c>
      <c r="G6" s="299">
        <v>68.778073453456784</v>
      </c>
      <c r="H6" s="299">
        <v>27.56</v>
      </c>
      <c r="I6" s="299">
        <v>35.018879499744017</v>
      </c>
      <c r="J6" s="11"/>
      <c r="K6" s="162"/>
    </row>
    <row r="7" spans="1:11" ht="16.5" customHeight="1">
      <c r="A7" s="10">
        <v>2</v>
      </c>
      <c r="B7" s="254"/>
      <c r="C7" s="255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254"/>
      <c r="C8" s="255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254"/>
      <c r="C9" s="255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254"/>
      <c r="C10" s="255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265" t="s">
        <v>199</v>
      </c>
      <c r="B11" s="266"/>
      <c r="C11" s="267"/>
      <c r="D11" s="12">
        <f>SUM(D6:D10)</f>
        <v>68.778073453456784</v>
      </c>
      <c r="E11" s="12">
        <f>SUM(E6:E10)</f>
        <v>27.56</v>
      </c>
      <c r="F11" s="12">
        <f>SUM(F6:F10)</f>
        <v>35.018879499744017</v>
      </c>
      <c r="G11" s="12">
        <f>SUM(G6:G10)</f>
        <v>68.778073453456784</v>
      </c>
      <c r="H11" s="12">
        <f>SUM(H6:H10)</f>
        <v>27.56</v>
      </c>
      <c r="I11" s="12">
        <f>SUM(I6:I10)</f>
        <v>35.018879499744017</v>
      </c>
      <c r="J11" s="12">
        <f>SUM(J6:J10)</f>
        <v>0</v>
      </c>
      <c r="K11" s="14"/>
    </row>
    <row r="12" spans="1:11">
      <c r="D12" s="153"/>
      <c r="E12" s="153"/>
    </row>
    <row r="16" spans="1:11" ht="27.75" customHeight="1">
      <c r="D16" s="259" t="s">
        <v>241</v>
      </c>
      <c r="E16" s="259"/>
      <c r="F16" s="259"/>
      <c r="G16" s="259"/>
      <c r="H16" s="259"/>
      <c r="I16" s="259"/>
      <c r="J16" s="259"/>
    </row>
    <row r="17" spans="4:11">
      <c r="D17" s="249" t="s">
        <v>229</v>
      </c>
      <c r="E17" s="260" t="s">
        <v>230</v>
      </c>
      <c r="F17" s="260"/>
      <c r="G17" s="260"/>
      <c r="H17" s="260"/>
      <c r="I17" s="260"/>
      <c r="J17" s="260"/>
      <c r="K17" s="14"/>
    </row>
    <row r="18" spans="4:11">
      <c r="D18" s="249"/>
      <c r="E18" s="179" t="s">
        <v>258</v>
      </c>
      <c r="F18" s="179" t="s">
        <v>259</v>
      </c>
      <c r="G18" s="179" t="s">
        <v>185</v>
      </c>
      <c r="H18" s="179" t="s">
        <v>231</v>
      </c>
      <c r="I18" s="179" t="s">
        <v>240</v>
      </c>
      <c r="J18" s="179" t="s">
        <v>260</v>
      </c>
      <c r="K18" s="179" t="s">
        <v>256</v>
      </c>
    </row>
    <row r="19" spans="4:11" ht="15.75" customHeight="1">
      <c r="D19" s="288" t="s">
        <v>285</v>
      </c>
      <c r="E19" s="309">
        <f>D11</f>
        <v>68.778073453456784</v>
      </c>
      <c r="F19" s="158">
        <f>E19*销量!$M$7</f>
        <v>68.090292718922214</v>
      </c>
      <c r="G19" s="158">
        <f>F19*销量!$M$8</f>
        <v>66.735295893815675</v>
      </c>
      <c r="H19" s="158">
        <f>G19*销量!$M$9</f>
        <v>64.75319087047346</v>
      </c>
      <c r="I19" s="158">
        <f>H19*销量!$M$10</f>
        <v>62.829956348429526</v>
      </c>
      <c r="J19" s="158"/>
      <c r="K19" s="206"/>
    </row>
    <row r="20" spans="4:11" ht="15.75" customHeight="1">
      <c r="D20" s="288" t="s">
        <v>286</v>
      </c>
      <c r="E20" s="163">
        <f>E11</f>
        <v>27.56</v>
      </c>
      <c r="F20" s="158">
        <f>E20*销量!$M$7</f>
        <v>27.284399999999998</v>
      </c>
      <c r="G20" s="158">
        <f>F20*销量!$M$8</f>
        <v>26.741440440000002</v>
      </c>
      <c r="H20" s="158">
        <f>G20*销量!$M$9</f>
        <v>25.947192917491563</v>
      </c>
      <c r="I20" s="158">
        <f>H20*销量!$M$10</f>
        <v>25.176535340649146</v>
      </c>
      <c r="J20" s="158"/>
      <c r="K20" s="206"/>
    </row>
    <row r="21" spans="4:11" ht="15.75" customHeight="1">
      <c r="D21" s="288" t="s">
        <v>286</v>
      </c>
      <c r="E21" s="163">
        <f>F11</f>
        <v>35.018879499744017</v>
      </c>
      <c r="F21" s="158">
        <f>E21*销量!$M$7</f>
        <v>34.668690704746574</v>
      </c>
      <c r="G21" s="158">
        <f>F21*销量!$M$8</f>
        <v>33.97878375972212</v>
      </c>
      <c r="H21" s="158">
        <f>G21*销量!$M$9</f>
        <v>32.969579903274614</v>
      </c>
      <c r="I21" s="158">
        <f>H21*销量!$M$10</f>
        <v>31.990350410567455</v>
      </c>
      <c r="J21" s="158"/>
      <c r="K21" s="206"/>
    </row>
    <row r="22" spans="4:11" ht="15.75" customHeight="1">
      <c r="D22" s="288" t="s">
        <v>287</v>
      </c>
      <c r="E22" s="163">
        <f>G11</f>
        <v>68.778073453456784</v>
      </c>
      <c r="F22" s="158">
        <f>E22*销量!$M$7</f>
        <v>68.090292718922214</v>
      </c>
      <c r="G22" s="158">
        <f>F22*销量!$M$8</f>
        <v>66.735295893815675</v>
      </c>
      <c r="H22" s="158">
        <f>G22*销量!$M$9</f>
        <v>64.75319087047346</v>
      </c>
      <c r="I22" s="158">
        <f>H22*销量!$M$10</f>
        <v>62.829956348429526</v>
      </c>
      <c r="J22" s="158"/>
      <c r="K22" s="206"/>
    </row>
    <row r="23" spans="4:11" ht="15.75" customHeight="1">
      <c r="D23" s="288" t="s">
        <v>288</v>
      </c>
      <c r="E23" s="163">
        <f>H11</f>
        <v>27.56</v>
      </c>
      <c r="F23" s="158">
        <f>E23*销量!$M$7</f>
        <v>27.284399999999998</v>
      </c>
      <c r="G23" s="158">
        <f>F23*销量!$M$8</f>
        <v>26.741440440000002</v>
      </c>
      <c r="H23" s="158">
        <f>G23*销量!$M$9</f>
        <v>25.947192917491563</v>
      </c>
      <c r="I23" s="158">
        <f>H23*销量!$M$10</f>
        <v>25.176535340649146</v>
      </c>
      <c r="J23" s="158"/>
      <c r="K23" s="206"/>
    </row>
    <row r="24" spans="4:11" ht="15.75" customHeight="1">
      <c r="D24" s="288" t="s">
        <v>288</v>
      </c>
      <c r="E24" s="163">
        <f>I11</f>
        <v>35.018879499744017</v>
      </c>
      <c r="F24" s="158">
        <f>E24*销量!$M$7</f>
        <v>34.668690704746574</v>
      </c>
      <c r="G24" s="158">
        <f>F24*销量!$M$8</f>
        <v>33.97878375972212</v>
      </c>
      <c r="H24" s="158">
        <f>G24*销量!$M$9</f>
        <v>32.969579903274614</v>
      </c>
      <c r="I24" s="158">
        <f>H24*销量!$M$10</f>
        <v>31.990350410567455</v>
      </c>
      <c r="J24" s="158"/>
      <c r="K24" s="206"/>
    </row>
    <row r="25" spans="4:11">
      <c r="D25" s="149"/>
      <c r="E25" s="163">
        <f>J11</f>
        <v>0</v>
      </c>
      <c r="F25" s="158">
        <f>E25*销量!$M$7</f>
        <v>0</v>
      </c>
      <c r="G25" s="158">
        <f>F25*销量!$M$8</f>
        <v>0</v>
      </c>
      <c r="H25" s="158">
        <f>G25*销量!$M$9</f>
        <v>0</v>
      </c>
      <c r="I25" s="158">
        <f>H25*销量!$M$10</f>
        <v>0</v>
      </c>
      <c r="J25" s="158"/>
      <c r="K25" s="206"/>
    </row>
  </sheetData>
  <mergeCells count="17">
    <mergeCell ref="E2:K2"/>
    <mergeCell ref="A11:C11"/>
    <mergeCell ref="A3:A5"/>
    <mergeCell ref="B3:B5"/>
    <mergeCell ref="D16:J16"/>
    <mergeCell ref="D17:D18"/>
    <mergeCell ref="E17:J17"/>
    <mergeCell ref="A1:B1"/>
    <mergeCell ref="A2:D2"/>
    <mergeCell ref="D3:E3"/>
    <mergeCell ref="B9:C9"/>
    <mergeCell ref="B10:C10"/>
    <mergeCell ref="K3:K5"/>
    <mergeCell ref="B6:C6"/>
    <mergeCell ref="B7:C7"/>
    <mergeCell ref="B8:C8"/>
    <mergeCell ref="G3:I3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208"/>
    <col min="2" max="3" width="29.625" style="208" customWidth="1"/>
    <col min="4" max="4" width="22" style="208" customWidth="1"/>
    <col min="5" max="16384" width="9" style="208"/>
  </cols>
  <sheetData>
    <row r="1" spans="1:4" ht="27" customHeight="1">
      <c r="A1" s="207" t="s">
        <v>15</v>
      </c>
      <c r="B1" s="207" t="s">
        <v>200</v>
      </c>
      <c r="C1" s="207" t="s">
        <v>201</v>
      </c>
      <c r="D1" s="207" t="s">
        <v>202</v>
      </c>
    </row>
    <row r="2" spans="1:4" ht="24" customHeight="1">
      <c r="A2" s="207">
        <v>1</v>
      </c>
      <c r="B2" s="294" t="s">
        <v>203</v>
      </c>
      <c r="C2" s="209" t="s">
        <v>297</v>
      </c>
      <c r="D2" s="207"/>
    </row>
    <row r="3" spans="1:4" ht="24" customHeight="1">
      <c r="A3" s="207">
        <v>2</v>
      </c>
      <c r="B3" s="294" t="s">
        <v>204</v>
      </c>
      <c r="C3" s="210" t="s">
        <v>298</v>
      </c>
      <c r="D3" s="207" t="s">
        <v>299</v>
      </c>
    </row>
    <row r="4" spans="1:4" ht="24" customHeight="1">
      <c r="A4" s="207">
        <v>3</v>
      </c>
      <c r="B4" s="294" t="s">
        <v>205</v>
      </c>
      <c r="C4" s="209" t="s">
        <v>300</v>
      </c>
      <c r="D4" s="207" t="s">
        <v>301</v>
      </c>
    </row>
    <row r="5" spans="1:4" ht="24" customHeight="1">
      <c r="A5" s="207">
        <v>4</v>
      </c>
      <c r="B5" s="294" t="s">
        <v>206</v>
      </c>
      <c r="C5" s="209" t="s">
        <v>302</v>
      </c>
      <c r="D5" s="207"/>
    </row>
    <row r="6" spans="1:4" ht="24" customHeight="1">
      <c r="A6" s="207">
        <v>5</v>
      </c>
      <c r="B6" s="294" t="s">
        <v>207</v>
      </c>
      <c r="C6" s="209" t="s">
        <v>303</v>
      </c>
      <c r="D6" s="207"/>
    </row>
    <row r="7" spans="1:4" ht="24" customHeight="1">
      <c r="A7" s="207">
        <v>6</v>
      </c>
      <c r="B7" s="207" t="s">
        <v>208</v>
      </c>
      <c r="C7" s="210" t="s">
        <v>304</v>
      </c>
      <c r="D7" s="207"/>
    </row>
    <row r="8" spans="1:4" ht="24" customHeight="1">
      <c r="A8" s="207">
        <v>7</v>
      </c>
      <c r="B8" s="294" t="s">
        <v>209</v>
      </c>
      <c r="C8" s="295" t="s">
        <v>305</v>
      </c>
      <c r="D8" s="207"/>
    </row>
    <row r="9" spans="1:4" ht="24" customHeight="1">
      <c r="A9" s="207">
        <v>8</v>
      </c>
      <c r="B9" s="207" t="s">
        <v>210</v>
      </c>
      <c r="C9" s="295"/>
      <c r="D9" s="207"/>
    </row>
    <row r="10" spans="1:4" ht="24" customHeight="1">
      <c r="A10" s="207">
        <v>9</v>
      </c>
      <c r="B10" s="207" t="s">
        <v>211</v>
      </c>
      <c r="C10" s="295"/>
      <c r="D10" s="207"/>
    </row>
    <row r="11" spans="1:4" ht="24" customHeight="1">
      <c r="A11" s="207">
        <v>10</v>
      </c>
      <c r="B11" s="207" t="s">
        <v>212</v>
      </c>
      <c r="C11" s="295"/>
      <c r="D11" s="207" t="s">
        <v>306</v>
      </c>
    </row>
    <row r="12" spans="1:4" ht="24" customHeight="1">
      <c r="A12" s="207">
        <v>11</v>
      </c>
      <c r="B12" s="207" t="s">
        <v>213</v>
      </c>
      <c r="C12" s="295"/>
      <c r="D12" s="207"/>
    </row>
    <row r="13" spans="1:4" ht="24" customHeight="1">
      <c r="A13" s="207">
        <v>12</v>
      </c>
      <c r="B13" s="294" t="s">
        <v>307</v>
      </c>
      <c r="C13" s="295" t="s">
        <v>308</v>
      </c>
      <c r="D13" s="207"/>
    </row>
    <row r="14" spans="1:4" ht="24" customHeight="1">
      <c r="A14" s="207">
        <v>13</v>
      </c>
      <c r="B14" s="294" t="s">
        <v>309</v>
      </c>
      <c r="C14" s="295" t="s">
        <v>310</v>
      </c>
      <c r="D14" s="207"/>
    </row>
    <row r="15" spans="1:4" ht="24" customHeight="1">
      <c r="A15" s="207">
        <v>14</v>
      </c>
      <c r="B15" s="294" t="s">
        <v>311</v>
      </c>
      <c r="C15" s="295" t="s">
        <v>312</v>
      </c>
      <c r="D15" s="207"/>
    </row>
    <row r="16" spans="1:4" ht="24" customHeight="1">
      <c r="A16" s="207">
        <v>15</v>
      </c>
      <c r="B16" s="207" t="s">
        <v>126</v>
      </c>
      <c r="C16" s="207"/>
      <c r="D16" s="207"/>
    </row>
    <row r="17" spans="2:2" ht="16.5">
      <c r="B17" s="296" t="s">
        <v>313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92"/>
  <sheetViews>
    <sheetView workbookViewId="0">
      <selection activeCell="I11" sqref="I11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8.75" style="65" customWidth="1"/>
    <col min="6" max="6" width="9.375" style="65" customWidth="1"/>
    <col min="7" max="7" width="10.625" style="65" customWidth="1"/>
    <col min="8" max="8" width="9.125" style="65" customWidth="1"/>
    <col min="9" max="9" width="9.625" style="141" customWidth="1"/>
    <col min="10" max="10" width="1.375" style="141" customWidth="1"/>
    <col min="11" max="11" width="8.75" style="141" customWidth="1"/>
    <col min="12" max="14" width="8.75" style="65" customWidth="1"/>
    <col min="15" max="16384" width="9" style="65"/>
  </cols>
  <sheetData>
    <row r="1" spans="1:14" s="138" customFormat="1" ht="18.75" customHeight="1">
      <c r="G1" s="278" t="s">
        <v>214</v>
      </c>
      <c r="H1" s="278"/>
      <c r="I1" s="139"/>
      <c r="J1" s="139"/>
      <c r="K1" s="139"/>
    </row>
    <row r="2" spans="1:14" ht="21" customHeight="1">
      <c r="A2" s="271" t="s">
        <v>261</v>
      </c>
      <c r="B2" s="279" t="s">
        <v>215</v>
      </c>
      <c r="C2" s="279"/>
      <c r="D2" s="273" t="s">
        <v>216</v>
      </c>
      <c r="E2" s="280"/>
      <c r="F2" s="280"/>
      <c r="G2" s="280"/>
      <c r="H2" s="274"/>
      <c r="I2" s="140" t="s">
        <v>223</v>
      </c>
      <c r="J2" s="140"/>
      <c r="K2" s="140"/>
      <c r="M2" s="156"/>
      <c r="N2" s="156"/>
    </row>
    <row r="3" spans="1:14" ht="34.5" customHeight="1">
      <c r="A3" s="272"/>
      <c r="B3" s="279"/>
      <c r="C3" s="279"/>
      <c r="D3" s="147" t="s">
        <v>224</v>
      </c>
      <c r="E3" s="147" t="s">
        <v>225</v>
      </c>
      <c r="F3" s="147" t="s">
        <v>228</v>
      </c>
      <c r="G3" s="147" t="s">
        <v>227</v>
      </c>
      <c r="H3" s="147" t="s">
        <v>226</v>
      </c>
      <c r="I3" s="151">
        <f>销量!C8</f>
        <v>85</v>
      </c>
      <c r="J3" s="285"/>
      <c r="K3" s="285" t="s">
        <v>246</v>
      </c>
      <c r="L3" s="174" t="s">
        <v>245</v>
      </c>
      <c r="M3" s="286" t="s">
        <v>254</v>
      </c>
      <c r="N3" s="286" t="s">
        <v>255</v>
      </c>
    </row>
    <row r="4" spans="1:14" ht="24" customHeight="1">
      <c r="B4" s="275" t="s">
        <v>217</v>
      </c>
      <c r="C4" s="275"/>
      <c r="D4" s="3"/>
      <c r="E4" s="142">
        <f>$I$3*G4</f>
        <v>0</v>
      </c>
      <c r="F4" s="171">
        <v>5.8140600126520232E-2</v>
      </c>
      <c r="G4" s="177">
        <v>0</v>
      </c>
      <c r="H4" s="143"/>
      <c r="K4" s="171">
        <v>0.10179000000000001</v>
      </c>
      <c r="L4" s="155">
        <v>4.5100000000000001E-2</v>
      </c>
      <c r="M4" s="176">
        <v>2.5100000000000001E-2</v>
      </c>
      <c r="N4" s="176">
        <v>5.1891753653367817E-2</v>
      </c>
    </row>
    <row r="5" spans="1:14" ht="24" customHeight="1">
      <c r="B5" s="275" t="s">
        <v>218</v>
      </c>
      <c r="C5" s="144" t="s">
        <v>219</v>
      </c>
      <c r="D5" s="3"/>
      <c r="E5" s="142">
        <f t="shared" ref="E5:E6" si="0">$I$3*G5</f>
        <v>0</v>
      </c>
      <c r="F5" s="143">
        <v>4.4999999999999998E-2</v>
      </c>
      <c r="G5" s="177">
        <v>0</v>
      </c>
      <c r="H5" s="143"/>
      <c r="I5" s="175" t="s">
        <v>253</v>
      </c>
      <c r="K5" s="171">
        <v>0.2</v>
      </c>
      <c r="L5" s="155">
        <v>5.0999999999999997E-2</v>
      </c>
      <c r="M5" s="176">
        <v>3.0300000000000001E-2</v>
      </c>
      <c r="N5" s="176">
        <v>7.6600000000000001E-2</v>
      </c>
    </row>
    <row r="6" spans="1:14" ht="24" customHeight="1">
      <c r="B6" s="275"/>
      <c r="C6" s="144" t="s">
        <v>220</v>
      </c>
      <c r="D6" s="3"/>
      <c r="E6" s="142">
        <f t="shared" si="0"/>
        <v>0</v>
      </c>
      <c r="F6" s="171">
        <v>1.8068356891203199E-2</v>
      </c>
      <c r="G6" s="177">
        <v>0</v>
      </c>
      <c r="H6" s="143"/>
      <c r="K6" s="171">
        <v>4.0280000000000003E-2</v>
      </c>
      <c r="L6" s="154">
        <v>4.6300000000000001E-2</v>
      </c>
      <c r="M6" s="176">
        <v>6.1000000000000004E-3</v>
      </c>
      <c r="N6" s="176">
        <v>9.0513005545788342E-3</v>
      </c>
    </row>
    <row r="7" spans="1:14" ht="24" customHeight="1">
      <c r="B7" s="273" t="s">
        <v>221</v>
      </c>
      <c r="C7" s="274"/>
      <c r="D7" s="145"/>
      <c r="E7" s="142">
        <f>$I$3*G7</f>
        <v>0</v>
      </c>
      <c r="F7" s="287">
        <f>SUM(F4:F6)</f>
        <v>0.12120895701772344</v>
      </c>
      <c r="G7" s="177">
        <f>G4+G5+G6</f>
        <v>0</v>
      </c>
      <c r="H7" s="146"/>
      <c r="K7" s="287">
        <f>SUM(K4:K6)</f>
        <v>0.34206999999999999</v>
      </c>
      <c r="L7" s="154"/>
      <c r="M7" s="66"/>
      <c r="N7" s="176"/>
    </row>
    <row r="8" spans="1:14" ht="24" customHeight="1">
      <c r="B8" s="275" t="s">
        <v>46</v>
      </c>
      <c r="C8" s="275"/>
      <c r="D8" s="3"/>
      <c r="E8" s="142">
        <f>$I$3*G8</f>
        <v>2.4650000000000003</v>
      </c>
      <c r="F8" s="173">
        <v>4.0563309291379773E-2</v>
      </c>
      <c r="G8" s="177">
        <v>2.9000000000000001E-2</v>
      </c>
      <c r="H8" s="143"/>
      <c r="K8" s="171">
        <v>2.9350000000000001E-2</v>
      </c>
      <c r="L8" s="155">
        <v>1.89E-2</v>
      </c>
      <c r="M8" s="176">
        <v>4.2900000000000001E-2</v>
      </c>
      <c r="N8" s="176">
        <v>3.4700000000000002E-2</v>
      </c>
    </row>
    <row r="9" spans="1:14" ht="24" customHeight="1">
      <c r="B9" s="276" t="s">
        <v>222</v>
      </c>
      <c r="C9" s="144" t="s">
        <v>219</v>
      </c>
      <c r="D9" s="3"/>
      <c r="E9" s="142">
        <f t="shared" ref="E9:E11" si="1">$I$3*G9</f>
        <v>1.7850000000000001</v>
      </c>
      <c r="F9" s="143">
        <v>7.9000000000000008E-3</v>
      </c>
      <c r="G9" s="177">
        <v>2.1000000000000001E-2</v>
      </c>
      <c r="H9" s="143"/>
      <c r="K9" s="171">
        <v>2.1489999999999999E-2</v>
      </c>
      <c r="L9" s="141">
        <v>9.4999999999999998E-3</v>
      </c>
      <c r="M9" s="176">
        <v>5.1000000000000004E-3</v>
      </c>
      <c r="N9" s="176">
        <v>3.3999999999999998E-3</v>
      </c>
    </row>
    <row r="10" spans="1:14" ht="24" customHeight="1">
      <c r="B10" s="277"/>
      <c r="C10" s="144" t="s">
        <v>220</v>
      </c>
      <c r="D10" s="3"/>
      <c r="E10" s="142">
        <f t="shared" si="1"/>
        <v>2.38</v>
      </c>
      <c r="F10" s="141">
        <v>0.01</v>
      </c>
      <c r="G10" s="177">
        <v>2.8000000000000001E-2</v>
      </c>
      <c r="H10" s="143"/>
      <c r="I10" s="175" t="s">
        <v>322</v>
      </c>
      <c r="K10" s="171">
        <v>5.8119999999999998E-2</v>
      </c>
      <c r="L10" s="141">
        <v>4.1300000000000003E-2</v>
      </c>
      <c r="M10" s="176">
        <v>1.49E-2</v>
      </c>
      <c r="N10" s="176">
        <v>1.0999999999999999E-2</v>
      </c>
    </row>
    <row r="11" spans="1:14" ht="24" customHeight="1">
      <c r="B11" s="275" t="s">
        <v>49</v>
      </c>
      <c r="C11" s="275"/>
      <c r="D11" s="3"/>
      <c r="E11" s="142">
        <f t="shared" si="1"/>
        <v>1.8105</v>
      </c>
      <c r="F11" s="143">
        <v>2.1299999999999999E-2</v>
      </c>
      <c r="G11" s="177">
        <v>2.1299999999999999E-2</v>
      </c>
      <c r="H11" s="143"/>
      <c r="K11" s="171">
        <v>2.1299999999999999E-2</v>
      </c>
      <c r="L11" s="141">
        <v>4.7199999999999999E-2</v>
      </c>
      <c r="M11" s="66">
        <v>0</v>
      </c>
      <c r="N11" s="176">
        <v>0</v>
      </c>
    </row>
    <row r="15" spans="1:14">
      <c r="B15" s="138"/>
      <c r="C15" s="138"/>
      <c r="D15" s="138"/>
      <c r="E15" s="138"/>
      <c r="F15" s="138"/>
      <c r="G15" s="278" t="s">
        <v>214</v>
      </c>
      <c r="H15" s="278"/>
      <c r="I15" s="139"/>
      <c r="J15" s="139"/>
      <c r="K15" s="139"/>
    </row>
    <row r="16" spans="1:14">
      <c r="A16" s="271" t="s">
        <v>262</v>
      </c>
      <c r="B16" s="279" t="s">
        <v>215</v>
      </c>
      <c r="C16" s="279"/>
      <c r="D16" s="273" t="s">
        <v>216</v>
      </c>
      <c r="E16" s="280"/>
      <c r="F16" s="280"/>
      <c r="G16" s="280"/>
      <c r="H16" s="274"/>
      <c r="I16" s="140" t="s">
        <v>223</v>
      </c>
      <c r="J16" s="140"/>
      <c r="K16" s="140"/>
    </row>
    <row r="17" spans="1:11" ht="27">
      <c r="A17" s="272"/>
      <c r="B17" s="279"/>
      <c r="C17" s="279"/>
      <c r="D17" s="147" t="s">
        <v>224</v>
      </c>
      <c r="E17" s="147" t="s">
        <v>225</v>
      </c>
      <c r="F17" s="147" t="s">
        <v>228</v>
      </c>
      <c r="G17" s="147" t="s">
        <v>227</v>
      </c>
      <c r="H17" s="147" t="s">
        <v>226</v>
      </c>
      <c r="I17" s="151">
        <f>销量!D8</f>
        <v>35</v>
      </c>
      <c r="J17" s="151"/>
      <c r="K17" s="151"/>
    </row>
    <row r="18" spans="1:11">
      <c r="B18" s="275" t="s">
        <v>217</v>
      </c>
      <c r="C18" s="275"/>
      <c r="D18" s="3"/>
      <c r="E18" s="142">
        <f>$I$17*G18</f>
        <v>0</v>
      </c>
      <c r="F18" s="171">
        <f t="shared" ref="F18:F25" si="2">F4</f>
        <v>5.8140600126520232E-2</v>
      </c>
      <c r="G18" s="177">
        <f t="shared" ref="G18:G25" si="3">G4</f>
        <v>0</v>
      </c>
      <c r="H18" s="143">
        <v>4.48E-2</v>
      </c>
    </row>
    <row r="19" spans="1:11">
      <c r="B19" s="275" t="s">
        <v>218</v>
      </c>
      <c r="C19" s="161" t="s">
        <v>219</v>
      </c>
      <c r="D19" s="3"/>
      <c r="E19" s="142">
        <f>$I$17*G19</f>
        <v>0</v>
      </c>
      <c r="F19" s="143">
        <f t="shared" si="2"/>
        <v>4.4999999999999998E-2</v>
      </c>
      <c r="G19" s="177">
        <f t="shared" si="3"/>
        <v>0</v>
      </c>
      <c r="H19" s="143">
        <v>4.0399999999999998E-2</v>
      </c>
    </row>
    <row r="20" spans="1:11">
      <c r="B20" s="275"/>
      <c r="C20" s="161" t="s">
        <v>220</v>
      </c>
      <c r="D20" s="3"/>
      <c r="E20" s="142">
        <f t="shared" ref="E20:E25" si="4">$I$17*G20</f>
        <v>0</v>
      </c>
      <c r="F20" s="171">
        <f t="shared" si="2"/>
        <v>1.8068356891203199E-2</v>
      </c>
      <c r="G20" s="177">
        <f t="shared" si="3"/>
        <v>0</v>
      </c>
      <c r="H20" s="143">
        <v>1.66E-2</v>
      </c>
    </row>
    <row r="21" spans="1:11">
      <c r="B21" s="273" t="s">
        <v>221</v>
      </c>
      <c r="C21" s="274"/>
      <c r="D21" s="145"/>
      <c r="E21" s="142">
        <f t="shared" si="4"/>
        <v>0</v>
      </c>
      <c r="F21" s="172">
        <f t="shared" si="2"/>
        <v>0.12120895701772344</v>
      </c>
      <c r="G21" s="177">
        <f t="shared" si="3"/>
        <v>0</v>
      </c>
      <c r="H21" s="146">
        <f>SUM(H18:H20)</f>
        <v>0.1018</v>
      </c>
    </row>
    <row r="22" spans="1:11">
      <c r="B22" s="275" t="s">
        <v>46</v>
      </c>
      <c r="C22" s="275"/>
      <c r="D22" s="3"/>
      <c r="E22" s="142">
        <f t="shared" si="4"/>
        <v>1.0150000000000001</v>
      </c>
      <c r="F22" s="173">
        <f t="shared" si="2"/>
        <v>4.0563309291379773E-2</v>
      </c>
      <c r="G22" s="177">
        <f t="shared" si="3"/>
        <v>2.9000000000000001E-2</v>
      </c>
      <c r="H22" s="143">
        <f>1.97%+0.75%</f>
        <v>2.7199999999999998E-2</v>
      </c>
    </row>
    <row r="23" spans="1:11">
      <c r="B23" s="276" t="s">
        <v>222</v>
      </c>
      <c r="C23" s="161" t="s">
        <v>219</v>
      </c>
      <c r="D23" s="3"/>
      <c r="E23" s="142">
        <f t="shared" si="4"/>
        <v>0.7350000000000001</v>
      </c>
      <c r="F23" s="143">
        <f t="shared" si="2"/>
        <v>7.9000000000000008E-3</v>
      </c>
      <c r="G23" s="177">
        <f t="shared" si="3"/>
        <v>2.1000000000000001E-2</v>
      </c>
      <c r="H23" s="143">
        <v>5.3E-3</v>
      </c>
    </row>
    <row r="24" spans="1:11">
      <c r="B24" s="277"/>
      <c r="C24" s="161" t="s">
        <v>220</v>
      </c>
      <c r="D24" s="3"/>
      <c r="E24" s="142">
        <f t="shared" si="4"/>
        <v>0.98</v>
      </c>
      <c r="F24" s="141">
        <f t="shared" si="2"/>
        <v>0.01</v>
      </c>
      <c r="G24" s="177">
        <f t="shared" si="3"/>
        <v>2.8000000000000001E-2</v>
      </c>
      <c r="H24" s="143">
        <v>3.4099999999999998E-2</v>
      </c>
    </row>
    <row r="25" spans="1:11">
      <c r="B25" s="275" t="s">
        <v>49</v>
      </c>
      <c r="C25" s="275"/>
      <c r="D25" s="3"/>
      <c r="E25" s="142">
        <f t="shared" si="4"/>
        <v>0.74549999999999994</v>
      </c>
      <c r="F25" s="143">
        <f t="shared" si="2"/>
        <v>2.1299999999999999E-2</v>
      </c>
      <c r="G25" s="177">
        <f t="shared" si="3"/>
        <v>2.1299999999999999E-2</v>
      </c>
      <c r="H25" s="143">
        <v>1.0999999999999999E-2</v>
      </c>
    </row>
    <row r="29" spans="1:11">
      <c r="B29" s="138"/>
      <c r="C29" s="138"/>
      <c r="D29" s="138"/>
      <c r="E29" s="138"/>
      <c r="F29" s="138"/>
      <c r="G29" s="278" t="s">
        <v>214</v>
      </c>
      <c r="H29" s="278"/>
      <c r="I29" s="139"/>
      <c r="J29" s="139"/>
      <c r="K29" s="139"/>
    </row>
    <row r="30" spans="1:11">
      <c r="A30" s="271" t="s">
        <v>263</v>
      </c>
      <c r="B30" s="279" t="s">
        <v>215</v>
      </c>
      <c r="C30" s="279"/>
      <c r="D30" s="273" t="s">
        <v>216</v>
      </c>
      <c r="E30" s="280"/>
      <c r="F30" s="280"/>
      <c r="G30" s="280"/>
      <c r="H30" s="274"/>
      <c r="I30" s="140" t="s">
        <v>223</v>
      </c>
      <c r="J30" s="140"/>
      <c r="K30" s="140"/>
    </row>
    <row r="31" spans="1:11" ht="27">
      <c r="A31" s="272"/>
      <c r="B31" s="279"/>
      <c r="C31" s="279"/>
      <c r="D31" s="147" t="s">
        <v>224</v>
      </c>
      <c r="E31" s="147" t="s">
        <v>225</v>
      </c>
      <c r="F31" s="147" t="s">
        <v>228</v>
      </c>
      <c r="G31" s="147" t="s">
        <v>227</v>
      </c>
      <c r="H31" s="147" t="s">
        <v>226</v>
      </c>
      <c r="I31" s="151">
        <f>销量!E8</f>
        <v>45</v>
      </c>
      <c r="J31" s="151"/>
      <c r="K31" s="151"/>
    </row>
    <row r="32" spans="1:11">
      <c r="B32" s="275" t="s">
        <v>217</v>
      </c>
      <c r="C32" s="275"/>
      <c r="D32" s="3"/>
      <c r="E32" s="142">
        <f>$I$31*G32</f>
        <v>0</v>
      </c>
      <c r="F32" s="171">
        <f t="shared" ref="F32:F39" si="5">F4</f>
        <v>5.8140600126520232E-2</v>
      </c>
      <c r="G32" s="177">
        <f t="shared" ref="G32:G39" si="6">G4</f>
        <v>0</v>
      </c>
      <c r="H32" s="143">
        <v>4.48E-2</v>
      </c>
    </row>
    <row r="33" spans="1:11">
      <c r="B33" s="275" t="s">
        <v>218</v>
      </c>
      <c r="C33" s="161" t="s">
        <v>219</v>
      </c>
      <c r="D33" s="3"/>
      <c r="E33" s="142">
        <f>$I$31*G33</f>
        <v>0</v>
      </c>
      <c r="F33" s="143">
        <f t="shared" si="5"/>
        <v>4.4999999999999998E-2</v>
      </c>
      <c r="G33" s="177">
        <f t="shared" si="6"/>
        <v>0</v>
      </c>
      <c r="H33" s="143">
        <v>4.0399999999999998E-2</v>
      </c>
    </row>
    <row r="34" spans="1:11">
      <c r="B34" s="275"/>
      <c r="C34" s="161" t="s">
        <v>220</v>
      </c>
      <c r="D34" s="3"/>
      <c r="E34" s="142">
        <f t="shared" ref="E34:E39" si="7">$I$31*G34</f>
        <v>0</v>
      </c>
      <c r="F34" s="171">
        <f t="shared" si="5"/>
        <v>1.8068356891203199E-2</v>
      </c>
      <c r="G34" s="177">
        <f t="shared" si="6"/>
        <v>0</v>
      </c>
      <c r="H34" s="143">
        <v>1.66E-2</v>
      </c>
    </row>
    <row r="35" spans="1:11">
      <c r="B35" s="273" t="s">
        <v>221</v>
      </c>
      <c r="C35" s="274"/>
      <c r="D35" s="145"/>
      <c r="E35" s="142">
        <f t="shared" si="7"/>
        <v>0</v>
      </c>
      <c r="F35" s="172">
        <f t="shared" si="5"/>
        <v>0.12120895701772344</v>
      </c>
      <c r="G35" s="177">
        <f t="shared" si="6"/>
        <v>0</v>
      </c>
      <c r="H35" s="146">
        <f>SUM(H32:H34)</f>
        <v>0.1018</v>
      </c>
    </row>
    <row r="36" spans="1:11">
      <c r="B36" s="275" t="s">
        <v>46</v>
      </c>
      <c r="C36" s="275"/>
      <c r="D36" s="3"/>
      <c r="E36" s="142">
        <f t="shared" si="7"/>
        <v>1.3050000000000002</v>
      </c>
      <c r="F36" s="173">
        <f t="shared" si="5"/>
        <v>4.0563309291379773E-2</v>
      </c>
      <c r="G36" s="177">
        <f t="shared" si="6"/>
        <v>2.9000000000000001E-2</v>
      </c>
      <c r="H36" s="143">
        <f>1.97%+0.75%</f>
        <v>2.7199999999999998E-2</v>
      </c>
    </row>
    <row r="37" spans="1:11">
      <c r="B37" s="276" t="s">
        <v>222</v>
      </c>
      <c r="C37" s="161" t="s">
        <v>219</v>
      </c>
      <c r="D37" s="3"/>
      <c r="E37" s="142">
        <f t="shared" si="7"/>
        <v>0.94500000000000006</v>
      </c>
      <c r="F37" s="143">
        <f t="shared" si="5"/>
        <v>7.9000000000000008E-3</v>
      </c>
      <c r="G37" s="177">
        <f t="shared" si="6"/>
        <v>2.1000000000000001E-2</v>
      </c>
      <c r="H37" s="143">
        <v>5.3E-3</v>
      </c>
    </row>
    <row r="38" spans="1:11">
      <c r="B38" s="277"/>
      <c r="C38" s="161" t="s">
        <v>220</v>
      </c>
      <c r="D38" s="3"/>
      <c r="E38" s="142">
        <f t="shared" si="7"/>
        <v>1.26</v>
      </c>
      <c r="F38" s="141">
        <f t="shared" si="5"/>
        <v>0.01</v>
      </c>
      <c r="G38" s="177">
        <f t="shared" si="6"/>
        <v>2.8000000000000001E-2</v>
      </c>
      <c r="H38" s="143">
        <v>3.4099999999999998E-2</v>
      </c>
    </row>
    <row r="39" spans="1:11">
      <c r="B39" s="275" t="s">
        <v>49</v>
      </c>
      <c r="C39" s="275"/>
      <c r="D39" s="3"/>
      <c r="E39" s="142">
        <f t="shared" si="7"/>
        <v>0.95850000000000002</v>
      </c>
      <c r="F39" s="143">
        <f t="shared" si="5"/>
        <v>2.1299999999999999E-2</v>
      </c>
      <c r="G39" s="177">
        <f t="shared" si="6"/>
        <v>2.1299999999999999E-2</v>
      </c>
      <c r="H39" s="143">
        <v>1.0999999999999999E-2</v>
      </c>
    </row>
    <row r="42" spans="1:11">
      <c r="B42" s="138"/>
      <c r="C42" s="138"/>
      <c r="D42" s="138"/>
      <c r="E42" s="138"/>
      <c r="F42" s="138"/>
      <c r="G42" s="278" t="s">
        <v>214</v>
      </c>
      <c r="H42" s="278"/>
      <c r="I42" s="139"/>
      <c r="J42" s="139"/>
      <c r="K42" s="139"/>
    </row>
    <row r="43" spans="1:11">
      <c r="A43" s="271" t="s">
        <v>264</v>
      </c>
      <c r="B43" s="279" t="s">
        <v>215</v>
      </c>
      <c r="C43" s="279"/>
      <c r="D43" s="273" t="s">
        <v>216</v>
      </c>
      <c r="E43" s="280"/>
      <c r="F43" s="280"/>
      <c r="G43" s="280"/>
      <c r="H43" s="274"/>
      <c r="I43" s="140" t="s">
        <v>223</v>
      </c>
      <c r="J43" s="140"/>
      <c r="K43" s="140"/>
    </row>
    <row r="44" spans="1:11" ht="27">
      <c r="A44" s="272"/>
      <c r="B44" s="279"/>
      <c r="C44" s="279"/>
      <c r="D44" s="147" t="s">
        <v>224</v>
      </c>
      <c r="E44" s="147" t="s">
        <v>225</v>
      </c>
      <c r="F44" s="147" t="s">
        <v>228</v>
      </c>
      <c r="G44" s="147" t="s">
        <v>227</v>
      </c>
      <c r="H44" s="147" t="s">
        <v>226</v>
      </c>
      <c r="I44" s="151">
        <f>销量!F8</f>
        <v>85</v>
      </c>
      <c r="J44" s="151"/>
      <c r="K44" s="151"/>
    </row>
    <row r="45" spans="1:11">
      <c r="B45" s="275" t="s">
        <v>217</v>
      </c>
      <c r="C45" s="275"/>
      <c r="D45" s="3"/>
      <c r="E45" s="142">
        <f>$I$44*G45</f>
        <v>0</v>
      </c>
      <c r="F45" s="171">
        <f t="shared" ref="F45:F52" si="8">F4</f>
        <v>5.8140600126520232E-2</v>
      </c>
      <c r="G45" s="177">
        <f t="shared" ref="G45:G52" si="9">G4</f>
        <v>0</v>
      </c>
      <c r="H45" s="143">
        <v>4.48E-2</v>
      </c>
    </row>
    <row r="46" spans="1:11">
      <c r="B46" s="275" t="s">
        <v>218</v>
      </c>
      <c r="C46" s="161" t="s">
        <v>219</v>
      </c>
      <c r="D46" s="3"/>
      <c r="E46" s="142">
        <f>$I$44*G46</f>
        <v>0</v>
      </c>
      <c r="F46" s="143">
        <f t="shared" si="8"/>
        <v>4.4999999999999998E-2</v>
      </c>
      <c r="G46" s="177">
        <f t="shared" si="9"/>
        <v>0</v>
      </c>
      <c r="H46" s="143">
        <v>4.0399999999999998E-2</v>
      </c>
    </row>
    <row r="47" spans="1:11">
      <c r="B47" s="275"/>
      <c r="C47" s="161" t="s">
        <v>220</v>
      </c>
      <c r="D47" s="3"/>
      <c r="E47" s="142">
        <f t="shared" ref="E47:E52" si="10">$I$44*G47</f>
        <v>0</v>
      </c>
      <c r="F47" s="171">
        <f t="shared" si="8"/>
        <v>1.8068356891203199E-2</v>
      </c>
      <c r="G47" s="177">
        <f t="shared" si="9"/>
        <v>0</v>
      </c>
      <c r="H47" s="143">
        <v>1.66E-2</v>
      </c>
    </row>
    <row r="48" spans="1:11">
      <c r="B48" s="273" t="s">
        <v>221</v>
      </c>
      <c r="C48" s="274"/>
      <c r="D48" s="145"/>
      <c r="E48" s="142">
        <f t="shared" si="10"/>
        <v>0</v>
      </c>
      <c r="F48" s="172">
        <f t="shared" si="8"/>
        <v>0.12120895701772344</v>
      </c>
      <c r="G48" s="177">
        <f t="shared" si="9"/>
        <v>0</v>
      </c>
      <c r="H48" s="146">
        <f>SUM(H45:H47)</f>
        <v>0.1018</v>
      </c>
    </row>
    <row r="49" spans="1:11">
      <c r="B49" s="275" t="s">
        <v>46</v>
      </c>
      <c r="C49" s="275"/>
      <c r="D49" s="3"/>
      <c r="E49" s="142">
        <f t="shared" si="10"/>
        <v>2.4650000000000003</v>
      </c>
      <c r="F49" s="173">
        <f t="shared" si="8"/>
        <v>4.0563309291379773E-2</v>
      </c>
      <c r="G49" s="177">
        <f t="shared" si="9"/>
        <v>2.9000000000000001E-2</v>
      </c>
      <c r="H49" s="143">
        <f>1.97%+0.75%</f>
        <v>2.7199999999999998E-2</v>
      </c>
    </row>
    <row r="50" spans="1:11">
      <c r="B50" s="276" t="s">
        <v>222</v>
      </c>
      <c r="C50" s="161" t="s">
        <v>219</v>
      </c>
      <c r="D50" s="3"/>
      <c r="E50" s="142">
        <f t="shared" si="10"/>
        <v>1.7850000000000001</v>
      </c>
      <c r="F50" s="143">
        <f t="shared" si="8"/>
        <v>7.9000000000000008E-3</v>
      </c>
      <c r="G50" s="177">
        <f t="shared" si="9"/>
        <v>2.1000000000000001E-2</v>
      </c>
      <c r="H50" s="143">
        <v>5.3E-3</v>
      </c>
    </row>
    <row r="51" spans="1:11">
      <c r="B51" s="277"/>
      <c r="C51" s="161" t="s">
        <v>220</v>
      </c>
      <c r="D51" s="3"/>
      <c r="E51" s="142">
        <f t="shared" si="10"/>
        <v>2.38</v>
      </c>
      <c r="F51" s="141">
        <f t="shared" si="8"/>
        <v>0.01</v>
      </c>
      <c r="G51" s="177">
        <f t="shared" si="9"/>
        <v>2.8000000000000001E-2</v>
      </c>
      <c r="H51" s="143">
        <v>3.4099999999999998E-2</v>
      </c>
    </row>
    <row r="52" spans="1:11">
      <c r="B52" s="275" t="s">
        <v>49</v>
      </c>
      <c r="C52" s="275"/>
      <c r="D52" s="3"/>
      <c r="E52" s="142">
        <f t="shared" si="10"/>
        <v>1.8105</v>
      </c>
      <c r="F52" s="143">
        <f t="shared" si="8"/>
        <v>2.1299999999999999E-2</v>
      </c>
      <c r="G52" s="177">
        <f t="shared" si="9"/>
        <v>2.1299999999999999E-2</v>
      </c>
      <c r="H52" s="143">
        <v>1.0999999999999999E-2</v>
      </c>
    </row>
    <row r="55" spans="1:11">
      <c r="B55" s="138"/>
      <c r="C55" s="138"/>
      <c r="D55" s="138"/>
      <c r="E55" s="138"/>
      <c r="F55" s="138"/>
      <c r="G55" s="278" t="s">
        <v>214</v>
      </c>
      <c r="H55" s="278"/>
      <c r="I55" s="139"/>
      <c r="J55" s="139"/>
      <c r="K55" s="139"/>
    </row>
    <row r="56" spans="1:11">
      <c r="A56" s="271" t="s">
        <v>265</v>
      </c>
      <c r="B56" s="279" t="s">
        <v>215</v>
      </c>
      <c r="C56" s="279"/>
      <c r="D56" s="273" t="s">
        <v>216</v>
      </c>
      <c r="E56" s="280"/>
      <c r="F56" s="280"/>
      <c r="G56" s="280"/>
      <c r="H56" s="274"/>
      <c r="I56" s="140" t="s">
        <v>223</v>
      </c>
      <c r="J56" s="140"/>
      <c r="K56" s="140"/>
    </row>
    <row r="57" spans="1:11" ht="27">
      <c r="A57" s="272"/>
      <c r="B57" s="279"/>
      <c r="C57" s="279"/>
      <c r="D57" s="147" t="s">
        <v>224</v>
      </c>
      <c r="E57" s="147" t="s">
        <v>225</v>
      </c>
      <c r="F57" s="147" t="s">
        <v>228</v>
      </c>
      <c r="G57" s="147" t="s">
        <v>227</v>
      </c>
      <c r="H57" s="147" t="s">
        <v>226</v>
      </c>
      <c r="I57" s="151">
        <f>销量!G8</f>
        <v>35</v>
      </c>
      <c r="J57" s="151"/>
      <c r="K57" s="151"/>
    </row>
    <row r="58" spans="1:11">
      <c r="B58" s="275" t="s">
        <v>217</v>
      </c>
      <c r="C58" s="275"/>
      <c r="D58" s="3"/>
      <c r="E58" s="142">
        <f>$I$57*G58</f>
        <v>0</v>
      </c>
      <c r="F58" s="171">
        <f t="shared" ref="F58:F65" si="11">F4</f>
        <v>5.8140600126520232E-2</v>
      </c>
      <c r="G58" s="177">
        <f t="shared" ref="G58:G65" si="12">G4</f>
        <v>0</v>
      </c>
      <c r="H58" s="143">
        <v>4.48E-2</v>
      </c>
    </row>
    <row r="59" spans="1:11">
      <c r="B59" s="275" t="s">
        <v>218</v>
      </c>
      <c r="C59" s="161" t="s">
        <v>219</v>
      </c>
      <c r="D59" s="3"/>
      <c r="E59" s="142">
        <f>$I$57*G59</f>
        <v>0</v>
      </c>
      <c r="F59" s="143">
        <f t="shared" si="11"/>
        <v>4.4999999999999998E-2</v>
      </c>
      <c r="G59" s="177">
        <f t="shared" si="12"/>
        <v>0</v>
      </c>
      <c r="H59" s="143">
        <v>4.0399999999999998E-2</v>
      </c>
    </row>
    <row r="60" spans="1:11">
      <c r="B60" s="275"/>
      <c r="C60" s="161" t="s">
        <v>220</v>
      </c>
      <c r="D60" s="3"/>
      <c r="E60" s="142">
        <f t="shared" ref="E60:E65" si="13">$I$57*G60</f>
        <v>0</v>
      </c>
      <c r="F60" s="171">
        <f t="shared" si="11"/>
        <v>1.8068356891203199E-2</v>
      </c>
      <c r="G60" s="177">
        <f t="shared" si="12"/>
        <v>0</v>
      </c>
      <c r="H60" s="143">
        <v>1.66E-2</v>
      </c>
    </row>
    <row r="61" spans="1:11">
      <c r="B61" s="273" t="s">
        <v>221</v>
      </c>
      <c r="C61" s="274"/>
      <c r="D61" s="145"/>
      <c r="E61" s="142">
        <f t="shared" si="13"/>
        <v>0</v>
      </c>
      <c r="F61" s="172">
        <f t="shared" si="11"/>
        <v>0.12120895701772344</v>
      </c>
      <c r="G61" s="177">
        <f t="shared" si="12"/>
        <v>0</v>
      </c>
      <c r="H61" s="146">
        <f>SUM(H58:H60)</f>
        <v>0.1018</v>
      </c>
    </row>
    <row r="62" spans="1:11">
      <c r="B62" s="275" t="s">
        <v>46</v>
      </c>
      <c r="C62" s="275"/>
      <c r="D62" s="3"/>
      <c r="E62" s="142">
        <f t="shared" si="13"/>
        <v>1.0150000000000001</v>
      </c>
      <c r="F62" s="173">
        <f t="shared" si="11"/>
        <v>4.0563309291379773E-2</v>
      </c>
      <c r="G62" s="177">
        <f t="shared" si="12"/>
        <v>2.9000000000000001E-2</v>
      </c>
      <c r="H62" s="143">
        <f>1.97%+0.75%</f>
        <v>2.7199999999999998E-2</v>
      </c>
    </row>
    <row r="63" spans="1:11">
      <c r="B63" s="276" t="s">
        <v>222</v>
      </c>
      <c r="C63" s="161" t="s">
        <v>219</v>
      </c>
      <c r="D63" s="3"/>
      <c r="E63" s="142">
        <f t="shared" si="13"/>
        <v>0.7350000000000001</v>
      </c>
      <c r="F63" s="143">
        <f t="shared" si="11"/>
        <v>7.9000000000000008E-3</v>
      </c>
      <c r="G63" s="177">
        <f t="shared" si="12"/>
        <v>2.1000000000000001E-2</v>
      </c>
      <c r="H63" s="143">
        <v>5.3E-3</v>
      </c>
    </row>
    <row r="64" spans="1:11">
      <c r="B64" s="277"/>
      <c r="C64" s="161" t="s">
        <v>220</v>
      </c>
      <c r="D64" s="3"/>
      <c r="E64" s="142">
        <f t="shared" si="13"/>
        <v>0.98</v>
      </c>
      <c r="F64" s="141">
        <f t="shared" si="11"/>
        <v>0.01</v>
      </c>
      <c r="G64" s="177">
        <f t="shared" si="12"/>
        <v>2.8000000000000001E-2</v>
      </c>
      <c r="H64" s="143">
        <v>3.4099999999999998E-2</v>
      </c>
    </row>
    <row r="65" spans="1:11">
      <c r="B65" s="275" t="s">
        <v>49</v>
      </c>
      <c r="C65" s="275"/>
      <c r="D65" s="3"/>
      <c r="E65" s="142">
        <f t="shared" si="13"/>
        <v>0.74549999999999994</v>
      </c>
      <c r="F65" s="143">
        <f t="shared" si="11"/>
        <v>2.1299999999999999E-2</v>
      </c>
      <c r="G65" s="177">
        <f t="shared" si="12"/>
        <v>2.1299999999999999E-2</v>
      </c>
      <c r="H65" s="143">
        <v>1.0999999999999999E-2</v>
      </c>
    </row>
    <row r="68" spans="1:11">
      <c r="B68" s="138"/>
      <c r="C68" s="138"/>
      <c r="D68" s="138"/>
      <c r="E68" s="138"/>
      <c r="F68" s="138"/>
      <c r="G68" s="278" t="s">
        <v>214</v>
      </c>
      <c r="H68" s="278"/>
      <c r="I68" s="139"/>
      <c r="J68" s="139"/>
      <c r="K68" s="139"/>
    </row>
    <row r="69" spans="1:11">
      <c r="A69" s="271" t="s">
        <v>266</v>
      </c>
      <c r="B69" s="279" t="s">
        <v>215</v>
      </c>
      <c r="C69" s="279"/>
      <c r="D69" s="273" t="s">
        <v>216</v>
      </c>
      <c r="E69" s="280"/>
      <c r="F69" s="280"/>
      <c r="G69" s="280"/>
      <c r="H69" s="274"/>
      <c r="I69" s="140" t="s">
        <v>223</v>
      </c>
      <c r="J69" s="140"/>
      <c r="K69" s="140"/>
    </row>
    <row r="70" spans="1:11" ht="27">
      <c r="A70" s="272"/>
      <c r="B70" s="279"/>
      <c r="C70" s="279"/>
      <c r="D70" s="147" t="s">
        <v>224</v>
      </c>
      <c r="E70" s="147" t="s">
        <v>225</v>
      </c>
      <c r="F70" s="147" t="s">
        <v>228</v>
      </c>
      <c r="G70" s="147" t="s">
        <v>227</v>
      </c>
      <c r="H70" s="147" t="s">
        <v>226</v>
      </c>
      <c r="I70" s="151">
        <f>销量!H8</f>
        <v>45</v>
      </c>
      <c r="J70" s="151"/>
      <c r="K70" s="151"/>
    </row>
    <row r="71" spans="1:11">
      <c r="B71" s="275" t="s">
        <v>217</v>
      </c>
      <c r="C71" s="275"/>
      <c r="D71" s="3"/>
      <c r="E71" s="142">
        <f>$I$70*G71</f>
        <v>0</v>
      </c>
      <c r="F71" s="171">
        <f t="shared" ref="F71:F78" si="14">F4</f>
        <v>5.8140600126520232E-2</v>
      </c>
      <c r="G71" s="177">
        <f t="shared" ref="G71:G78" si="15">G4</f>
        <v>0</v>
      </c>
      <c r="H71" s="143"/>
    </row>
    <row r="72" spans="1:11">
      <c r="B72" s="275" t="s">
        <v>218</v>
      </c>
      <c r="C72" s="161" t="s">
        <v>219</v>
      </c>
      <c r="D72" s="3"/>
      <c r="E72" s="142">
        <f>$I$70*G72</f>
        <v>0</v>
      </c>
      <c r="F72" s="143">
        <f t="shared" si="14"/>
        <v>4.4999999999999998E-2</v>
      </c>
      <c r="G72" s="177">
        <f t="shared" si="15"/>
        <v>0</v>
      </c>
      <c r="H72" s="143"/>
    </row>
    <row r="73" spans="1:11">
      <c r="B73" s="275"/>
      <c r="C73" s="161" t="s">
        <v>220</v>
      </c>
      <c r="D73" s="3"/>
      <c r="E73" s="142">
        <f t="shared" ref="E73:E78" si="16">$I$70*G73</f>
        <v>0</v>
      </c>
      <c r="F73" s="171">
        <f t="shared" si="14"/>
        <v>1.8068356891203199E-2</v>
      </c>
      <c r="G73" s="177">
        <f t="shared" si="15"/>
        <v>0</v>
      </c>
      <c r="H73" s="143"/>
    </row>
    <row r="74" spans="1:11">
      <c r="B74" s="273" t="s">
        <v>221</v>
      </c>
      <c r="C74" s="274"/>
      <c r="D74" s="145"/>
      <c r="E74" s="142">
        <f t="shared" si="16"/>
        <v>0</v>
      </c>
      <c r="F74" s="172">
        <f t="shared" si="14"/>
        <v>0.12120895701772344</v>
      </c>
      <c r="G74" s="177">
        <f t="shared" si="15"/>
        <v>0</v>
      </c>
      <c r="H74" s="146"/>
    </row>
    <row r="75" spans="1:11">
      <c r="B75" s="275" t="s">
        <v>46</v>
      </c>
      <c r="C75" s="275"/>
      <c r="D75" s="3"/>
      <c r="E75" s="142">
        <f t="shared" si="16"/>
        <v>1.3050000000000002</v>
      </c>
      <c r="F75" s="173">
        <f t="shared" si="14"/>
        <v>4.0563309291379773E-2</v>
      </c>
      <c r="G75" s="177">
        <f t="shared" si="15"/>
        <v>2.9000000000000001E-2</v>
      </c>
      <c r="H75" s="143"/>
    </row>
    <row r="76" spans="1:11">
      <c r="B76" s="276" t="s">
        <v>222</v>
      </c>
      <c r="C76" s="161" t="s">
        <v>219</v>
      </c>
      <c r="D76" s="3"/>
      <c r="E76" s="142">
        <f t="shared" si="16"/>
        <v>0.94500000000000006</v>
      </c>
      <c r="F76" s="143">
        <f t="shared" si="14"/>
        <v>7.9000000000000008E-3</v>
      </c>
      <c r="G76" s="177">
        <f t="shared" si="15"/>
        <v>2.1000000000000001E-2</v>
      </c>
      <c r="H76" s="143"/>
    </row>
    <row r="77" spans="1:11">
      <c r="B77" s="277"/>
      <c r="C77" s="161" t="s">
        <v>220</v>
      </c>
      <c r="D77" s="3"/>
      <c r="E77" s="142">
        <f t="shared" si="16"/>
        <v>1.26</v>
      </c>
      <c r="F77" s="141">
        <f t="shared" si="14"/>
        <v>0.01</v>
      </c>
      <c r="G77" s="177">
        <f t="shared" si="15"/>
        <v>2.8000000000000001E-2</v>
      </c>
      <c r="H77" s="143"/>
    </row>
    <row r="78" spans="1:11">
      <c r="B78" s="275" t="s">
        <v>49</v>
      </c>
      <c r="C78" s="275"/>
      <c r="D78" s="3"/>
      <c r="E78" s="142">
        <f t="shared" si="16"/>
        <v>0.95850000000000002</v>
      </c>
      <c r="F78" s="143">
        <f t="shared" si="14"/>
        <v>2.1299999999999999E-2</v>
      </c>
      <c r="G78" s="177">
        <f t="shared" si="15"/>
        <v>2.1299999999999999E-2</v>
      </c>
      <c r="H78" s="143"/>
    </row>
    <row r="82" spans="1:11">
      <c r="B82" s="138"/>
      <c r="C82" s="138"/>
      <c r="D82" s="138"/>
      <c r="E82" s="138"/>
      <c r="F82" s="138"/>
      <c r="G82" s="278" t="s">
        <v>214</v>
      </c>
      <c r="H82" s="278"/>
      <c r="I82" s="139"/>
      <c r="J82" s="139"/>
      <c r="K82" s="139"/>
    </row>
    <row r="83" spans="1:11">
      <c r="A83" s="271" t="s">
        <v>267</v>
      </c>
      <c r="B83" s="279" t="s">
        <v>215</v>
      </c>
      <c r="C83" s="279"/>
      <c r="D83" s="273" t="s">
        <v>216</v>
      </c>
      <c r="E83" s="280"/>
      <c r="F83" s="280"/>
      <c r="G83" s="280"/>
      <c r="H83" s="274"/>
      <c r="I83" s="140" t="s">
        <v>223</v>
      </c>
      <c r="J83" s="140"/>
      <c r="K83" s="140"/>
    </row>
    <row r="84" spans="1:11" ht="27">
      <c r="A84" s="272"/>
      <c r="B84" s="279"/>
      <c r="C84" s="279"/>
      <c r="D84" s="147" t="s">
        <v>224</v>
      </c>
      <c r="E84" s="147" t="s">
        <v>225</v>
      </c>
      <c r="F84" s="147" t="s">
        <v>228</v>
      </c>
      <c r="G84" s="147" t="s">
        <v>227</v>
      </c>
      <c r="H84" s="147" t="s">
        <v>226</v>
      </c>
      <c r="I84" s="151">
        <f>销量!I8</f>
        <v>0</v>
      </c>
      <c r="J84" s="151"/>
      <c r="K84" s="151"/>
    </row>
    <row r="85" spans="1:11">
      <c r="B85" s="275" t="s">
        <v>217</v>
      </c>
      <c r="C85" s="275"/>
      <c r="D85" s="3"/>
      <c r="E85" s="142">
        <f>$I$84*G85</f>
        <v>0</v>
      </c>
      <c r="F85" s="171">
        <f t="shared" ref="F85:F92" si="17">F4</f>
        <v>5.8140600126520232E-2</v>
      </c>
      <c r="G85" s="177">
        <v>5.1891753653367817E-2</v>
      </c>
      <c r="H85" s="143"/>
    </row>
    <row r="86" spans="1:11">
      <c r="B86" s="275" t="s">
        <v>218</v>
      </c>
      <c r="C86" s="180" t="s">
        <v>219</v>
      </c>
      <c r="D86" s="3"/>
      <c r="E86" s="142">
        <f>$I$84*G86</f>
        <v>0</v>
      </c>
      <c r="F86" s="143">
        <f t="shared" si="17"/>
        <v>4.4999999999999998E-2</v>
      </c>
      <c r="G86" s="177">
        <v>7.6600000000000001E-2</v>
      </c>
      <c r="H86" s="143"/>
    </row>
    <row r="87" spans="1:11">
      <c r="B87" s="275"/>
      <c r="C87" s="180" t="s">
        <v>220</v>
      </c>
      <c r="D87" s="3"/>
      <c r="E87" s="142">
        <f t="shared" ref="E87:E92" si="18">$I$84*G87</f>
        <v>0</v>
      </c>
      <c r="F87" s="171">
        <f t="shared" si="17"/>
        <v>1.8068356891203199E-2</v>
      </c>
      <c r="G87" s="177">
        <v>9.0513005545788342E-3</v>
      </c>
      <c r="H87" s="143"/>
    </row>
    <row r="88" spans="1:11">
      <c r="B88" s="273" t="s">
        <v>221</v>
      </c>
      <c r="C88" s="274"/>
      <c r="D88" s="145"/>
      <c r="E88" s="142">
        <f t="shared" si="18"/>
        <v>0</v>
      </c>
      <c r="F88" s="172">
        <f t="shared" si="17"/>
        <v>0.12120895701772344</v>
      </c>
      <c r="G88" s="177">
        <f>G85+G86+G87</f>
        <v>0.13754305420794666</v>
      </c>
      <c r="H88" s="146"/>
    </row>
    <row r="89" spans="1:11">
      <c r="B89" s="275" t="s">
        <v>46</v>
      </c>
      <c r="C89" s="275"/>
      <c r="D89" s="3"/>
      <c r="E89" s="142">
        <f t="shared" si="18"/>
        <v>0</v>
      </c>
      <c r="F89" s="173">
        <f t="shared" si="17"/>
        <v>4.0563309291379773E-2</v>
      </c>
      <c r="G89" s="177">
        <v>3.4700000000000002E-2</v>
      </c>
      <c r="H89" s="143"/>
    </row>
    <row r="90" spans="1:11">
      <c r="B90" s="276" t="s">
        <v>222</v>
      </c>
      <c r="C90" s="180" t="s">
        <v>219</v>
      </c>
      <c r="D90" s="3"/>
      <c r="E90" s="142">
        <f t="shared" si="18"/>
        <v>0</v>
      </c>
      <c r="F90" s="143">
        <f t="shared" si="17"/>
        <v>7.9000000000000008E-3</v>
      </c>
      <c r="G90" s="177">
        <v>3.3999999999999998E-3</v>
      </c>
      <c r="H90" s="143"/>
    </row>
    <row r="91" spans="1:11">
      <c r="B91" s="277"/>
      <c r="C91" s="180" t="s">
        <v>220</v>
      </c>
      <c r="D91" s="3"/>
      <c r="E91" s="142">
        <f t="shared" si="18"/>
        <v>0</v>
      </c>
      <c r="F91" s="141">
        <f t="shared" si="17"/>
        <v>0.01</v>
      </c>
      <c r="G91" s="177">
        <v>1.0999999999999999E-2</v>
      </c>
      <c r="H91" s="143"/>
    </row>
    <row r="92" spans="1:11">
      <c r="B92" s="275" t="s">
        <v>49</v>
      </c>
      <c r="C92" s="275"/>
      <c r="D92" s="3"/>
      <c r="E92" s="142">
        <f t="shared" si="18"/>
        <v>0</v>
      </c>
      <c r="F92" s="143">
        <f t="shared" si="17"/>
        <v>2.1299999999999999E-2</v>
      </c>
      <c r="G92" s="177">
        <v>0.04</v>
      </c>
      <c r="H92" s="143"/>
    </row>
  </sheetData>
  <mergeCells count="70"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G15:H15"/>
    <mergeCell ref="B16:C17"/>
    <mergeCell ref="D16:H16"/>
    <mergeCell ref="B18:C18"/>
    <mergeCell ref="B19:B20"/>
    <mergeCell ref="B21:C21"/>
    <mergeCell ref="B22:C22"/>
    <mergeCell ref="B23:B24"/>
    <mergeCell ref="B25:C25"/>
    <mergeCell ref="G29:H29"/>
    <mergeCell ref="B30:C31"/>
    <mergeCell ref="D30:H30"/>
    <mergeCell ref="B32:C32"/>
    <mergeCell ref="B33:B34"/>
    <mergeCell ref="B35:C35"/>
    <mergeCell ref="B36:C36"/>
    <mergeCell ref="B37:B38"/>
    <mergeCell ref="B39:C39"/>
    <mergeCell ref="G42:H42"/>
    <mergeCell ref="B43:C44"/>
    <mergeCell ref="D43:H43"/>
    <mergeCell ref="B45:C45"/>
    <mergeCell ref="B46:B47"/>
    <mergeCell ref="B48:C48"/>
    <mergeCell ref="B49:C49"/>
    <mergeCell ref="B50:B51"/>
    <mergeCell ref="B52:C52"/>
    <mergeCell ref="G55:H55"/>
    <mergeCell ref="B56:C57"/>
    <mergeCell ref="D56:H56"/>
    <mergeCell ref="B58:C58"/>
    <mergeCell ref="B59:B60"/>
    <mergeCell ref="B61:C61"/>
    <mergeCell ref="B62:C62"/>
    <mergeCell ref="B63:B64"/>
    <mergeCell ref="B65:C65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A69:A70"/>
    <mergeCell ref="A83:A84"/>
    <mergeCell ref="A2:A3"/>
    <mergeCell ref="A16:A17"/>
    <mergeCell ref="A30:A31"/>
    <mergeCell ref="A43:A44"/>
    <mergeCell ref="A56:A5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17" sqref="I17"/>
    </sheetView>
  </sheetViews>
  <sheetFormatPr defaultRowHeight="13.5"/>
  <cols>
    <col min="2" max="2" width="15.375" customWidth="1"/>
    <col min="3" max="3" width="31.75" customWidth="1"/>
    <col min="5" max="5" width="9.25" customWidth="1"/>
    <col min="6" max="6" width="9.625" customWidth="1"/>
  </cols>
  <sheetData>
    <row r="1" spans="1:9">
      <c r="A1" s="196"/>
    </row>
    <row r="2" spans="1:9" ht="18.75">
      <c r="B2" s="281" t="s">
        <v>271</v>
      </c>
      <c r="C2" s="281"/>
      <c r="D2" s="281"/>
      <c r="E2" s="281"/>
      <c r="F2" s="281"/>
      <c r="G2" s="281"/>
      <c r="H2" s="281"/>
      <c r="I2" s="281"/>
    </row>
    <row r="3" spans="1:9" s="301" customFormat="1" ht="30" customHeight="1">
      <c r="B3" s="302" t="s">
        <v>272</v>
      </c>
      <c r="C3" s="302" t="s">
        <v>273</v>
      </c>
      <c r="D3" s="303" t="s">
        <v>274</v>
      </c>
      <c r="E3" s="302" t="s">
        <v>275</v>
      </c>
      <c r="F3" s="304" t="s">
        <v>276</v>
      </c>
      <c r="G3" s="305" t="s">
        <v>277</v>
      </c>
      <c r="H3" s="306" t="s">
        <v>278</v>
      </c>
      <c r="I3" s="305" t="s">
        <v>279</v>
      </c>
    </row>
    <row r="4" spans="1:9">
      <c r="B4" s="197" t="str">
        <f>销量!C6</f>
        <v>A9608118007-2</v>
      </c>
      <c r="C4" s="197" t="str">
        <f>销量!C5</f>
        <v>左后盖 ABDECKUNG LI FHS2500 CHN</v>
      </c>
      <c r="D4" s="205" t="str">
        <f>销量!C7</f>
        <v>喷漆</v>
      </c>
      <c r="E4" s="28">
        <f>材料成本!D6</f>
        <v>68.778073453456784</v>
      </c>
      <c r="F4" s="300">
        <f>销量!C8</f>
        <v>85</v>
      </c>
      <c r="G4" s="28">
        <f t="shared" ref="G4:G9" si="0">F4-E4</f>
        <v>16.221926546543216</v>
      </c>
      <c r="H4" s="200">
        <f t="shared" ref="H4:H9" si="1">G4/F4</f>
        <v>0.1908461946652143</v>
      </c>
      <c r="I4" s="1"/>
    </row>
    <row r="5" spans="1:9">
      <c r="B5" s="197" t="str">
        <f>销量!D6</f>
        <v>A9608118207-2</v>
      </c>
      <c r="C5" s="197" t="str">
        <f>销量!D5</f>
        <v>左后盖装饰盖 ABDECKUNG UT LI CHN</v>
      </c>
      <c r="D5" s="205" t="str">
        <f>销量!D7</f>
        <v>喷漆</v>
      </c>
      <c r="E5" s="28">
        <f>材料成本!E6</f>
        <v>27.56</v>
      </c>
      <c r="F5" s="300">
        <f>销量!D8</f>
        <v>35</v>
      </c>
      <c r="G5" s="28">
        <f t="shared" si="0"/>
        <v>7.4400000000000013</v>
      </c>
      <c r="H5" s="200">
        <f t="shared" si="1"/>
        <v>0.21257142857142861</v>
      </c>
      <c r="I5" s="1"/>
    </row>
    <row r="6" spans="1:9">
      <c r="B6" s="197" t="str">
        <f>销量!E6</f>
        <v>A9608118207-3</v>
      </c>
      <c r="C6" s="197" t="str">
        <f>销量!E5</f>
        <v>左后盖装饰盖 ABDECKUNG UT LI CHN</v>
      </c>
      <c r="D6" s="205" t="str">
        <f>销量!E7</f>
        <v>镀铬</v>
      </c>
      <c r="E6" s="28">
        <f>材料成本!F6</f>
        <v>35.018879499744017</v>
      </c>
      <c r="F6" s="300">
        <f>销量!E8</f>
        <v>45</v>
      </c>
      <c r="G6" s="28">
        <f t="shared" si="0"/>
        <v>9.9811205002559831</v>
      </c>
      <c r="H6" s="200">
        <f t="shared" si="1"/>
        <v>0.2218026777834663</v>
      </c>
      <c r="I6" s="1"/>
    </row>
    <row r="7" spans="1:9">
      <c r="B7" s="197" t="str">
        <f>销量!F6</f>
        <v>A9608118107-2</v>
      </c>
      <c r="C7" s="197" t="str">
        <f>销量!F5</f>
        <v>右后盖 ABDECKUNG RE FHS2500 CHN</v>
      </c>
      <c r="D7" s="205" t="str">
        <f>销量!F7</f>
        <v>喷漆</v>
      </c>
      <c r="E7" s="28">
        <f>材料成本!G6</f>
        <v>68.778073453456784</v>
      </c>
      <c r="F7" s="300">
        <f>销量!F8</f>
        <v>85</v>
      </c>
      <c r="G7" s="28">
        <f t="shared" si="0"/>
        <v>16.221926546543216</v>
      </c>
      <c r="H7" s="200">
        <f t="shared" si="1"/>
        <v>0.1908461946652143</v>
      </c>
      <c r="I7" s="1"/>
    </row>
    <row r="8" spans="1:9" ht="16.5">
      <c r="B8" s="198" t="str">
        <f>销量!G6</f>
        <v>A9608118307-2</v>
      </c>
      <c r="C8" s="197" t="str">
        <f>销量!G5</f>
        <v>右后盖装饰盖 ABDECKUNG UT RE CHN</v>
      </c>
      <c r="D8" s="307" t="str">
        <f>销量!G7</f>
        <v>喷漆</v>
      </c>
      <c r="E8" s="28">
        <f>材料成本!H6</f>
        <v>27.56</v>
      </c>
      <c r="F8" s="300">
        <f>销量!G8</f>
        <v>35</v>
      </c>
      <c r="G8" s="28">
        <f t="shared" si="0"/>
        <v>7.4400000000000013</v>
      </c>
      <c r="H8" s="200">
        <f t="shared" si="1"/>
        <v>0.21257142857142861</v>
      </c>
      <c r="I8" s="1"/>
    </row>
    <row r="9" spans="1:9" ht="16.5">
      <c r="B9" s="202" t="str">
        <f>销量!H6</f>
        <v>A9608118307-3</v>
      </c>
      <c r="C9" s="197" t="str">
        <f>销量!H5</f>
        <v>右后盖装饰盖 ABDECKUNG UT RE CHN</v>
      </c>
      <c r="D9" s="308" t="str">
        <f>销量!H7</f>
        <v>镀铬</v>
      </c>
      <c r="E9" s="28">
        <f>材料成本!I6</f>
        <v>35.018879499744017</v>
      </c>
      <c r="F9" s="300">
        <f>销量!H8</f>
        <v>45</v>
      </c>
      <c r="G9" s="28">
        <f t="shared" si="0"/>
        <v>9.9811205002559831</v>
      </c>
      <c r="H9" s="200">
        <f t="shared" si="1"/>
        <v>0.2218026777834663</v>
      </c>
      <c r="I9" s="199"/>
    </row>
    <row r="10" spans="1:9" ht="16.5">
      <c r="B10" s="202">
        <f>销量!I6</f>
        <v>0</v>
      </c>
      <c r="C10" s="197">
        <f>销量!I5</f>
        <v>0</v>
      </c>
      <c r="D10" s="201"/>
      <c r="E10" s="28">
        <f>材料成本!J6</f>
        <v>0</v>
      </c>
      <c r="F10" s="300">
        <f>销量!I8</f>
        <v>0</v>
      </c>
      <c r="G10" s="28">
        <f>F10-E10</f>
        <v>0</v>
      </c>
      <c r="H10" s="200" t="e">
        <f>G10/F10</f>
        <v>#DIV/0!</v>
      </c>
      <c r="I10" s="203"/>
    </row>
    <row r="11" spans="1:9" ht="16.5" customHeight="1">
      <c r="B11" s="282" t="s">
        <v>280</v>
      </c>
      <c r="C11" s="283"/>
      <c r="D11" s="284"/>
      <c r="E11" s="28">
        <f>SUM(E4:E10)</f>
        <v>262.71390590640158</v>
      </c>
      <c r="F11" s="28">
        <f t="shared" ref="F11:G11" si="2">SUM(F4:F10)</f>
        <v>330</v>
      </c>
      <c r="G11" s="28">
        <f t="shared" si="2"/>
        <v>67.286094093598393</v>
      </c>
      <c r="H11" s="200">
        <f>G11/F11</f>
        <v>0.20389725482908605</v>
      </c>
      <c r="I11" s="204"/>
    </row>
  </sheetData>
  <mergeCells count="2">
    <mergeCell ref="B2:I2"/>
    <mergeCell ref="B11:D11"/>
  </mergeCells>
  <phoneticPr fontId="3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6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I16" sqref="I16"/>
    </sheetView>
  </sheetViews>
  <sheetFormatPr defaultColWidth="9" defaultRowHeight="16.5"/>
  <cols>
    <col min="1" max="1" width="5.125" style="107" customWidth="1"/>
    <col min="2" max="2" width="35.75" style="107" customWidth="1"/>
    <col min="3" max="3" width="14.5" style="108" customWidth="1"/>
    <col min="4" max="9" width="13" style="108" customWidth="1"/>
    <col min="10" max="10" width="16.5" style="108" customWidth="1"/>
    <col min="11" max="11" width="15.5" style="107" customWidth="1"/>
    <col min="12" max="37" width="9" style="107"/>
    <col min="38" max="38" width="4.375" style="107" customWidth="1"/>
    <col min="39" max="39" width="13.875" style="107" customWidth="1"/>
    <col min="40" max="16384" width="9" style="107"/>
  </cols>
  <sheetData>
    <row r="1" spans="1:40" ht="27" customHeight="1">
      <c r="A1" s="216" t="s">
        <v>281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40" ht="15.75" customHeight="1">
      <c r="A2" s="217" t="s">
        <v>15</v>
      </c>
      <c r="B2" s="109" t="s">
        <v>1</v>
      </c>
      <c r="C2" s="109" t="s">
        <v>248</v>
      </c>
      <c r="D2" s="109" t="s">
        <v>249</v>
      </c>
      <c r="E2" s="109" t="s">
        <v>250</v>
      </c>
      <c r="F2" s="109" t="s">
        <v>251</v>
      </c>
      <c r="G2" s="109" t="s">
        <v>252</v>
      </c>
      <c r="H2" s="109" t="s">
        <v>247</v>
      </c>
      <c r="I2" s="109" t="s">
        <v>269</v>
      </c>
      <c r="J2" s="49" t="s">
        <v>16</v>
      </c>
      <c r="AN2" s="107" t="s">
        <v>17</v>
      </c>
    </row>
    <row r="3" spans="1:40" s="46" customFormat="1" ht="15.75" customHeight="1">
      <c r="A3" s="218"/>
      <c r="B3" s="51" t="s">
        <v>3</v>
      </c>
      <c r="C3" s="110">
        <f>'2023年'!I6</f>
        <v>8000</v>
      </c>
      <c r="D3" s="110">
        <f>'2024年'!I6</f>
        <v>80000</v>
      </c>
      <c r="E3" s="110">
        <f>'2025年'!I6</f>
        <v>160000</v>
      </c>
      <c r="F3" s="110">
        <f>'2026年'!I6</f>
        <v>160000</v>
      </c>
      <c r="G3" s="110">
        <f>'2027年 '!I6</f>
        <v>160000</v>
      </c>
      <c r="H3" s="110">
        <f>'2028年'!I6</f>
        <v>0</v>
      </c>
      <c r="I3" s="110">
        <f>'2029年'!I6</f>
        <v>0</v>
      </c>
      <c r="J3" s="110">
        <f t="shared" ref="J3:J11" si="0">SUM(C3:I3)</f>
        <v>568000</v>
      </c>
      <c r="K3" s="67"/>
      <c r="AL3" s="50" t="s">
        <v>15</v>
      </c>
      <c r="AM3" s="51" t="s">
        <v>3</v>
      </c>
      <c r="AN3" s="46" t="s">
        <v>18</v>
      </c>
    </row>
    <row r="4" spans="1:40" s="46" customFormat="1" ht="15.75" customHeight="1">
      <c r="A4" s="60">
        <v>1</v>
      </c>
      <c r="B4" s="51" t="s">
        <v>19</v>
      </c>
      <c r="C4" s="110">
        <f>'2023年'!I7</f>
        <v>500000</v>
      </c>
      <c r="D4" s="110">
        <f>'2024年'!I7</f>
        <v>5000000</v>
      </c>
      <c r="E4" s="110">
        <f>'2025年'!I7</f>
        <v>10000000</v>
      </c>
      <c r="F4" s="110">
        <f>'2026年'!I7</f>
        <v>10000000</v>
      </c>
      <c r="G4" s="110">
        <f>'2027年 '!I7</f>
        <v>10000000</v>
      </c>
      <c r="H4" s="110">
        <f>'2028年'!I7</f>
        <v>0</v>
      </c>
      <c r="I4" s="110">
        <f>'2029年'!I7</f>
        <v>0</v>
      </c>
      <c r="J4" s="110">
        <f t="shared" si="0"/>
        <v>35500000</v>
      </c>
      <c r="K4" s="67"/>
      <c r="AL4" s="50" t="s">
        <v>20</v>
      </c>
      <c r="AM4" s="51" t="s">
        <v>19</v>
      </c>
      <c r="AN4" s="46" t="s">
        <v>18</v>
      </c>
    </row>
    <row r="5" spans="1:40" s="46" customFormat="1" ht="15.75" customHeight="1">
      <c r="A5" s="60">
        <v>2</v>
      </c>
      <c r="B5" s="48" t="s">
        <v>21</v>
      </c>
      <c r="C5" s="110">
        <f>'2023年'!I8</f>
        <v>0</v>
      </c>
      <c r="D5" s="110">
        <f>'2024年'!I8</f>
        <v>50000.000000000044</v>
      </c>
      <c r="E5" s="110">
        <f>'2025年'!I8</f>
        <v>198999.99999999919</v>
      </c>
      <c r="F5" s="110">
        <f>'2026年'!I8</f>
        <v>297009.99999999971</v>
      </c>
      <c r="G5" s="110">
        <f>'2027年 '!I8</f>
        <v>297009.99999999971</v>
      </c>
      <c r="H5" s="110">
        <f>'2028年'!I8</f>
        <v>0</v>
      </c>
      <c r="I5" s="110">
        <f>'2029年'!I8</f>
        <v>0</v>
      </c>
      <c r="J5" s="110">
        <f t="shared" si="0"/>
        <v>843019.9999999986</v>
      </c>
      <c r="K5" s="67"/>
      <c r="AL5" s="50" t="s">
        <v>22</v>
      </c>
      <c r="AM5" s="48" t="s">
        <v>23</v>
      </c>
      <c r="AN5" s="46" t="s">
        <v>18</v>
      </c>
    </row>
    <row r="6" spans="1:40" s="46" customFormat="1" ht="15.75" customHeight="1">
      <c r="A6" s="60">
        <v>3</v>
      </c>
      <c r="B6" s="51" t="s">
        <v>24</v>
      </c>
      <c r="C6" s="111">
        <f>+C4-C5</f>
        <v>500000</v>
      </c>
      <c r="D6" s="111">
        <f>'2024年'!I9</f>
        <v>4950000</v>
      </c>
      <c r="E6" s="111">
        <f>'2025年'!I9</f>
        <v>9801000.0000000019</v>
      </c>
      <c r="F6" s="111">
        <f>'2026年'!I9</f>
        <v>9702990</v>
      </c>
      <c r="G6" s="110">
        <f>'2027年 '!I9</f>
        <v>9702990</v>
      </c>
      <c r="H6" s="111">
        <f>'2028年'!I9</f>
        <v>0</v>
      </c>
      <c r="I6" s="110">
        <f>'2029年'!I9</f>
        <v>0</v>
      </c>
      <c r="J6" s="110">
        <f t="shared" si="0"/>
        <v>34656980</v>
      </c>
      <c r="K6" s="67"/>
      <c r="AL6" s="50" t="s">
        <v>25</v>
      </c>
      <c r="AM6" s="51" t="s">
        <v>24</v>
      </c>
      <c r="AN6" s="46" t="s">
        <v>26</v>
      </c>
    </row>
    <row r="7" spans="1:40" s="46" customFormat="1" ht="15.75" customHeight="1">
      <c r="A7" s="60">
        <v>4</v>
      </c>
      <c r="B7" s="50" t="s">
        <v>27</v>
      </c>
      <c r="C7" s="110">
        <f>'2023年'!I10</f>
        <v>400270.05281331518</v>
      </c>
      <c r="D7" s="110">
        <f>'2024年'!I10</f>
        <v>3962673.5228518206</v>
      </c>
      <c r="E7" s="110">
        <f>'2025年'!I10</f>
        <v>7767632.6394941378</v>
      </c>
      <c r="F7" s="110">
        <f>'2026年'!I10</f>
        <v>7536926.1824685242</v>
      </c>
      <c r="G7" s="110">
        <f>'2027年 '!I10</f>
        <v>7313071.9379230263</v>
      </c>
      <c r="H7" s="110">
        <f>'2028年'!I10</f>
        <v>0</v>
      </c>
      <c r="I7" s="110">
        <f>'2029年'!I10</f>
        <v>0</v>
      </c>
      <c r="J7" s="110">
        <f t="shared" si="0"/>
        <v>26980574.335550826</v>
      </c>
      <c r="K7" s="67"/>
      <c r="AL7" s="50" t="s">
        <v>28</v>
      </c>
      <c r="AM7" s="50" t="s">
        <v>27</v>
      </c>
      <c r="AN7" s="46" t="s">
        <v>29</v>
      </c>
    </row>
    <row r="8" spans="1:40" s="46" customFormat="1" ht="15.75" customHeight="1">
      <c r="A8" s="60">
        <v>5</v>
      </c>
      <c r="B8" s="50" t="s">
        <v>30</v>
      </c>
      <c r="C8" s="110">
        <f>'2023年'!I11</f>
        <v>0</v>
      </c>
      <c r="D8" s="110">
        <f>'2024年'!I11</f>
        <v>0</v>
      </c>
      <c r="E8" s="110">
        <f>'2025年'!I11</f>
        <v>0</v>
      </c>
      <c r="F8" s="110">
        <f>'2026年'!I11</f>
        <v>0</v>
      </c>
      <c r="G8" s="110">
        <f>'2027年 '!I11</f>
        <v>0</v>
      </c>
      <c r="H8" s="110">
        <f>'2028年'!I11</f>
        <v>0</v>
      </c>
      <c r="I8" s="110">
        <f>'2029年'!I11</f>
        <v>0</v>
      </c>
      <c r="J8" s="110">
        <f t="shared" si="0"/>
        <v>0</v>
      </c>
      <c r="K8" s="67"/>
      <c r="AL8" s="50" t="s">
        <v>31</v>
      </c>
      <c r="AM8" s="50" t="s">
        <v>30</v>
      </c>
    </row>
    <row r="9" spans="1:40" s="46" customFormat="1" ht="15.75" customHeight="1">
      <c r="A9" s="60">
        <v>6</v>
      </c>
      <c r="B9" s="50" t="s">
        <v>32</v>
      </c>
      <c r="C9" s="110">
        <f>'2023年'!I12</f>
        <v>0</v>
      </c>
      <c r="D9" s="110">
        <f>'2024年'!I12</f>
        <v>0</v>
      </c>
      <c r="E9" s="110">
        <f>'2025年'!I12</f>
        <v>0</v>
      </c>
      <c r="F9" s="110">
        <f>'2026年'!I12</f>
        <v>0</v>
      </c>
      <c r="G9" s="110">
        <f>'2027年 '!I12</f>
        <v>0</v>
      </c>
      <c r="H9" s="110">
        <f>'2028年'!I12</f>
        <v>0</v>
      </c>
      <c r="I9" s="110">
        <f>'2029年'!I12</f>
        <v>0</v>
      </c>
      <c r="J9" s="110">
        <f t="shared" si="0"/>
        <v>0</v>
      </c>
      <c r="K9" s="67"/>
      <c r="AL9" s="50" t="s">
        <v>33</v>
      </c>
      <c r="AM9" s="50" t="s">
        <v>32</v>
      </c>
    </row>
    <row r="10" spans="1:40" s="46" customFormat="1" ht="15.75" customHeight="1">
      <c r="A10" s="60">
        <v>7</v>
      </c>
      <c r="B10" s="112" t="s">
        <v>34</v>
      </c>
      <c r="C10" s="110">
        <f>'2023年'!I13</f>
        <v>14000</v>
      </c>
      <c r="D10" s="110">
        <f>'2024年'!I13</f>
        <v>140000</v>
      </c>
      <c r="E10" s="110">
        <f>'2025年'!I13</f>
        <v>280000</v>
      </c>
      <c r="F10" s="110">
        <f>'2026年'!I13</f>
        <v>280000</v>
      </c>
      <c r="G10" s="110">
        <f>'2027年 '!I13</f>
        <v>280000</v>
      </c>
      <c r="H10" s="110">
        <f>'2028年'!I13</f>
        <v>0</v>
      </c>
      <c r="I10" s="110">
        <f>'2029年'!I13</f>
        <v>0</v>
      </c>
      <c r="J10" s="110">
        <f t="shared" si="0"/>
        <v>994000</v>
      </c>
      <c r="K10" s="67"/>
      <c r="AL10" s="50" t="s">
        <v>35</v>
      </c>
      <c r="AM10" s="50" t="s">
        <v>34</v>
      </c>
      <c r="AN10" s="46" t="s">
        <v>18</v>
      </c>
    </row>
    <row r="11" spans="1:40" s="46" customFormat="1" ht="15.75" customHeight="1">
      <c r="A11" s="60">
        <v>8</v>
      </c>
      <c r="B11" s="113" t="s">
        <v>36</v>
      </c>
      <c r="C11" s="114">
        <f>'2023年'!I14</f>
        <v>14000</v>
      </c>
      <c r="D11" s="114">
        <f>'2024年'!I14</f>
        <v>140000</v>
      </c>
      <c r="E11" s="114">
        <f>'2025年'!I14</f>
        <v>280000</v>
      </c>
      <c r="F11" s="114">
        <f>'2026年'!I14</f>
        <v>280000</v>
      </c>
      <c r="G11" s="187">
        <f>'2027年 '!I14</f>
        <v>280000</v>
      </c>
      <c r="H11" s="188">
        <f>'2028年'!I14</f>
        <v>0</v>
      </c>
      <c r="I11" s="187">
        <f>'2029年'!I14</f>
        <v>0</v>
      </c>
      <c r="J11" s="114">
        <f t="shared" si="0"/>
        <v>994000</v>
      </c>
      <c r="K11" s="67"/>
      <c r="AL11" s="50" t="s">
        <v>37</v>
      </c>
      <c r="AM11" s="53" t="s">
        <v>36</v>
      </c>
    </row>
    <row r="12" spans="1:40" s="46" customFormat="1" ht="15.75" customHeight="1">
      <c r="A12" s="60">
        <v>9</v>
      </c>
      <c r="B12" s="115" t="s">
        <v>38</v>
      </c>
      <c r="C12" s="110">
        <f>'2023年'!I15</f>
        <v>85729.947186684818</v>
      </c>
      <c r="D12" s="110">
        <f>'2024年'!I15</f>
        <v>847326.4771481799</v>
      </c>
      <c r="E12" s="110">
        <f>'2025年'!I15</f>
        <v>1753367.3605058626</v>
      </c>
      <c r="F12" s="110">
        <f>'2026年'!I15</f>
        <v>1886063.8175314758</v>
      </c>
      <c r="G12" s="110">
        <f>'2027年 '!I15</f>
        <v>2109918.0620769737</v>
      </c>
      <c r="H12" s="110">
        <f>'2028年'!I15</f>
        <v>0</v>
      </c>
      <c r="I12" s="110">
        <f>'2029年'!I15</f>
        <v>0</v>
      </c>
      <c r="J12" s="110">
        <f>J6-J7-J11</f>
        <v>6682405.664449174</v>
      </c>
      <c r="K12" s="67"/>
      <c r="M12" s="107"/>
      <c r="N12" s="107"/>
      <c r="O12" s="107"/>
      <c r="P12" s="107"/>
      <c r="Q12" s="107"/>
      <c r="R12" s="107"/>
      <c r="AL12" s="50" t="s">
        <v>39</v>
      </c>
      <c r="AM12" s="53" t="s">
        <v>38</v>
      </c>
    </row>
    <row r="13" spans="1:40" ht="15.75" customHeight="1">
      <c r="A13" s="60">
        <v>10</v>
      </c>
      <c r="B13" s="116" t="s">
        <v>40</v>
      </c>
      <c r="C13" s="117">
        <f>+C12/C6</f>
        <v>0.17145989437336964</v>
      </c>
      <c r="D13" s="117">
        <f t="shared" ref="D13:I13" si="1">+D12/D6</f>
        <v>0.1711770660905414</v>
      </c>
      <c r="E13" s="117">
        <f t="shared" si="1"/>
        <v>0.17889678201263773</v>
      </c>
      <c r="F13" s="117">
        <f t="shared" si="1"/>
        <v>0.19437965179099181</v>
      </c>
      <c r="G13" s="117">
        <f t="shared" si="1"/>
        <v>0.21745029749355341</v>
      </c>
      <c r="H13" s="117" t="e">
        <f t="shared" si="1"/>
        <v>#DIV/0!</v>
      </c>
      <c r="I13" s="117" t="e">
        <f t="shared" si="1"/>
        <v>#DIV/0!</v>
      </c>
      <c r="J13" s="117">
        <f>+J12/J6</f>
        <v>0.19281557898146851</v>
      </c>
      <c r="K13" s="67"/>
      <c r="AL13" s="116" t="s">
        <v>41</v>
      </c>
      <c r="AM13" s="116" t="s">
        <v>40</v>
      </c>
    </row>
    <row r="14" spans="1:40" ht="15.75" customHeight="1">
      <c r="A14" s="60">
        <v>11</v>
      </c>
      <c r="B14" s="116" t="s">
        <v>42</v>
      </c>
      <c r="C14" s="110">
        <f>'2023年'!I17</f>
        <v>399000</v>
      </c>
      <c r="D14" s="110">
        <f>'2024年'!I17</f>
        <v>399000</v>
      </c>
      <c r="E14" s="110">
        <f>'2025年'!I17</f>
        <v>398999.99999999994</v>
      </c>
      <c r="F14" s="110">
        <f>'2026年'!I17</f>
        <v>0</v>
      </c>
      <c r="G14" s="110">
        <f>'2027年 '!I17</f>
        <v>0</v>
      </c>
      <c r="H14" s="110"/>
      <c r="I14" s="110"/>
      <c r="J14" s="110">
        <f>SUM(C14:I14)</f>
        <v>1197000</v>
      </c>
      <c r="K14" s="67"/>
      <c r="AL14" s="116" t="s">
        <v>43</v>
      </c>
      <c r="AM14" s="116" t="s">
        <v>42</v>
      </c>
    </row>
    <row r="15" spans="1:40" ht="15.75" hidden="1" customHeight="1">
      <c r="A15" s="148"/>
      <c r="B15" s="116"/>
      <c r="C15" s="110"/>
      <c r="D15" s="110"/>
      <c r="E15" s="110"/>
      <c r="F15" s="110"/>
      <c r="G15" s="110">
        <f>'2027年 '!I18</f>
        <v>0</v>
      </c>
      <c r="H15" s="110"/>
      <c r="I15" s="110">
        <f>'2029年'!I18</f>
        <v>0</v>
      </c>
      <c r="J15" s="110"/>
      <c r="K15" s="67"/>
      <c r="AL15" s="116"/>
      <c r="AM15" s="116"/>
    </row>
    <row r="16" spans="1:40" ht="15.75" customHeight="1">
      <c r="A16" s="60">
        <v>12</v>
      </c>
      <c r="B16" s="116" t="s">
        <v>44</v>
      </c>
      <c r="C16" s="118">
        <f>'2023年'!I19</f>
        <v>10500.000000000002</v>
      </c>
      <c r="D16" s="118">
        <f>'2024年'!I19</f>
        <v>105000</v>
      </c>
      <c r="E16" s="118">
        <f>'2025年'!I19</f>
        <v>210000</v>
      </c>
      <c r="F16" s="118">
        <f>'2026年'!I19</f>
        <v>210000</v>
      </c>
      <c r="G16" s="110">
        <f>'2027年 '!I19</f>
        <v>210000</v>
      </c>
      <c r="H16" s="118">
        <f>'2028年'!I19</f>
        <v>0</v>
      </c>
      <c r="I16" s="110">
        <f>'2029年'!I19</f>
        <v>0</v>
      </c>
      <c r="J16" s="110">
        <f>SUM(C16:I16)</f>
        <v>745500</v>
      </c>
      <c r="K16" s="67"/>
      <c r="S16" s="67"/>
      <c r="AL16" s="116" t="s">
        <v>45</v>
      </c>
      <c r="AM16" s="116" t="s">
        <v>44</v>
      </c>
      <c r="AN16" s="107" t="s">
        <v>18</v>
      </c>
    </row>
    <row r="17" spans="1:40" ht="15.75" customHeight="1">
      <c r="A17" s="60">
        <v>13</v>
      </c>
      <c r="B17" s="116" t="s">
        <v>46</v>
      </c>
      <c r="C17" s="118">
        <f>'2023年'!I20</f>
        <v>14500.000000000002</v>
      </c>
      <c r="D17" s="118">
        <f>'2024年'!I20</f>
        <v>145000.00000000003</v>
      </c>
      <c r="E17" s="118">
        <f>'2025年'!I20</f>
        <v>290000.00000000006</v>
      </c>
      <c r="F17" s="118">
        <f>'2026年'!I20</f>
        <v>290000.00000000006</v>
      </c>
      <c r="G17" s="110">
        <f>'2027年 '!I20</f>
        <v>290000.00000000006</v>
      </c>
      <c r="H17" s="118">
        <f>'2028年'!I20</f>
        <v>0</v>
      </c>
      <c r="I17" s="110">
        <f>'2029年'!I20</f>
        <v>0</v>
      </c>
      <c r="J17" s="110">
        <f>SUM(C17:I17)</f>
        <v>1029500.0000000002</v>
      </c>
      <c r="K17" s="67"/>
      <c r="AL17" s="116" t="s">
        <v>47</v>
      </c>
      <c r="AM17" s="116" t="s">
        <v>46</v>
      </c>
    </row>
    <row r="18" spans="1:40" s="45" customFormat="1" ht="15.75" customHeight="1">
      <c r="A18" s="60">
        <v>14</v>
      </c>
      <c r="B18" s="58" t="s">
        <v>48</v>
      </c>
      <c r="C18" s="119">
        <f>'2023年'!I21</f>
        <v>0</v>
      </c>
      <c r="D18" s="119">
        <f>'2024年'!I21</f>
        <v>0</v>
      </c>
      <c r="E18" s="119">
        <f>'2025年'!I21</f>
        <v>0</v>
      </c>
      <c r="F18" s="119">
        <f>'2026年'!I21</f>
        <v>0</v>
      </c>
      <c r="G18" s="110">
        <f>'2027年 '!I21</f>
        <v>0</v>
      </c>
      <c r="H18" s="119">
        <f>'2028年'!I21</f>
        <v>0</v>
      </c>
      <c r="I18" s="110">
        <f>'2029年'!I21</f>
        <v>0</v>
      </c>
      <c r="J18" s="110">
        <f>SUM(C18:I18)</f>
        <v>0</v>
      </c>
      <c r="K18" s="67"/>
      <c r="AL18" s="58"/>
      <c r="AM18" s="58"/>
    </row>
    <row r="19" spans="1:40" s="46" customFormat="1" ht="15.75" customHeight="1">
      <c r="A19" s="60">
        <v>15</v>
      </c>
      <c r="B19" s="50" t="s">
        <v>49</v>
      </c>
      <c r="C19" s="118">
        <f>'2023年'!I22</f>
        <v>10650</v>
      </c>
      <c r="D19" s="118">
        <f>'2024年'!I22</f>
        <v>106500</v>
      </c>
      <c r="E19" s="118">
        <f>'2025年'!I22</f>
        <v>213000</v>
      </c>
      <c r="F19" s="118">
        <f>'2026年'!I22</f>
        <v>213000</v>
      </c>
      <c r="G19" s="110">
        <f>'2027年 '!I22</f>
        <v>213000</v>
      </c>
      <c r="H19" s="118">
        <f>'2028年'!I22</f>
        <v>0</v>
      </c>
      <c r="I19" s="110">
        <f>'2029年'!I22</f>
        <v>0</v>
      </c>
      <c r="J19" s="110">
        <f>SUM(C19:I19)</f>
        <v>756150</v>
      </c>
      <c r="K19" s="67"/>
      <c r="AL19" s="50" t="s">
        <v>50</v>
      </c>
      <c r="AM19" s="50" t="s">
        <v>49</v>
      </c>
    </row>
    <row r="20" spans="1:40" s="106" customFormat="1" ht="15.75" customHeight="1">
      <c r="A20" s="60">
        <v>16</v>
      </c>
      <c r="B20" s="120" t="s">
        <v>51</v>
      </c>
      <c r="C20" s="114">
        <f t="shared" ref="C20" si="2">+C19+C18+C17+C16+C14</f>
        <v>434650</v>
      </c>
      <c r="D20" s="114">
        <f>'2024年'!I23</f>
        <v>755500</v>
      </c>
      <c r="E20" s="114">
        <f>'2025年'!I23</f>
        <v>1112000</v>
      </c>
      <c r="F20" s="114">
        <f>'2026年'!I23</f>
        <v>713000</v>
      </c>
      <c r="G20" s="187">
        <f>'2027年 '!I23</f>
        <v>713000</v>
      </c>
      <c r="H20" s="114"/>
      <c r="I20" s="187"/>
      <c r="J20" s="114">
        <f>SUM(C20:I20)</f>
        <v>3728150</v>
      </c>
      <c r="K20" s="67"/>
      <c r="AL20" s="128" t="s">
        <v>52</v>
      </c>
      <c r="AM20" s="129" t="s">
        <v>51</v>
      </c>
    </row>
    <row r="21" spans="1:40" ht="15.75" customHeight="1">
      <c r="A21" s="60">
        <v>17</v>
      </c>
      <c r="B21" s="116" t="s">
        <v>53</v>
      </c>
      <c r="C21" s="121">
        <f>+C12-C20</f>
        <v>-348920.05281331518</v>
      </c>
      <c r="D21" s="121">
        <f>'2024年'!I24</f>
        <v>91826.477148179896</v>
      </c>
      <c r="E21" s="121">
        <f>'2025年'!I24</f>
        <v>641367.36050586263</v>
      </c>
      <c r="F21" s="121">
        <f>'2026年'!I24</f>
        <v>1173063.8175314758</v>
      </c>
      <c r="G21" s="110">
        <f>'2027年 '!I24</f>
        <v>1396918.0620769737</v>
      </c>
      <c r="H21" s="121" t="e">
        <f>'2028年'!I24</f>
        <v>#DIV/0!</v>
      </c>
      <c r="I21" s="110" t="e">
        <f>'2029年'!I24</f>
        <v>#DIV/0!</v>
      </c>
      <c r="J21" s="121">
        <f>+J12-J20</f>
        <v>2954255.664449174</v>
      </c>
      <c r="K21" s="67"/>
      <c r="AL21" s="116" t="s">
        <v>54</v>
      </c>
      <c r="AM21" s="116" t="s">
        <v>53</v>
      </c>
    </row>
    <row r="22" spans="1:40" ht="15.75" customHeight="1">
      <c r="A22" s="60">
        <v>18</v>
      </c>
      <c r="B22" s="116" t="s">
        <v>55</v>
      </c>
      <c r="C22" s="121">
        <f>IF(C21&lt;0,0,C21*0.25)</f>
        <v>0</v>
      </c>
      <c r="D22" s="121">
        <f>'2024年'!I25</f>
        <v>13773.971572226985</v>
      </c>
      <c r="E22" s="121">
        <f>'2025年'!I25</f>
        <v>96205.104075879397</v>
      </c>
      <c r="F22" s="121">
        <f>'2026年'!I25</f>
        <v>175959.57262972137</v>
      </c>
      <c r="G22" s="110">
        <f>'2027年 '!I25</f>
        <v>209537.70931154606</v>
      </c>
      <c r="H22" s="121" t="e">
        <f>'2028年'!I25</f>
        <v>#DIV/0!</v>
      </c>
      <c r="I22" s="110" t="e">
        <f>'2029年'!I25</f>
        <v>#DIV/0!</v>
      </c>
      <c r="J22" s="121">
        <f>IF(J21&lt;0,0,J21*0.15)</f>
        <v>443138.34966737608</v>
      </c>
      <c r="K22" s="67"/>
      <c r="AL22" s="116" t="s">
        <v>56</v>
      </c>
      <c r="AM22" s="116" t="s">
        <v>55</v>
      </c>
    </row>
    <row r="23" spans="1:40" s="46" customFormat="1" ht="15.75" customHeight="1">
      <c r="A23" s="211">
        <v>19</v>
      </c>
      <c r="B23" s="50" t="s">
        <v>57</v>
      </c>
      <c r="C23" s="110">
        <f>C21-C22</f>
        <v>-348920.05281331518</v>
      </c>
      <c r="D23" s="110">
        <f>'2024年'!I26</f>
        <v>78052.505575952906</v>
      </c>
      <c r="E23" s="110">
        <f>'2025年'!I26</f>
        <v>545162.25642998319</v>
      </c>
      <c r="F23" s="110">
        <f>'2026年'!I26</f>
        <v>997104.24490175443</v>
      </c>
      <c r="G23" s="110">
        <f>'2027年 '!I26</f>
        <v>1187380.3527654277</v>
      </c>
      <c r="H23" s="110" t="e">
        <f>'2028年'!I26</f>
        <v>#DIV/0!</v>
      </c>
      <c r="I23" s="110" t="e">
        <f>'2029年'!I26</f>
        <v>#DIV/0!</v>
      </c>
      <c r="J23" s="110">
        <f>J21-J22</f>
        <v>2511117.314781798</v>
      </c>
      <c r="K23" s="67"/>
      <c r="AL23" s="50" t="s">
        <v>58</v>
      </c>
      <c r="AM23" s="50" t="s">
        <v>57</v>
      </c>
    </row>
    <row r="24" spans="1:40" s="46" customFormat="1" ht="15.75" customHeight="1">
      <c r="A24" s="211">
        <v>20</v>
      </c>
      <c r="B24" s="50" t="s">
        <v>59</v>
      </c>
      <c r="C24" s="122">
        <f>(C23/C4)*100%</f>
        <v>-0.69784010562663035</v>
      </c>
      <c r="D24" s="122">
        <f t="shared" ref="D24:I24" si="3">(D23/D4)*100%</f>
        <v>1.5610501115190582E-2</v>
      </c>
      <c r="E24" s="122">
        <f t="shared" si="3"/>
        <v>5.4516225642998316E-2</v>
      </c>
      <c r="F24" s="122">
        <f t="shared" si="3"/>
        <v>9.9710424490175448E-2</v>
      </c>
      <c r="G24" s="122">
        <f t="shared" si="3"/>
        <v>0.11873803527654277</v>
      </c>
      <c r="H24" s="122" t="e">
        <f t="shared" si="3"/>
        <v>#DIV/0!</v>
      </c>
      <c r="I24" s="122" t="e">
        <f t="shared" si="3"/>
        <v>#DIV/0!</v>
      </c>
      <c r="J24" s="122">
        <f>(J23/J4)*100%</f>
        <v>7.0735699007937969E-2</v>
      </c>
      <c r="K24" s="67"/>
      <c r="AL24" s="310" t="s">
        <v>60</v>
      </c>
      <c r="AM24" s="310" t="s">
        <v>61</v>
      </c>
    </row>
    <row r="25" spans="1:40" s="311" customFormat="1" ht="15.75" customHeight="1">
      <c r="C25" s="312"/>
      <c r="D25" s="312"/>
      <c r="E25" s="312"/>
      <c r="F25" s="312"/>
      <c r="G25" s="312"/>
      <c r="H25" s="312"/>
      <c r="I25" s="312"/>
      <c r="J25" s="312"/>
      <c r="K25" s="127"/>
    </row>
    <row r="26" spans="1:40" s="311" customFormat="1" ht="15.75" customHeight="1">
      <c r="A26" s="311" t="s">
        <v>62</v>
      </c>
      <c r="C26" s="313"/>
      <c r="D26" s="313"/>
      <c r="E26" s="313"/>
      <c r="F26" s="313"/>
      <c r="G26" s="313"/>
      <c r="H26" s="313"/>
      <c r="I26" s="313"/>
      <c r="J26" s="313"/>
      <c r="K26" s="127"/>
      <c r="AL26" s="311" t="s">
        <v>62</v>
      </c>
    </row>
    <row r="27" spans="1:40" s="46" customFormat="1" ht="15.75" customHeight="1">
      <c r="A27" s="50" t="s">
        <v>15</v>
      </c>
      <c r="B27" s="211" t="s">
        <v>1</v>
      </c>
      <c r="C27" s="109" t="s">
        <v>248</v>
      </c>
      <c r="D27" s="109" t="s">
        <v>249</v>
      </c>
      <c r="E27" s="109" t="s">
        <v>250</v>
      </c>
      <c r="F27" s="109" t="s">
        <v>251</v>
      </c>
      <c r="G27" s="109" t="s">
        <v>252</v>
      </c>
      <c r="H27" s="109" t="s">
        <v>247</v>
      </c>
      <c r="I27" s="109" t="s">
        <v>269</v>
      </c>
      <c r="J27" s="49" t="s">
        <v>16</v>
      </c>
      <c r="AN27" s="46" t="s">
        <v>17</v>
      </c>
    </row>
    <row r="28" spans="1:40" s="46" customFormat="1" ht="15.75" customHeight="1">
      <c r="A28" s="50" t="s">
        <v>63</v>
      </c>
      <c r="B28" s="53" t="s">
        <v>64</v>
      </c>
      <c r="C28" s="57"/>
      <c r="D28" s="57"/>
      <c r="E28" s="57"/>
      <c r="F28" s="57"/>
      <c r="G28" s="57"/>
      <c r="H28" s="57"/>
      <c r="I28" s="57"/>
      <c r="J28" s="57"/>
      <c r="K28" s="67"/>
      <c r="AL28" s="50" t="s">
        <v>65</v>
      </c>
      <c r="AM28" s="53" t="s">
        <v>64</v>
      </c>
    </row>
    <row r="29" spans="1:40" s="46" customFormat="1" ht="15.75" customHeight="1">
      <c r="A29" s="50" t="s">
        <v>20</v>
      </c>
      <c r="B29" s="50" t="s">
        <v>66</v>
      </c>
      <c r="C29" s="52">
        <f>+C6/C3</f>
        <v>62.5</v>
      </c>
      <c r="D29" s="52">
        <f t="shared" ref="D29:H29" si="4">+D6/D3</f>
        <v>61.875</v>
      </c>
      <c r="E29" s="52">
        <f t="shared" si="4"/>
        <v>61.256250000000009</v>
      </c>
      <c r="F29" s="52">
        <f t="shared" si="4"/>
        <v>60.643687499999999</v>
      </c>
      <c r="G29" s="52">
        <f t="shared" si="4"/>
        <v>60.643687499999999</v>
      </c>
      <c r="H29" s="52" t="e">
        <f t="shared" si="4"/>
        <v>#DIV/0!</v>
      </c>
      <c r="I29" s="52" t="e">
        <f t="shared" ref="I29" si="5">+I6/I3</f>
        <v>#DIV/0!</v>
      </c>
      <c r="J29" s="52">
        <f>+J6/J3</f>
        <v>61.015809859154928</v>
      </c>
      <c r="K29" s="67"/>
      <c r="AL29" s="50" t="s">
        <v>20</v>
      </c>
      <c r="AM29" s="50" t="s">
        <v>66</v>
      </c>
    </row>
    <row r="30" spans="1:40" s="46" customFormat="1" ht="15.75" customHeight="1">
      <c r="A30" s="50" t="s">
        <v>22</v>
      </c>
      <c r="B30" s="50" t="s">
        <v>67</v>
      </c>
      <c r="C30" s="52">
        <f>+C7/C3</f>
        <v>50.0337566016644</v>
      </c>
      <c r="D30" s="52">
        <f t="shared" ref="D30:J30" si="6">+D7/D3</f>
        <v>49.533419035647761</v>
      </c>
      <c r="E30" s="52">
        <f t="shared" si="6"/>
        <v>48.547703996838365</v>
      </c>
      <c r="F30" s="52">
        <f t="shared" si="6"/>
        <v>47.10578864042828</v>
      </c>
      <c r="G30" s="52">
        <f t="shared" si="6"/>
        <v>45.706699612018916</v>
      </c>
      <c r="H30" s="52" t="e">
        <f t="shared" si="6"/>
        <v>#DIV/0!</v>
      </c>
      <c r="I30" s="52" t="e">
        <f t="shared" ref="I30" si="7">+I7/I3</f>
        <v>#DIV/0!</v>
      </c>
      <c r="J30" s="52">
        <f t="shared" si="6"/>
        <v>47.50101115413878</v>
      </c>
      <c r="K30" s="67"/>
      <c r="AL30" s="50" t="s">
        <v>22</v>
      </c>
      <c r="AM30" s="50" t="s">
        <v>67</v>
      </c>
    </row>
    <row r="31" spans="1:40" s="46" customFormat="1" ht="15.75" customHeight="1">
      <c r="A31" s="50" t="s">
        <v>68</v>
      </c>
      <c r="B31" s="50" t="s">
        <v>69</v>
      </c>
      <c r="C31" s="57">
        <f t="shared" ref="C31:J31" si="8">C29-C30</f>
        <v>12.4662433983356</v>
      </c>
      <c r="D31" s="57">
        <f t="shared" si="8"/>
        <v>12.341580964352239</v>
      </c>
      <c r="E31" s="57">
        <f t="shared" si="8"/>
        <v>12.708546003161644</v>
      </c>
      <c r="F31" s="57">
        <f t="shared" si="8"/>
        <v>13.537898859571719</v>
      </c>
      <c r="G31" s="57">
        <f t="shared" si="8"/>
        <v>14.936987887981083</v>
      </c>
      <c r="H31" s="57" t="e">
        <f t="shared" si="8"/>
        <v>#DIV/0!</v>
      </c>
      <c r="I31" s="57" t="e">
        <f t="shared" ref="I31" si="9">I29-I30</f>
        <v>#DIV/0!</v>
      </c>
      <c r="J31" s="57">
        <f t="shared" si="8"/>
        <v>13.514798705016148</v>
      </c>
      <c r="K31" s="67"/>
      <c r="AL31" s="50" t="s">
        <v>68</v>
      </c>
      <c r="AM31" s="50" t="s">
        <v>69</v>
      </c>
    </row>
    <row r="32" spans="1:40" s="46" customFormat="1" ht="15.75" customHeight="1">
      <c r="A32" s="50">
        <v>3.1</v>
      </c>
      <c r="B32" s="50" t="s">
        <v>70</v>
      </c>
      <c r="C32" s="314">
        <f t="shared" ref="C32:H32" si="10">C31/C29</f>
        <v>0.19945989437336958</v>
      </c>
      <c r="D32" s="314">
        <f t="shared" si="10"/>
        <v>0.19945989437336953</v>
      </c>
      <c r="E32" s="314">
        <f t="shared" si="10"/>
        <v>0.20746529542963602</v>
      </c>
      <c r="F32" s="314">
        <f t="shared" si="10"/>
        <v>0.22323673605058597</v>
      </c>
      <c r="G32" s="314">
        <f t="shared" si="10"/>
        <v>0.24630738175314756</v>
      </c>
      <c r="H32" s="314" t="e">
        <f t="shared" si="10"/>
        <v>#DIV/0!</v>
      </c>
      <c r="I32" s="314" t="e">
        <f t="shared" ref="I32" si="11">I31/I29</f>
        <v>#DIV/0!</v>
      </c>
      <c r="J32" s="314">
        <f t="shared" ref="J32" si="12">J31/J29</f>
        <v>0.22149667006326496</v>
      </c>
      <c r="K32" s="67"/>
      <c r="AL32" s="50"/>
      <c r="AM32" s="50"/>
    </row>
    <row r="33" spans="1:39" s="46" customFormat="1" ht="15.75" customHeight="1">
      <c r="A33" s="50" t="s">
        <v>65</v>
      </c>
      <c r="B33" s="53" t="s">
        <v>8</v>
      </c>
      <c r="C33" s="57"/>
      <c r="D33" s="57"/>
      <c r="E33" s="57"/>
      <c r="F33" s="57"/>
      <c r="G33" s="57"/>
      <c r="H33" s="57"/>
      <c r="I33" s="57"/>
      <c r="J33" s="57"/>
      <c r="K33" s="67"/>
      <c r="AL33" s="50" t="s">
        <v>71</v>
      </c>
      <c r="AM33" s="53" t="s">
        <v>8</v>
      </c>
    </row>
    <row r="34" spans="1:39" s="46" customFormat="1" ht="15.75" customHeight="1">
      <c r="A34" s="50" t="s">
        <v>20</v>
      </c>
      <c r="B34" s="58" t="s">
        <v>72</v>
      </c>
      <c r="C34" s="52">
        <f>+C8/C3</f>
        <v>0</v>
      </c>
      <c r="D34" s="52">
        <f t="shared" ref="D34:F34" si="13">+D8/D3</f>
        <v>0</v>
      </c>
      <c r="E34" s="52">
        <f t="shared" si="13"/>
        <v>0</v>
      </c>
      <c r="F34" s="52">
        <f t="shared" si="13"/>
        <v>0</v>
      </c>
      <c r="G34" s="52">
        <f t="shared" ref="G34:H34" si="14">+G8/G3</f>
        <v>0</v>
      </c>
      <c r="H34" s="52" t="e">
        <f t="shared" si="14"/>
        <v>#DIV/0!</v>
      </c>
      <c r="I34" s="52" t="e">
        <f t="shared" ref="I34" si="15">+I8/I3</f>
        <v>#DIV/0!</v>
      </c>
      <c r="J34" s="52">
        <f>+J8/J3</f>
        <v>0</v>
      </c>
      <c r="K34" s="67"/>
      <c r="AL34" s="50" t="s">
        <v>68</v>
      </c>
      <c r="AM34" s="50" t="s">
        <v>72</v>
      </c>
    </row>
    <row r="35" spans="1:39" s="46" customFormat="1" ht="15.75" customHeight="1">
      <c r="A35" s="50" t="s">
        <v>22</v>
      </c>
      <c r="B35" s="58" t="s">
        <v>73</v>
      </c>
      <c r="C35" s="52">
        <f>+C9/C3</f>
        <v>0</v>
      </c>
      <c r="D35" s="52">
        <f t="shared" ref="D35:F35" si="16">+D9/D3</f>
        <v>0</v>
      </c>
      <c r="E35" s="52">
        <f t="shared" si="16"/>
        <v>0</v>
      </c>
      <c r="F35" s="52">
        <f t="shared" si="16"/>
        <v>0</v>
      </c>
      <c r="G35" s="52">
        <f t="shared" ref="G35:H35" si="17">+G9/G3</f>
        <v>0</v>
      </c>
      <c r="H35" s="52" t="e">
        <f t="shared" si="17"/>
        <v>#DIV/0!</v>
      </c>
      <c r="I35" s="52" t="e">
        <f t="shared" ref="I35" si="18">+I9/I3</f>
        <v>#DIV/0!</v>
      </c>
      <c r="J35" s="52">
        <f>+J9/J3</f>
        <v>0</v>
      </c>
      <c r="K35" s="67"/>
      <c r="AL35" s="50" t="s">
        <v>25</v>
      </c>
      <c r="AM35" s="50" t="s">
        <v>73</v>
      </c>
    </row>
    <row r="36" spans="1:39" s="46" customFormat="1" ht="15.75" customHeight="1">
      <c r="A36" s="50" t="s">
        <v>68</v>
      </c>
      <c r="B36" s="58" t="s">
        <v>74</v>
      </c>
      <c r="C36" s="52">
        <f>+C10/C3</f>
        <v>1.75</v>
      </c>
      <c r="D36" s="52">
        <f t="shared" ref="D36:F36" si="19">+D10/D3</f>
        <v>1.75</v>
      </c>
      <c r="E36" s="52">
        <f t="shared" si="19"/>
        <v>1.75</v>
      </c>
      <c r="F36" s="52">
        <f t="shared" si="19"/>
        <v>1.75</v>
      </c>
      <c r="G36" s="52">
        <f t="shared" ref="G36:H36" si="20">+G10/G3</f>
        <v>1.75</v>
      </c>
      <c r="H36" s="52" t="e">
        <f t="shared" si="20"/>
        <v>#DIV/0!</v>
      </c>
      <c r="I36" s="52" t="e">
        <f t="shared" ref="I36" si="21">+I10/I3</f>
        <v>#DIV/0!</v>
      </c>
      <c r="J36" s="52">
        <f>+J10/J3</f>
        <v>1.75</v>
      </c>
      <c r="K36" s="67"/>
      <c r="AL36" s="50" t="s">
        <v>31</v>
      </c>
      <c r="AM36" s="50" t="s">
        <v>74</v>
      </c>
    </row>
    <row r="37" spans="1:39" s="46" customFormat="1" ht="15.75" customHeight="1">
      <c r="A37" s="50" t="s">
        <v>75</v>
      </c>
      <c r="B37" s="115" t="s">
        <v>76</v>
      </c>
      <c r="C37" s="52"/>
      <c r="D37" s="52"/>
      <c r="E37" s="52"/>
      <c r="F37" s="52"/>
      <c r="G37" s="52"/>
      <c r="H37" s="52"/>
      <c r="I37" s="52"/>
      <c r="J37" s="52"/>
      <c r="K37" s="67"/>
      <c r="AL37" s="50" t="s">
        <v>75</v>
      </c>
      <c r="AM37" s="53" t="s">
        <v>76</v>
      </c>
    </row>
    <row r="38" spans="1:39" s="46" customFormat="1" ht="15.75" customHeight="1">
      <c r="A38" s="50" t="s">
        <v>20</v>
      </c>
      <c r="B38" s="58" t="s">
        <v>77</v>
      </c>
      <c r="C38" s="52">
        <f>+C12/C3</f>
        <v>10.716243398335603</v>
      </c>
      <c r="D38" s="52">
        <f t="shared" ref="D38:H38" si="22">+D12/D3</f>
        <v>10.591580964352248</v>
      </c>
      <c r="E38" s="52">
        <f t="shared" si="22"/>
        <v>10.958546003161642</v>
      </c>
      <c r="F38" s="52">
        <f t="shared" si="22"/>
        <v>11.787898859571724</v>
      </c>
      <c r="G38" s="52">
        <f t="shared" ref="G38" si="23">+G12/G3</f>
        <v>13.186987887981086</v>
      </c>
      <c r="H38" s="52" t="e">
        <f t="shared" si="22"/>
        <v>#DIV/0!</v>
      </c>
      <c r="I38" s="52" t="e">
        <f t="shared" ref="I38" si="24">+I12/I3</f>
        <v>#DIV/0!</v>
      </c>
      <c r="J38" s="52">
        <f>+J12/J3</f>
        <v>11.764798705016151</v>
      </c>
      <c r="K38" s="67"/>
      <c r="AL38" s="50" t="s">
        <v>20</v>
      </c>
      <c r="AM38" s="50" t="s">
        <v>78</v>
      </c>
    </row>
    <row r="39" spans="1:39" s="46" customFormat="1" ht="15.75" customHeight="1">
      <c r="A39" s="50" t="s">
        <v>22</v>
      </c>
      <c r="B39" s="58" t="s">
        <v>79</v>
      </c>
      <c r="C39" s="110">
        <f t="shared" ref="C39:H39" si="25">+C20/C38</f>
        <v>40559.922338784112</v>
      </c>
      <c r="D39" s="110">
        <f t="shared" si="25"/>
        <v>71330.238851287897</v>
      </c>
      <c r="E39" s="110">
        <f t="shared" si="25"/>
        <v>101473.31586500414</v>
      </c>
      <c r="F39" s="110">
        <f t="shared" si="25"/>
        <v>60485.758190998306</v>
      </c>
      <c r="G39" s="110">
        <f t="shared" ref="G39" si="26">+G20/G38</f>
        <v>54068.450358542003</v>
      </c>
      <c r="H39" s="110" t="e">
        <f t="shared" si="25"/>
        <v>#DIV/0!</v>
      </c>
      <c r="I39" s="110" t="e">
        <f t="shared" ref="I39" si="27">+I20/I38</f>
        <v>#DIV/0!</v>
      </c>
      <c r="J39" s="110">
        <f t="shared" ref="J39" si="28">+J20/J38</f>
        <v>316890.24975926115</v>
      </c>
      <c r="K39" s="67"/>
      <c r="AL39" s="50" t="s">
        <v>22</v>
      </c>
      <c r="AM39" s="50" t="s">
        <v>79</v>
      </c>
    </row>
    <row r="40" spans="1:39" s="46" customFormat="1" ht="15.75" customHeight="1">
      <c r="A40" s="50" t="s">
        <v>80</v>
      </c>
      <c r="B40" s="53" t="s">
        <v>81</v>
      </c>
      <c r="C40" s="57"/>
      <c r="D40" s="57"/>
      <c r="E40" s="57"/>
      <c r="F40" s="57"/>
      <c r="G40" s="57"/>
      <c r="H40" s="57"/>
      <c r="I40" s="57"/>
      <c r="J40" s="57"/>
      <c r="K40" s="67"/>
      <c r="AL40" s="50" t="s">
        <v>80</v>
      </c>
      <c r="AM40" s="53" t="s">
        <v>81</v>
      </c>
    </row>
    <row r="41" spans="1:39" s="46" customFormat="1" ht="15.75" customHeight="1">
      <c r="A41" s="50" t="s">
        <v>20</v>
      </c>
      <c r="B41" s="50" t="s">
        <v>82</v>
      </c>
      <c r="C41" s="57">
        <f>+C14/C3</f>
        <v>49.875</v>
      </c>
      <c r="D41" s="57">
        <f t="shared" ref="D41:H41" si="29">+D14/D3</f>
        <v>4.9874999999999998</v>
      </c>
      <c r="E41" s="57">
        <f t="shared" si="29"/>
        <v>2.4937499999999995</v>
      </c>
      <c r="F41" s="57">
        <f t="shared" si="29"/>
        <v>0</v>
      </c>
      <c r="G41" s="57">
        <f t="shared" ref="G41" si="30">+G14/G3</f>
        <v>0</v>
      </c>
      <c r="H41" s="57" t="e">
        <f t="shared" si="29"/>
        <v>#DIV/0!</v>
      </c>
      <c r="I41" s="57" t="e">
        <f t="shared" ref="I41" si="31">+I14/I3</f>
        <v>#DIV/0!</v>
      </c>
      <c r="J41" s="57">
        <f>+J14/J3</f>
        <v>2.107394366197183</v>
      </c>
      <c r="K41" s="67"/>
      <c r="AL41" s="50" t="s">
        <v>20</v>
      </c>
      <c r="AM41" s="50" t="s">
        <v>82</v>
      </c>
    </row>
    <row r="42" spans="1:39" s="46" customFormat="1" ht="15.75" customHeight="1">
      <c r="A42" s="50" t="s">
        <v>22</v>
      </c>
      <c r="B42" s="50" t="s">
        <v>83</v>
      </c>
      <c r="C42" s="57">
        <f>+C16/C3</f>
        <v>1.3125000000000002</v>
      </c>
      <c r="D42" s="57">
        <f t="shared" ref="D42:H42" si="32">+D16/D3</f>
        <v>1.3125</v>
      </c>
      <c r="E42" s="57">
        <f t="shared" si="32"/>
        <v>1.3125</v>
      </c>
      <c r="F42" s="57">
        <f t="shared" si="32"/>
        <v>1.3125</v>
      </c>
      <c r="G42" s="57">
        <f t="shared" ref="G42" si="33">+G16/G3</f>
        <v>1.3125</v>
      </c>
      <c r="H42" s="57" t="e">
        <f t="shared" si="32"/>
        <v>#DIV/0!</v>
      </c>
      <c r="I42" s="57" t="e">
        <f t="shared" ref="I42" si="34">+I16/I3</f>
        <v>#DIV/0!</v>
      </c>
      <c r="J42" s="57">
        <f>+J16/J3</f>
        <v>1.3125</v>
      </c>
      <c r="K42" s="67"/>
      <c r="AL42" s="50" t="s">
        <v>22</v>
      </c>
      <c r="AM42" s="50" t="s">
        <v>83</v>
      </c>
    </row>
    <row r="43" spans="1:39" s="46" customFormat="1" ht="15.75" customHeight="1">
      <c r="A43" s="50" t="s">
        <v>68</v>
      </c>
      <c r="B43" s="50" t="s">
        <v>84</v>
      </c>
      <c r="C43" s="57">
        <f>+C17/C3</f>
        <v>1.8125000000000002</v>
      </c>
      <c r="D43" s="57">
        <f t="shared" ref="D43:H43" si="35">+D17/D3</f>
        <v>1.8125000000000004</v>
      </c>
      <c r="E43" s="57">
        <f t="shared" si="35"/>
        <v>1.8125000000000004</v>
      </c>
      <c r="F43" s="57">
        <f t="shared" si="35"/>
        <v>1.8125000000000004</v>
      </c>
      <c r="G43" s="57">
        <f t="shared" ref="G43" si="36">+G17/G3</f>
        <v>1.8125000000000004</v>
      </c>
      <c r="H43" s="57" t="e">
        <f t="shared" si="35"/>
        <v>#DIV/0!</v>
      </c>
      <c r="I43" s="57" t="e">
        <f t="shared" ref="I43" si="37">+I17/I3</f>
        <v>#DIV/0!</v>
      </c>
      <c r="J43" s="57">
        <f>+J17/J3</f>
        <v>1.8125000000000004</v>
      </c>
      <c r="K43" s="67"/>
      <c r="AL43" s="50" t="s">
        <v>68</v>
      </c>
      <c r="AM43" s="50" t="s">
        <v>84</v>
      </c>
    </row>
    <row r="44" spans="1:39" s="46" customFormat="1" ht="15.75" customHeight="1">
      <c r="A44" s="50" t="s">
        <v>25</v>
      </c>
      <c r="B44" s="50" t="s">
        <v>85</v>
      </c>
      <c r="C44" s="57"/>
      <c r="D44" s="57"/>
      <c r="E44" s="57"/>
      <c r="F44" s="57"/>
      <c r="G44" s="57"/>
      <c r="H44" s="57"/>
      <c r="I44" s="57"/>
      <c r="J44" s="57"/>
      <c r="K44" s="67"/>
      <c r="AL44" s="50" t="s">
        <v>25</v>
      </c>
      <c r="AM44" s="50" t="s">
        <v>86</v>
      </c>
    </row>
    <row r="45" spans="1:39" s="46" customFormat="1" ht="15.75" customHeight="1">
      <c r="A45" s="50" t="s">
        <v>28</v>
      </c>
      <c r="B45" s="50" t="s">
        <v>87</v>
      </c>
      <c r="C45" s="57"/>
      <c r="D45" s="57"/>
      <c r="E45" s="57"/>
      <c r="F45" s="57"/>
      <c r="G45" s="57"/>
      <c r="H45" s="57"/>
      <c r="I45" s="57"/>
      <c r="J45" s="57"/>
      <c r="K45" s="67"/>
      <c r="AL45" s="50" t="s">
        <v>28</v>
      </c>
      <c r="AM45" s="50" t="s">
        <v>87</v>
      </c>
    </row>
    <row r="46" spans="1:39" s="46" customFormat="1" ht="15.75" customHeight="1">
      <c r="A46" s="50" t="s">
        <v>88</v>
      </c>
      <c r="B46" s="53" t="s">
        <v>89</v>
      </c>
      <c r="C46" s="57"/>
      <c r="D46" s="57"/>
      <c r="E46" s="57"/>
      <c r="F46" s="57"/>
      <c r="G46" s="57"/>
      <c r="H46" s="57"/>
      <c r="I46" s="57"/>
      <c r="J46" s="57"/>
      <c r="K46" s="67"/>
      <c r="AL46" s="50" t="s">
        <v>88</v>
      </c>
      <c r="AM46" s="53" t="s">
        <v>89</v>
      </c>
    </row>
    <row r="47" spans="1:39" s="46" customFormat="1" ht="15.75" customHeight="1">
      <c r="A47" s="50" t="s">
        <v>20</v>
      </c>
      <c r="B47" s="50" t="s">
        <v>90</v>
      </c>
      <c r="C47" s="122">
        <f>+(C10+C16)/C6</f>
        <v>4.9000000000000002E-2</v>
      </c>
      <c r="D47" s="122">
        <f t="shared" ref="D47:H47" si="38">+(D10+D16)/D6</f>
        <v>4.9494949494949494E-2</v>
      </c>
      <c r="E47" s="122">
        <f t="shared" si="38"/>
        <v>4.9994898479746953E-2</v>
      </c>
      <c r="F47" s="122">
        <f t="shared" si="38"/>
        <v>5.0499897454289865E-2</v>
      </c>
      <c r="G47" s="122">
        <f t="shared" ref="G47" si="39">+(G10+G16)/G6</f>
        <v>5.0499897454289865E-2</v>
      </c>
      <c r="H47" s="122" t="e">
        <f t="shared" si="38"/>
        <v>#DIV/0!</v>
      </c>
      <c r="I47" s="122" t="e">
        <f t="shared" ref="I47" si="40">+(I10+I16)/I6</f>
        <v>#DIV/0!</v>
      </c>
      <c r="J47" s="122">
        <f>+(J10+J16)/J6</f>
        <v>5.0191909393143892E-2</v>
      </c>
      <c r="K47" s="67"/>
      <c r="AL47" s="50" t="s">
        <v>20</v>
      </c>
      <c r="AM47" s="50" t="s">
        <v>90</v>
      </c>
    </row>
    <row r="48" spans="1:39" s="46" customFormat="1" ht="15.75" customHeight="1">
      <c r="A48" s="50" t="s">
        <v>22</v>
      </c>
      <c r="B48" s="50" t="s">
        <v>91</v>
      </c>
      <c r="C48" s="122">
        <f>+(C8+C9+C14)/C6</f>
        <v>0.79800000000000004</v>
      </c>
      <c r="D48" s="122">
        <f t="shared" ref="D48:H48" si="41">+(D8+D9+D14)/D6</f>
        <v>8.0606060606060612E-2</v>
      </c>
      <c r="E48" s="122">
        <f t="shared" si="41"/>
        <v>4.0710131619222517E-2</v>
      </c>
      <c r="F48" s="122">
        <f t="shared" si="41"/>
        <v>0</v>
      </c>
      <c r="G48" s="122">
        <f t="shared" ref="G48" si="42">+(G8+G9+G14)/G6</f>
        <v>0</v>
      </c>
      <c r="H48" s="122" t="e">
        <f t="shared" si="41"/>
        <v>#DIV/0!</v>
      </c>
      <c r="I48" s="122" t="e">
        <f t="shared" ref="I48" si="43">+(I8+I9+I14)/I6</f>
        <v>#DIV/0!</v>
      </c>
      <c r="J48" s="122">
        <f>+(J8+J9+J14)/J6</f>
        <v>3.4538497006952135E-2</v>
      </c>
      <c r="K48" s="67"/>
      <c r="AL48" s="50" t="s">
        <v>22</v>
      </c>
      <c r="AM48" s="50" t="s">
        <v>91</v>
      </c>
    </row>
    <row r="49" spans="1:39" s="46" customFormat="1" ht="15.75" customHeight="1">
      <c r="A49" s="50" t="s">
        <v>68</v>
      </c>
      <c r="B49" s="50" t="s">
        <v>92</v>
      </c>
      <c r="C49" s="122">
        <f>+C17/C6</f>
        <v>2.9000000000000005E-2</v>
      </c>
      <c r="D49" s="122">
        <f t="shared" ref="D49:H49" si="44">+D17/D6</f>
        <v>2.9292929292929298E-2</v>
      </c>
      <c r="E49" s="122">
        <f t="shared" si="44"/>
        <v>2.9588817467605347E-2</v>
      </c>
      <c r="F49" s="122">
        <f t="shared" si="44"/>
        <v>2.9887694411722579E-2</v>
      </c>
      <c r="G49" s="122">
        <f t="shared" ref="G49" si="45">+G17/G6</f>
        <v>2.9887694411722579E-2</v>
      </c>
      <c r="H49" s="122" t="e">
        <f t="shared" si="44"/>
        <v>#DIV/0!</v>
      </c>
      <c r="I49" s="122" t="e">
        <f t="shared" ref="I49" si="46">+I17/I6</f>
        <v>#DIV/0!</v>
      </c>
      <c r="J49" s="122">
        <f>+J17/J6</f>
        <v>2.970541576328925E-2</v>
      </c>
      <c r="K49" s="67"/>
      <c r="AL49" s="50" t="s">
        <v>68</v>
      </c>
      <c r="AM49" s="50" t="s">
        <v>92</v>
      </c>
    </row>
    <row r="50" spans="1:39" s="46" customFormat="1" ht="15.75" customHeight="1">
      <c r="A50" s="50" t="s">
        <v>25</v>
      </c>
      <c r="B50" s="50" t="s">
        <v>93</v>
      </c>
      <c r="C50" s="122">
        <f>+C18/C6</f>
        <v>0</v>
      </c>
      <c r="D50" s="122">
        <f t="shared" ref="D50:H50" si="47">+D18/D6</f>
        <v>0</v>
      </c>
      <c r="E50" s="122">
        <f t="shared" si="47"/>
        <v>0</v>
      </c>
      <c r="F50" s="122">
        <f t="shared" si="47"/>
        <v>0</v>
      </c>
      <c r="G50" s="122">
        <f t="shared" ref="G50" si="48">+G18/G6</f>
        <v>0</v>
      </c>
      <c r="H50" s="122" t="e">
        <f t="shared" si="47"/>
        <v>#DIV/0!</v>
      </c>
      <c r="I50" s="122" t="e">
        <f t="shared" ref="I50" si="49">+I18/I6</f>
        <v>#DIV/0!</v>
      </c>
      <c r="J50" s="122">
        <f>+J18/J6</f>
        <v>0</v>
      </c>
      <c r="K50" s="67"/>
      <c r="AL50" s="50" t="s">
        <v>25</v>
      </c>
      <c r="AM50" s="50" t="s">
        <v>93</v>
      </c>
    </row>
    <row r="51" spans="1:39" s="46" customFormat="1" ht="15.75" customHeight="1">
      <c r="A51" s="50" t="s">
        <v>28</v>
      </c>
      <c r="B51" s="50" t="s">
        <v>94</v>
      </c>
      <c r="C51" s="122">
        <f>+C19/C6</f>
        <v>2.1299999999999999E-2</v>
      </c>
      <c r="D51" s="122">
        <f t="shared" ref="D51:H51" si="50">+D19/D6</f>
        <v>2.1515151515151515E-2</v>
      </c>
      <c r="E51" s="122">
        <f t="shared" si="50"/>
        <v>2.1732476277930818E-2</v>
      </c>
      <c r="F51" s="122">
        <f t="shared" si="50"/>
        <v>2.1951996240334164E-2</v>
      </c>
      <c r="G51" s="122">
        <f t="shared" ref="G51" si="51">+G19/G6</f>
        <v>2.1951996240334164E-2</v>
      </c>
      <c r="H51" s="122" t="e">
        <f t="shared" si="50"/>
        <v>#DIV/0!</v>
      </c>
      <c r="I51" s="122" t="e">
        <f t="shared" ref="I51" si="52">+I19/I6</f>
        <v>#DIV/0!</v>
      </c>
      <c r="J51" s="122">
        <f>+J19/J6</f>
        <v>2.1818115715795203E-2</v>
      </c>
      <c r="K51" s="67"/>
      <c r="AL51" s="50" t="s">
        <v>28</v>
      </c>
      <c r="AM51" s="50" t="s">
        <v>94</v>
      </c>
    </row>
    <row r="52" spans="1:39" s="46" customFormat="1" ht="15.75" customHeight="1">
      <c r="A52" s="50" t="s">
        <v>31</v>
      </c>
      <c r="B52" s="50" t="s">
        <v>95</v>
      </c>
      <c r="C52" s="122">
        <f>+C23/C6</f>
        <v>-0.69784010562663035</v>
      </c>
      <c r="D52" s="122">
        <f t="shared" ref="D52:H52" si="53">+D23/D6</f>
        <v>1.5768182944636951E-2</v>
      </c>
      <c r="E52" s="122">
        <f t="shared" si="53"/>
        <v>5.5623125847360788E-2</v>
      </c>
      <c r="F52" s="122">
        <f t="shared" si="53"/>
        <v>0.10276257575260352</v>
      </c>
      <c r="G52" s="122">
        <f t="shared" ref="G52" si="54">+G23/G6</f>
        <v>0.12237262459978086</v>
      </c>
      <c r="H52" s="122" t="e">
        <f t="shared" si="53"/>
        <v>#DIV/0!</v>
      </c>
      <c r="I52" s="122" t="e">
        <f t="shared" ref="I52" si="55">+I23/I6</f>
        <v>#DIV/0!</v>
      </c>
      <c r="J52" s="122">
        <f>+J23/J6</f>
        <v>7.2456322356471856E-2</v>
      </c>
      <c r="K52" s="67"/>
      <c r="AL52" s="50" t="s">
        <v>31</v>
      </c>
      <c r="AM52" s="50" t="s">
        <v>96</v>
      </c>
    </row>
    <row r="53" spans="1:39" s="46" customFormat="1" ht="15.75" customHeight="1">
      <c r="A53" s="50" t="s">
        <v>97</v>
      </c>
      <c r="B53" s="53" t="s">
        <v>98</v>
      </c>
      <c r="C53" s="57">
        <f>+C21/C3</f>
        <v>-43.615006601664398</v>
      </c>
      <c r="D53" s="57">
        <f t="shared" ref="D53:H53" si="56">+D21/D3</f>
        <v>1.1478309643522486</v>
      </c>
      <c r="E53" s="57">
        <f t="shared" si="56"/>
        <v>4.0085460031616416</v>
      </c>
      <c r="F53" s="57">
        <f t="shared" si="56"/>
        <v>7.3316488595717235</v>
      </c>
      <c r="G53" s="57">
        <f t="shared" ref="G53" si="57">+G21/G3</f>
        <v>8.7307378879810855</v>
      </c>
      <c r="H53" s="57" t="e">
        <f t="shared" si="56"/>
        <v>#DIV/0!</v>
      </c>
      <c r="I53" s="57" t="e">
        <f t="shared" ref="I53" si="58">+I21/I3</f>
        <v>#DIV/0!</v>
      </c>
      <c r="J53" s="57">
        <f>+J21/J3</f>
        <v>5.2011543388189683</v>
      </c>
      <c r="K53" s="67"/>
      <c r="AL53" s="50" t="s">
        <v>97</v>
      </c>
      <c r="AM53" s="53" t="s">
        <v>98</v>
      </c>
    </row>
    <row r="54" spans="1:39" s="46" customFormat="1" ht="15.75" customHeight="1">
      <c r="A54" s="50" t="s">
        <v>99</v>
      </c>
      <c r="B54" s="123" t="s">
        <v>100</v>
      </c>
      <c r="C54" s="57"/>
      <c r="D54" s="57"/>
      <c r="E54" s="57"/>
      <c r="F54" s="57"/>
      <c r="G54" s="57"/>
      <c r="H54" s="57"/>
      <c r="I54" s="57"/>
      <c r="J54" s="57"/>
      <c r="K54" s="67"/>
      <c r="AL54" s="50"/>
      <c r="AM54" s="53"/>
    </row>
    <row r="55" spans="1:39" s="46" customFormat="1" ht="15.75" customHeight="1">
      <c r="A55" s="50" t="s">
        <v>20</v>
      </c>
      <c r="B55" s="50" t="s">
        <v>101</v>
      </c>
      <c r="C55" s="57">
        <f>C56+C57</f>
        <v>1260000</v>
      </c>
      <c r="D55" s="57"/>
      <c r="E55" s="57"/>
      <c r="F55" s="57"/>
      <c r="G55" s="57"/>
      <c r="H55" s="57"/>
      <c r="I55" s="57"/>
      <c r="J55" s="57"/>
      <c r="K55" s="67"/>
    </row>
    <row r="56" spans="1:39" s="46" customFormat="1" ht="15.75" customHeight="1">
      <c r="A56" s="50">
        <v>1.1000000000000001</v>
      </c>
      <c r="B56" s="124" t="s">
        <v>102</v>
      </c>
      <c r="C56" s="57">
        <f>项目投资!B27</f>
        <v>0</v>
      </c>
      <c r="D56" s="57"/>
      <c r="E56" s="57"/>
      <c r="F56" s="57"/>
      <c r="G56" s="57"/>
      <c r="H56" s="57"/>
      <c r="I56" s="57"/>
      <c r="J56" s="57"/>
      <c r="K56" s="67"/>
    </row>
    <row r="57" spans="1:39" s="46" customFormat="1" ht="15.75" customHeight="1">
      <c r="A57" s="50">
        <v>1.2</v>
      </c>
      <c r="B57" s="50" t="s">
        <v>103</v>
      </c>
      <c r="C57" s="57">
        <f>项目投资!B26</f>
        <v>1260000</v>
      </c>
      <c r="D57" s="57"/>
      <c r="E57" s="57"/>
      <c r="F57" s="57"/>
      <c r="G57" s="57"/>
      <c r="H57" s="57"/>
      <c r="I57" s="57"/>
      <c r="J57" s="57"/>
      <c r="K57" s="67"/>
    </row>
    <row r="58" spans="1:39" ht="15.75" customHeight="1">
      <c r="A58" s="116" t="s">
        <v>22</v>
      </c>
      <c r="B58" s="116" t="s">
        <v>104</v>
      </c>
      <c r="C58" s="125">
        <f t="shared" ref="C58:I58" si="59">C59+C60</f>
        <v>50079.947186684818</v>
      </c>
      <c r="D58" s="125">
        <f t="shared" si="59"/>
        <v>477052.50557595294</v>
      </c>
      <c r="E58" s="125">
        <f t="shared" si="59"/>
        <v>944162.25642998319</v>
      </c>
      <c r="F58" s="125">
        <f t="shared" si="59"/>
        <v>997104.24490175443</v>
      </c>
      <c r="G58" s="125">
        <f t="shared" si="59"/>
        <v>1187380.3527654277</v>
      </c>
      <c r="H58" s="125" t="e">
        <f t="shared" si="59"/>
        <v>#DIV/0!</v>
      </c>
      <c r="I58" s="125" t="e">
        <f t="shared" si="59"/>
        <v>#DIV/0!</v>
      </c>
      <c r="J58" s="125">
        <f t="shared" ref="J58" si="60">J59+J60</f>
        <v>3708117.314781798</v>
      </c>
      <c r="K58" s="67"/>
    </row>
    <row r="59" spans="1:39" ht="15.75" customHeight="1">
      <c r="A59" s="116" t="s">
        <v>68</v>
      </c>
      <c r="B59" s="116" t="s">
        <v>105</v>
      </c>
      <c r="C59" s="125">
        <f t="shared" ref="C59:I59" si="61">C23</f>
        <v>-348920.05281331518</v>
      </c>
      <c r="D59" s="125">
        <f t="shared" si="61"/>
        <v>78052.505575952906</v>
      </c>
      <c r="E59" s="125">
        <f t="shared" si="61"/>
        <v>545162.25642998319</v>
      </c>
      <c r="F59" s="125">
        <f t="shared" si="61"/>
        <v>997104.24490175443</v>
      </c>
      <c r="G59" s="125">
        <f t="shared" si="61"/>
        <v>1187380.3527654277</v>
      </c>
      <c r="H59" s="125" t="e">
        <f t="shared" si="61"/>
        <v>#DIV/0!</v>
      </c>
      <c r="I59" s="125" t="e">
        <f t="shared" si="61"/>
        <v>#DIV/0!</v>
      </c>
      <c r="J59" s="125">
        <f t="shared" ref="J59" si="62">J23</f>
        <v>2511117.314781798</v>
      </c>
      <c r="K59" s="67"/>
    </row>
    <row r="60" spans="1:39" ht="15.75" customHeight="1">
      <c r="A60" s="116" t="s">
        <v>25</v>
      </c>
      <c r="B60" s="116" t="s">
        <v>106</v>
      </c>
      <c r="C60" s="125">
        <f>'2023年'!I18</f>
        <v>399000</v>
      </c>
      <c r="D60" s="125">
        <f>'2024年'!I18</f>
        <v>399000</v>
      </c>
      <c r="E60" s="125">
        <f>'2025年'!I18</f>
        <v>399000</v>
      </c>
      <c r="F60" s="125">
        <f>'2026年'!I18</f>
        <v>0</v>
      </c>
      <c r="G60" s="125">
        <f>'2027年 '!I18</f>
        <v>0</v>
      </c>
      <c r="H60" s="125"/>
      <c r="I60" s="125"/>
      <c r="J60" s="125">
        <f>项目投资!K26</f>
        <v>1197000</v>
      </c>
      <c r="K60" s="67"/>
    </row>
    <row r="61" spans="1:39" ht="15.75" customHeight="1">
      <c r="A61" s="116" t="s">
        <v>28</v>
      </c>
      <c r="B61" s="116" t="s">
        <v>107</v>
      </c>
      <c r="C61" s="126"/>
      <c r="D61" s="126"/>
      <c r="E61" s="126"/>
      <c r="F61" s="126"/>
      <c r="G61" s="126"/>
      <c r="H61" s="126"/>
      <c r="I61" s="126"/>
      <c r="J61" s="125"/>
      <c r="K61" s="67"/>
    </row>
    <row r="63" spans="1:39" ht="16.5" customHeight="1">
      <c r="C63" s="186"/>
      <c r="D63" s="186"/>
      <c r="E63" s="186"/>
      <c r="F63" s="186"/>
      <c r="G63" s="186"/>
      <c r="H63" s="186"/>
      <c r="I63" s="186"/>
      <c r="J63" s="186"/>
    </row>
    <row r="64" spans="1:39">
      <c r="C64" s="186"/>
      <c r="D64" s="186"/>
      <c r="E64" s="186"/>
      <c r="F64" s="186"/>
      <c r="G64" s="186"/>
      <c r="H64" s="186"/>
      <c r="I64" s="186"/>
      <c r="J64" s="186"/>
    </row>
    <row r="65" spans="3:10">
      <c r="C65" s="186"/>
      <c r="D65" s="186"/>
      <c r="E65" s="186"/>
      <c r="F65" s="186"/>
      <c r="G65" s="186"/>
      <c r="H65" s="186"/>
      <c r="I65" s="186"/>
      <c r="J65" s="186"/>
    </row>
    <row r="66" spans="3:10">
      <c r="C66" s="186"/>
      <c r="D66" s="186"/>
      <c r="E66" s="186"/>
      <c r="F66" s="186"/>
      <c r="G66" s="186"/>
      <c r="H66" s="186"/>
      <c r="I66" s="186"/>
      <c r="J66" s="186"/>
    </row>
  </sheetData>
  <mergeCells count="2">
    <mergeCell ref="A1:J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108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109</v>
      </c>
      <c r="B2" s="75"/>
    </row>
    <row r="3" spans="1:13" ht="16.899999999999999" customHeight="1">
      <c r="A3" s="76" t="s">
        <v>15</v>
      </c>
      <c r="B3" s="76" t="s">
        <v>110</v>
      </c>
      <c r="C3" s="219" t="s">
        <v>111</v>
      </c>
      <c r="D3" s="219"/>
      <c r="E3" s="219"/>
      <c r="F3" s="78"/>
      <c r="G3" s="79"/>
      <c r="H3" s="80"/>
      <c r="I3" s="80"/>
      <c r="J3" s="80" t="s">
        <v>112</v>
      </c>
      <c r="K3" s="80"/>
      <c r="L3" s="80"/>
      <c r="M3" s="101"/>
    </row>
    <row r="4" spans="1:13" ht="16.149999999999999" customHeight="1">
      <c r="A4" s="81"/>
      <c r="B4" s="81" t="s">
        <v>113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114</v>
      </c>
    </row>
    <row r="5" spans="1:13" ht="15.6" customHeight="1">
      <c r="A5" s="83">
        <v>1</v>
      </c>
      <c r="B5" s="84" t="s">
        <v>115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500000</v>
      </c>
      <c r="G5" s="85">
        <f t="shared" si="1"/>
        <v>5000000</v>
      </c>
      <c r="H5" s="85">
        <f t="shared" si="1"/>
        <v>10000000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35500000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116</v>
      </c>
      <c r="C6" s="87"/>
      <c r="D6" s="87"/>
      <c r="E6" s="87" t="e">
        <f>损益表!#REF!</f>
        <v>#REF!</v>
      </c>
      <c r="F6" s="87">
        <f>损益表!C4</f>
        <v>500000</v>
      </c>
      <c r="G6" s="87">
        <f>损益表!D4</f>
        <v>5000000</v>
      </c>
      <c r="H6" s="87">
        <f>损益表!E4</f>
        <v>10000000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损益表!J4</f>
        <v>35500000</v>
      </c>
      <c r="M6" s="89" t="e">
        <f t="shared" si="2"/>
        <v>#REF!</v>
      </c>
    </row>
    <row r="7" spans="1:13" ht="15.6" customHeight="1">
      <c r="A7" s="83">
        <v>1.2</v>
      </c>
      <c r="B7" s="86" t="s">
        <v>117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118</v>
      </c>
      <c r="C8" s="87" t="s">
        <v>119</v>
      </c>
      <c r="D8" s="87" t="s">
        <v>119</v>
      </c>
      <c r="E8" s="87" t="s">
        <v>119</v>
      </c>
      <c r="F8" s="87" t="s">
        <v>119</v>
      </c>
      <c r="G8" s="87" t="s">
        <v>119</v>
      </c>
      <c r="H8" s="87" t="s">
        <v>119</v>
      </c>
      <c r="I8" s="87" t="s">
        <v>119</v>
      </c>
      <c r="J8" s="87" t="s">
        <v>119</v>
      </c>
      <c r="K8" s="87" t="s">
        <v>119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120</v>
      </c>
      <c r="C9" s="87" t="s">
        <v>119</v>
      </c>
      <c r="D9" s="87" t="s">
        <v>119</v>
      </c>
      <c r="E9" s="87" t="s">
        <v>119</v>
      </c>
      <c r="F9" s="87" t="s">
        <v>119</v>
      </c>
      <c r="G9" s="87" t="s">
        <v>119</v>
      </c>
      <c r="H9" s="87" t="s">
        <v>119</v>
      </c>
      <c r="I9" s="87" t="s">
        <v>119</v>
      </c>
      <c r="J9" s="87" t="s">
        <v>119</v>
      </c>
      <c r="K9" s="87" t="s">
        <v>119</v>
      </c>
      <c r="L9" s="87" t="s">
        <v>119</v>
      </c>
      <c r="M9" s="89">
        <f t="shared" si="2"/>
        <v>0</v>
      </c>
    </row>
    <row r="10" spans="1:13" ht="15.6" customHeight="1">
      <c r="A10" s="88">
        <v>2</v>
      </c>
      <c r="B10" s="84" t="s">
        <v>121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122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123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124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125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55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126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127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500000</v>
      </c>
      <c r="G17" s="85">
        <f t="shared" si="4"/>
        <v>5000000</v>
      </c>
      <c r="H17" s="85">
        <f t="shared" si="4"/>
        <v>10000000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35500000</v>
      </c>
      <c r="M17" s="89" t="e">
        <f t="shared" si="2"/>
        <v>#REF!</v>
      </c>
    </row>
    <row r="18" spans="1:18" ht="12">
      <c r="A18" s="90">
        <v>4</v>
      </c>
      <c r="B18" s="86" t="s">
        <v>128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119</v>
      </c>
    </row>
    <row r="19" spans="1:18" s="70" customFormat="1" ht="12">
      <c r="A19" s="90">
        <v>5</v>
      </c>
      <c r="B19" s="86" t="s">
        <v>129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500000</v>
      </c>
      <c r="G19" s="87">
        <f t="shared" si="6"/>
        <v>5000000</v>
      </c>
      <c r="H19" s="87">
        <f t="shared" si="6"/>
        <v>10000000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35500000</v>
      </c>
      <c r="M19" s="89" t="e">
        <f>SUM(C19:L19)</f>
        <v>#REF!</v>
      </c>
    </row>
    <row r="20" spans="1:18" s="70" customFormat="1" ht="12">
      <c r="A20" s="83">
        <v>6</v>
      </c>
      <c r="B20" s="86" t="s">
        <v>130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119</v>
      </c>
    </row>
    <row r="21" spans="1:18" ht="12">
      <c r="A21" s="91"/>
      <c r="B21" s="92" t="s">
        <v>131</v>
      </c>
      <c r="C21" s="92"/>
      <c r="D21" s="92"/>
      <c r="E21" s="92" t="s">
        <v>132</v>
      </c>
      <c r="F21" s="92"/>
      <c r="G21" s="92"/>
      <c r="H21" s="92"/>
      <c r="I21" s="92" t="s">
        <v>133</v>
      </c>
      <c r="J21" s="92"/>
      <c r="K21" s="92"/>
      <c r="L21" s="92"/>
      <c r="M21" s="103"/>
    </row>
    <row r="22" spans="1:18" ht="12">
      <c r="A22" s="93"/>
      <c r="B22" s="94" t="s">
        <v>134</v>
      </c>
      <c r="C22" s="94"/>
      <c r="D22" s="95" t="s">
        <v>135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136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137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I18" sqref="I18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20" t="s">
        <v>138</v>
      </c>
      <c r="B1" s="220"/>
      <c r="C1" s="224" t="s">
        <v>233</v>
      </c>
      <c r="D1" s="225"/>
      <c r="E1" s="225"/>
      <c r="F1" s="225"/>
      <c r="G1" s="225"/>
      <c r="H1" s="225"/>
      <c r="I1" s="226"/>
    </row>
    <row r="2" spans="1:38">
      <c r="A2" s="220" t="s">
        <v>139</v>
      </c>
      <c r="B2" s="220"/>
      <c r="C2" s="227" t="s">
        <v>270</v>
      </c>
      <c r="D2" s="227"/>
      <c r="E2" s="227"/>
      <c r="F2" s="227"/>
      <c r="G2" s="227"/>
      <c r="H2" s="227"/>
      <c r="I2" s="227"/>
    </row>
    <row r="3" spans="1:38" ht="42.75">
      <c r="A3" s="220" t="s">
        <v>140</v>
      </c>
      <c r="B3" s="220"/>
      <c r="C3" s="149" t="str">
        <f>销量!C5</f>
        <v>左后盖 ABDECKUNG LI FHS2500 CHN</v>
      </c>
      <c r="D3" s="185" t="str">
        <f>销量!D5</f>
        <v>左后盖装饰盖 ABDECKUNG UT LI CHN</v>
      </c>
      <c r="E3" s="185" t="str">
        <f>销量!E5</f>
        <v>左后盖装饰盖 ABDECKUNG UT LI CHN</v>
      </c>
      <c r="F3" s="185" t="str">
        <f>销量!F5</f>
        <v>右后盖 ABDECKUNG RE FHS2500 CHN</v>
      </c>
      <c r="G3" s="185" t="str">
        <f>销量!G5</f>
        <v>右后盖装饰盖 ABDECKUNG UT RE CHN</v>
      </c>
      <c r="H3" s="185" t="str">
        <f>销量!H5</f>
        <v>右后盖装饰盖 ABDECKUNG UT RE CHN</v>
      </c>
      <c r="I3" s="221" t="s">
        <v>16</v>
      </c>
    </row>
    <row r="4" spans="1:38">
      <c r="A4" s="220" t="s">
        <v>141</v>
      </c>
      <c r="B4" s="220"/>
      <c r="C4" s="149" t="str">
        <f>销量!C6</f>
        <v>A9608118007-2</v>
      </c>
      <c r="D4" s="149" t="str">
        <f>销量!D6</f>
        <v>A9608118207-2</v>
      </c>
      <c r="E4" s="149" t="str">
        <f>销量!E6</f>
        <v>A9608118207-3</v>
      </c>
      <c r="F4" s="149" t="str">
        <f>销量!F6</f>
        <v>A9608118107-2</v>
      </c>
      <c r="G4" s="149" t="str">
        <f>销量!G6</f>
        <v>A9608118307-2</v>
      </c>
      <c r="H4" s="149" t="str">
        <f>销量!H6</f>
        <v>A9608118307-3</v>
      </c>
      <c r="I4" s="222"/>
    </row>
    <row r="5" spans="1:38">
      <c r="A5" s="220" t="s">
        <v>142</v>
      </c>
      <c r="B5" s="220"/>
      <c r="C5" s="49"/>
      <c r="D5" s="182"/>
      <c r="E5" s="212"/>
      <c r="F5" s="212"/>
      <c r="G5" s="212"/>
      <c r="H5" s="182"/>
      <c r="I5" s="223"/>
      <c r="AL5" s="46" t="s">
        <v>17</v>
      </c>
    </row>
    <row r="6" spans="1:38" ht="17.25">
      <c r="A6" s="50" t="s">
        <v>15</v>
      </c>
      <c r="B6" s="51" t="s">
        <v>143</v>
      </c>
      <c r="C6" s="21">
        <f>销量!C9</f>
        <v>2000</v>
      </c>
      <c r="D6" s="21">
        <f>销量!D9</f>
        <v>1000</v>
      </c>
      <c r="E6" s="21">
        <f>销量!E9</f>
        <v>1000</v>
      </c>
      <c r="F6" s="21">
        <f>销量!F9</f>
        <v>2000</v>
      </c>
      <c r="G6" s="21">
        <f>销量!G9</f>
        <v>1000</v>
      </c>
      <c r="H6" s="21">
        <f>销量!H9</f>
        <v>1000</v>
      </c>
      <c r="I6" s="52">
        <f t="shared" ref="I6:I17" si="0">SUM(C6:H6)</f>
        <v>8000</v>
      </c>
      <c r="T6" s="51" t="s">
        <v>3</v>
      </c>
      <c r="AJ6" s="50" t="s">
        <v>15</v>
      </c>
      <c r="AK6" s="51" t="s">
        <v>3</v>
      </c>
      <c r="AL6" s="46" t="s">
        <v>18</v>
      </c>
    </row>
    <row r="7" spans="1:38">
      <c r="A7" s="48">
        <v>1</v>
      </c>
      <c r="B7" s="51" t="s">
        <v>19</v>
      </c>
      <c r="C7" s="52">
        <f>C6*销量!C8</f>
        <v>170000</v>
      </c>
      <c r="D7" s="52">
        <f>D6*销量!D8</f>
        <v>35000</v>
      </c>
      <c r="E7" s="52">
        <f>E6*销量!E8</f>
        <v>45000</v>
      </c>
      <c r="F7" s="52">
        <f>F6*销量!F8</f>
        <v>170000</v>
      </c>
      <c r="G7" s="52">
        <f>G6*销量!G8</f>
        <v>35000</v>
      </c>
      <c r="H7" s="52">
        <f>H6*销量!H8</f>
        <v>45000</v>
      </c>
      <c r="I7" s="52">
        <f t="shared" si="0"/>
        <v>500000</v>
      </c>
      <c r="J7" s="47"/>
      <c r="T7" s="51" t="s">
        <v>19</v>
      </c>
      <c r="AJ7" s="50" t="s">
        <v>20</v>
      </c>
      <c r="AK7" s="51" t="s">
        <v>19</v>
      </c>
      <c r="AL7" s="46" t="s">
        <v>18</v>
      </c>
    </row>
    <row r="8" spans="1:38">
      <c r="A8" s="48">
        <v>2</v>
      </c>
      <c r="B8" s="48" t="s">
        <v>21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23</v>
      </c>
      <c r="AJ8" s="50" t="s">
        <v>22</v>
      </c>
      <c r="AK8" s="48" t="s">
        <v>23</v>
      </c>
      <c r="AL8" s="46" t="s">
        <v>18</v>
      </c>
    </row>
    <row r="9" spans="1:38">
      <c r="A9" s="48">
        <v>3</v>
      </c>
      <c r="B9" s="51" t="s">
        <v>24</v>
      </c>
      <c r="C9" s="52">
        <f>+C7-C8</f>
        <v>170000</v>
      </c>
      <c r="D9" s="52">
        <f t="shared" ref="D9:H9" si="1">+D7-D8</f>
        <v>35000</v>
      </c>
      <c r="E9" s="52">
        <f t="shared" si="1"/>
        <v>45000</v>
      </c>
      <c r="F9" s="52">
        <f t="shared" si="1"/>
        <v>170000</v>
      </c>
      <c r="G9" s="52">
        <f t="shared" si="1"/>
        <v>35000</v>
      </c>
      <c r="H9" s="52">
        <f t="shared" si="1"/>
        <v>45000</v>
      </c>
      <c r="I9" s="52">
        <f t="shared" si="0"/>
        <v>500000</v>
      </c>
      <c r="T9" s="51" t="s">
        <v>24</v>
      </c>
      <c r="AJ9" s="50" t="s">
        <v>25</v>
      </c>
      <c r="AK9" s="51" t="s">
        <v>24</v>
      </c>
      <c r="AL9" s="46" t="s">
        <v>26</v>
      </c>
    </row>
    <row r="10" spans="1:38">
      <c r="A10" s="48">
        <v>4</v>
      </c>
      <c r="B10" s="50" t="s">
        <v>27</v>
      </c>
      <c r="C10" s="52">
        <f>C6*C33</f>
        <v>137556.14690691358</v>
      </c>
      <c r="D10" s="52">
        <f t="shared" ref="D10:H10" si="2">D6*D33</f>
        <v>27560</v>
      </c>
      <c r="E10" s="52">
        <f t="shared" si="2"/>
        <v>35018.87949974402</v>
      </c>
      <c r="F10" s="52">
        <f t="shared" si="2"/>
        <v>137556.14690691358</v>
      </c>
      <c r="G10" s="52">
        <f t="shared" si="2"/>
        <v>27560</v>
      </c>
      <c r="H10" s="52">
        <f t="shared" si="2"/>
        <v>35018.87949974402</v>
      </c>
      <c r="I10" s="52">
        <f t="shared" si="0"/>
        <v>400270.05281331518</v>
      </c>
      <c r="T10" s="50" t="s">
        <v>27</v>
      </c>
      <c r="AJ10" s="50" t="s">
        <v>28</v>
      </c>
      <c r="AK10" s="50" t="s">
        <v>27</v>
      </c>
      <c r="AL10" s="46" t="s">
        <v>29</v>
      </c>
    </row>
    <row r="11" spans="1:38">
      <c r="A11" s="48">
        <v>5</v>
      </c>
      <c r="B11" s="50" t="s">
        <v>30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30</v>
      </c>
      <c r="AJ11" s="50" t="s">
        <v>31</v>
      </c>
      <c r="AK11" s="50" t="s">
        <v>30</v>
      </c>
    </row>
    <row r="12" spans="1:38">
      <c r="A12" s="48">
        <v>6</v>
      </c>
      <c r="B12" s="50" t="s">
        <v>32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32</v>
      </c>
      <c r="AJ12" s="50" t="s">
        <v>33</v>
      </c>
      <c r="AK12" s="50" t="s">
        <v>32</v>
      </c>
    </row>
    <row r="13" spans="1:38">
      <c r="A13" s="48">
        <v>7</v>
      </c>
      <c r="B13" s="50" t="s">
        <v>34</v>
      </c>
      <c r="C13" s="52">
        <f>+C6*C38</f>
        <v>4760</v>
      </c>
      <c r="D13" s="52">
        <f t="shared" ref="D13:H13" si="5">+D6*D38</f>
        <v>980</v>
      </c>
      <c r="E13" s="52">
        <f t="shared" si="5"/>
        <v>1260</v>
      </c>
      <c r="F13" s="52">
        <f t="shared" si="5"/>
        <v>4760</v>
      </c>
      <c r="G13" s="52">
        <f t="shared" si="5"/>
        <v>980</v>
      </c>
      <c r="H13" s="52">
        <f t="shared" si="5"/>
        <v>1260</v>
      </c>
      <c r="I13" s="52">
        <f t="shared" si="0"/>
        <v>14000</v>
      </c>
      <c r="T13" s="50" t="s">
        <v>34</v>
      </c>
      <c r="AJ13" s="50" t="s">
        <v>35</v>
      </c>
      <c r="AK13" s="50" t="s">
        <v>34</v>
      </c>
      <c r="AL13" s="46" t="s">
        <v>18</v>
      </c>
    </row>
    <row r="14" spans="1:38">
      <c r="A14" s="48">
        <v>8</v>
      </c>
      <c r="B14" s="53" t="s">
        <v>36</v>
      </c>
      <c r="C14" s="52">
        <f>SUM(C11:C13)</f>
        <v>4760</v>
      </c>
      <c r="D14" s="52">
        <f t="shared" ref="D14:H14" si="6">SUM(D11:D13)</f>
        <v>980</v>
      </c>
      <c r="E14" s="52">
        <f t="shared" si="6"/>
        <v>1260</v>
      </c>
      <c r="F14" s="52">
        <f t="shared" si="6"/>
        <v>4760</v>
      </c>
      <c r="G14" s="52">
        <f t="shared" si="6"/>
        <v>980</v>
      </c>
      <c r="H14" s="52">
        <f t="shared" si="6"/>
        <v>1260</v>
      </c>
      <c r="I14" s="52">
        <f t="shared" si="0"/>
        <v>14000</v>
      </c>
      <c r="K14" s="67"/>
      <c r="T14" s="53" t="s">
        <v>36</v>
      </c>
      <c r="AJ14" s="50" t="s">
        <v>37</v>
      </c>
      <c r="AK14" s="53" t="s">
        <v>36</v>
      </c>
    </row>
    <row r="15" spans="1:38">
      <c r="A15" s="48">
        <v>9</v>
      </c>
      <c r="B15" s="53" t="s">
        <v>38</v>
      </c>
      <c r="C15" s="52">
        <f>+C9-C10-C14</f>
        <v>27683.853093086422</v>
      </c>
      <c r="D15" s="52">
        <f t="shared" ref="D15:H15" si="7">+D9-D10-D14</f>
        <v>6460</v>
      </c>
      <c r="E15" s="52">
        <f t="shared" si="7"/>
        <v>8721.12050025598</v>
      </c>
      <c r="F15" s="52">
        <f t="shared" si="7"/>
        <v>27683.853093086422</v>
      </c>
      <c r="G15" s="52">
        <f t="shared" si="7"/>
        <v>6460</v>
      </c>
      <c r="H15" s="52">
        <f t="shared" si="7"/>
        <v>8721.12050025598</v>
      </c>
      <c r="I15" s="52">
        <f t="shared" si="0"/>
        <v>85729.947186684818</v>
      </c>
      <c r="T15" s="53" t="s">
        <v>38</v>
      </c>
      <c r="AJ15" s="50" t="s">
        <v>39</v>
      </c>
      <c r="AK15" s="53" t="s">
        <v>38</v>
      </c>
    </row>
    <row r="16" spans="1:38">
      <c r="A16" s="48">
        <v>10</v>
      </c>
      <c r="B16" s="50" t="s">
        <v>40</v>
      </c>
      <c r="C16" s="54">
        <f>+C15/C9</f>
        <v>0.16284619466521424</v>
      </c>
      <c r="D16" s="54">
        <f t="shared" ref="D16:H16" si="8">+D15/D9</f>
        <v>0.18457142857142858</v>
      </c>
      <c r="E16" s="54">
        <f t="shared" si="8"/>
        <v>0.19380267778346622</v>
      </c>
      <c r="F16" s="54">
        <f t="shared" si="8"/>
        <v>0.16284619466521424</v>
      </c>
      <c r="G16" s="54">
        <f t="shared" si="8"/>
        <v>0.18457142857142858</v>
      </c>
      <c r="H16" s="54">
        <f t="shared" si="8"/>
        <v>0.19380267778346622</v>
      </c>
      <c r="I16" s="54">
        <f t="shared" ref="I16" si="9">+I15/I9</f>
        <v>0.17145989437336964</v>
      </c>
      <c r="T16" s="50" t="s">
        <v>40</v>
      </c>
      <c r="AJ16" s="50" t="s">
        <v>41</v>
      </c>
      <c r="AK16" s="50" t="s">
        <v>40</v>
      </c>
    </row>
    <row r="17" spans="1:38">
      <c r="A17" s="48">
        <v>11</v>
      </c>
      <c r="B17" s="50" t="s">
        <v>42</v>
      </c>
      <c r="C17" s="52">
        <f>C6*C43+C18</f>
        <v>135660</v>
      </c>
      <c r="D17" s="52">
        <f t="shared" ref="D17:H17" si="10">D6*D43+D18</f>
        <v>27930</v>
      </c>
      <c r="E17" s="52">
        <f t="shared" si="10"/>
        <v>35910</v>
      </c>
      <c r="F17" s="52">
        <f t="shared" si="10"/>
        <v>135660</v>
      </c>
      <c r="G17" s="52">
        <f t="shared" si="10"/>
        <v>27930</v>
      </c>
      <c r="H17" s="52">
        <f t="shared" si="10"/>
        <v>35910</v>
      </c>
      <c r="I17" s="52">
        <f t="shared" si="0"/>
        <v>399000</v>
      </c>
      <c r="J17" s="67"/>
      <c r="T17" s="50" t="s">
        <v>42</v>
      </c>
      <c r="AJ17" s="50" t="s">
        <v>43</v>
      </c>
      <c r="AK17" s="50" t="s">
        <v>42</v>
      </c>
    </row>
    <row r="18" spans="1:38" s="44" customFormat="1">
      <c r="A18" s="48">
        <v>12</v>
      </c>
      <c r="B18" s="55" t="s">
        <v>144</v>
      </c>
      <c r="C18" s="56">
        <f>$I$18/$I$9*C9</f>
        <v>135660</v>
      </c>
      <c r="D18" s="56">
        <f t="shared" ref="D18:H18" si="11">$I$18/$I$9*D9</f>
        <v>27930</v>
      </c>
      <c r="E18" s="56">
        <f t="shared" si="11"/>
        <v>35910</v>
      </c>
      <c r="F18" s="56">
        <f t="shared" si="11"/>
        <v>135660</v>
      </c>
      <c r="G18" s="56">
        <f t="shared" si="11"/>
        <v>27930</v>
      </c>
      <c r="H18" s="56">
        <f t="shared" si="11"/>
        <v>35910</v>
      </c>
      <c r="I18" s="56">
        <f>项目投资!D26</f>
        <v>399000</v>
      </c>
      <c r="J18" s="157" t="s">
        <v>145</v>
      </c>
      <c r="K18" s="68"/>
      <c r="L18" s="68"/>
    </row>
    <row r="19" spans="1:38">
      <c r="A19" s="48">
        <v>13</v>
      </c>
      <c r="B19" s="50" t="s">
        <v>44</v>
      </c>
      <c r="C19" s="52">
        <f>C6*C44</f>
        <v>3570.0000000000005</v>
      </c>
      <c r="D19" s="52">
        <f t="shared" ref="D19:H19" si="12">D6*D44</f>
        <v>735.00000000000011</v>
      </c>
      <c r="E19" s="52">
        <f t="shared" si="12"/>
        <v>945.00000000000011</v>
      </c>
      <c r="F19" s="52">
        <f t="shared" si="12"/>
        <v>3570.0000000000005</v>
      </c>
      <c r="G19" s="52">
        <f t="shared" si="12"/>
        <v>735.00000000000011</v>
      </c>
      <c r="H19" s="52">
        <f t="shared" si="12"/>
        <v>945.00000000000011</v>
      </c>
      <c r="I19" s="52">
        <f>SUM(C19:H19)</f>
        <v>10500.000000000002</v>
      </c>
      <c r="J19" s="44"/>
      <c r="T19" s="50" t="s">
        <v>44</v>
      </c>
      <c r="AJ19" s="50" t="s">
        <v>45</v>
      </c>
      <c r="AK19" s="50" t="s">
        <v>44</v>
      </c>
      <c r="AL19" s="46" t="s">
        <v>18</v>
      </c>
    </row>
    <row r="20" spans="1:38">
      <c r="A20" s="48">
        <v>14</v>
      </c>
      <c r="B20" s="50" t="s">
        <v>46</v>
      </c>
      <c r="C20" s="52">
        <f>C6*C45</f>
        <v>4930.0000000000009</v>
      </c>
      <c r="D20" s="52">
        <f t="shared" ref="D20:H20" si="13">D6*D45</f>
        <v>1015.0000000000001</v>
      </c>
      <c r="E20" s="52">
        <f t="shared" si="13"/>
        <v>1305.0000000000002</v>
      </c>
      <c r="F20" s="52">
        <f t="shared" si="13"/>
        <v>4930.0000000000009</v>
      </c>
      <c r="G20" s="52">
        <f t="shared" si="13"/>
        <v>1015.0000000000001</v>
      </c>
      <c r="H20" s="52">
        <f t="shared" si="13"/>
        <v>1305.0000000000002</v>
      </c>
      <c r="I20" s="52">
        <f>SUM(C20:H20)</f>
        <v>14500.000000000002</v>
      </c>
      <c r="T20" s="50" t="s">
        <v>46</v>
      </c>
      <c r="AJ20" s="50" t="s">
        <v>47</v>
      </c>
      <c r="AK20" s="50" t="s">
        <v>46</v>
      </c>
    </row>
    <row r="21" spans="1:38">
      <c r="A21" s="48">
        <v>15</v>
      </c>
      <c r="B21" s="50" t="s">
        <v>48</v>
      </c>
      <c r="C21" s="57">
        <f>$I$21/$I$6*C6</f>
        <v>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48</v>
      </c>
      <c r="AJ21" s="50"/>
      <c r="AK21" s="50"/>
    </row>
    <row r="22" spans="1:38">
      <c r="A22" s="48">
        <v>16</v>
      </c>
      <c r="B22" s="50" t="s">
        <v>49</v>
      </c>
      <c r="C22" s="52">
        <f>C6*C47</f>
        <v>3621</v>
      </c>
      <c r="D22" s="52">
        <f t="shared" ref="D22:H22" si="15">D6*D47</f>
        <v>745.49999999999989</v>
      </c>
      <c r="E22" s="52">
        <f t="shared" si="15"/>
        <v>958.5</v>
      </c>
      <c r="F22" s="52">
        <f t="shared" si="15"/>
        <v>3621</v>
      </c>
      <c r="G22" s="52">
        <f t="shared" si="15"/>
        <v>745.49999999999989</v>
      </c>
      <c r="H22" s="52">
        <f t="shared" si="15"/>
        <v>958.5</v>
      </c>
      <c r="I22" s="52">
        <f>SUM(C22:H22)</f>
        <v>10650</v>
      </c>
      <c r="T22" s="50" t="s">
        <v>49</v>
      </c>
      <c r="AJ22" s="50" t="s">
        <v>50</v>
      </c>
      <c r="AK22" s="50" t="s">
        <v>49</v>
      </c>
    </row>
    <row r="23" spans="1:38">
      <c r="A23" s="48">
        <v>17</v>
      </c>
      <c r="B23" s="53" t="s">
        <v>51</v>
      </c>
      <c r="C23" s="57">
        <f>+C22+C21+C20+C19+C17</f>
        <v>147781</v>
      </c>
      <c r="D23" s="57">
        <f t="shared" ref="D23:H23" si="16">+D22+D21+D20+D19+D17</f>
        <v>30425.5</v>
      </c>
      <c r="E23" s="57">
        <f t="shared" si="16"/>
        <v>39118.5</v>
      </c>
      <c r="F23" s="57">
        <f t="shared" si="16"/>
        <v>147781</v>
      </c>
      <c r="G23" s="57">
        <f t="shared" si="16"/>
        <v>30425.5</v>
      </c>
      <c r="H23" s="57">
        <f t="shared" si="16"/>
        <v>39118.5</v>
      </c>
      <c r="I23" s="57">
        <f>+I22+I21+I20+I19+I17</f>
        <v>434650</v>
      </c>
      <c r="T23" s="53" t="s">
        <v>51</v>
      </c>
      <c r="AJ23" s="50" t="s">
        <v>52</v>
      </c>
      <c r="AK23" s="53" t="s">
        <v>51</v>
      </c>
    </row>
    <row r="24" spans="1:38">
      <c r="A24" s="48">
        <v>18</v>
      </c>
      <c r="B24" s="58" t="s">
        <v>53</v>
      </c>
      <c r="C24" s="57">
        <f>+C15-C23</f>
        <v>-120097.14690691358</v>
      </c>
      <c r="D24" s="57">
        <f t="shared" ref="D24:H24" si="17">+D15-D23</f>
        <v>-23965.5</v>
      </c>
      <c r="E24" s="57">
        <f t="shared" si="17"/>
        <v>-30397.37949974402</v>
      </c>
      <c r="F24" s="57">
        <f t="shared" si="17"/>
        <v>-120097.14690691358</v>
      </c>
      <c r="G24" s="57">
        <f t="shared" si="17"/>
        <v>-23965.5</v>
      </c>
      <c r="H24" s="57">
        <f t="shared" si="17"/>
        <v>-30397.37949974402</v>
      </c>
      <c r="I24" s="57">
        <f t="shared" ref="I24" si="18">+I15-I23</f>
        <v>-348920.05281331518</v>
      </c>
      <c r="K24" s="69"/>
      <c r="T24" s="50" t="s">
        <v>53</v>
      </c>
      <c r="AJ24" s="50" t="s">
        <v>54</v>
      </c>
      <c r="AK24" s="50" t="s">
        <v>53</v>
      </c>
    </row>
    <row r="25" spans="1:38">
      <c r="A25" s="48">
        <v>19</v>
      </c>
      <c r="B25" s="50" t="s">
        <v>242</v>
      </c>
      <c r="C25" s="57">
        <f>IF(C24&lt;0,0,C24*0.15)</f>
        <v>0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0</v>
      </c>
      <c r="J25" s="65"/>
      <c r="K25" s="65"/>
      <c r="L25" s="65"/>
      <c r="T25" s="50" t="s">
        <v>55</v>
      </c>
      <c r="AJ25" s="50" t="s">
        <v>56</v>
      </c>
      <c r="AK25" s="50" t="s">
        <v>55</v>
      </c>
    </row>
    <row r="26" spans="1:38">
      <c r="A26" s="48">
        <v>20</v>
      </c>
      <c r="B26" s="50" t="s">
        <v>57</v>
      </c>
      <c r="C26" s="57">
        <f t="shared" ref="C26:H26" si="20">C24-C25</f>
        <v>-120097.14690691358</v>
      </c>
      <c r="D26" s="57">
        <f t="shared" ref="D26:H26" si="21">D24-D25</f>
        <v>-23965.5</v>
      </c>
      <c r="E26" s="57">
        <f t="shared" si="21"/>
        <v>-30397.37949974402</v>
      </c>
      <c r="F26" s="57">
        <f t="shared" si="21"/>
        <v>-120097.14690691358</v>
      </c>
      <c r="G26" s="57">
        <f t="shared" si="21"/>
        <v>-23965.5</v>
      </c>
      <c r="H26" s="57">
        <f t="shared" si="21"/>
        <v>-30397.37949974402</v>
      </c>
      <c r="I26" s="52">
        <f>SUM(C26:H26)</f>
        <v>-348920.05281331518</v>
      </c>
      <c r="J26" s="65"/>
      <c r="K26" s="65"/>
      <c r="L26" s="65"/>
      <c r="T26" s="50" t="s">
        <v>57</v>
      </c>
      <c r="AJ26" s="50" t="s">
        <v>58</v>
      </c>
      <c r="AK26" s="50" t="s">
        <v>57</v>
      </c>
    </row>
    <row r="27" spans="1:38">
      <c r="A27" s="48">
        <v>21</v>
      </c>
      <c r="B27" s="50" t="s">
        <v>61</v>
      </c>
      <c r="C27" s="59">
        <f t="shared" ref="C27:I27" si="22">C26/C7</f>
        <v>-0.70645380533478574</v>
      </c>
      <c r="D27" s="59">
        <f t="shared" ref="D27:H27" si="23">D26/D7</f>
        <v>-0.68472857142857146</v>
      </c>
      <c r="E27" s="59">
        <f t="shared" si="23"/>
        <v>-0.6754973222165338</v>
      </c>
      <c r="F27" s="59">
        <f t="shared" si="23"/>
        <v>-0.70645380533478574</v>
      </c>
      <c r="G27" s="59">
        <f t="shared" si="23"/>
        <v>-0.68472857142857146</v>
      </c>
      <c r="H27" s="59">
        <f t="shared" si="23"/>
        <v>-0.6754973222165338</v>
      </c>
      <c r="I27" s="59">
        <f t="shared" si="22"/>
        <v>-0.69784010562663035</v>
      </c>
      <c r="J27" s="65"/>
      <c r="K27" s="65"/>
      <c r="L27" s="65"/>
      <c r="T27" s="50" t="s">
        <v>61</v>
      </c>
      <c r="AJ27" s="50" t="s">
        <v>60</v>
      </c>
      <c r="AK27" s="50" t="s">
        <v>61</v>
      </c>
    </row>
    <row r="28" spans="1:38">
      <c r="J28" s="65"/>
      <c r="K28" s="65"/>
      <c r="L28" s="65"/>
      <c r="T28" s="50"/>
    </row>
    <row r="29" spans="1:38">
      <c r="A29" s="46" t="s">
        <v>62</v>
      </c>
      <c r="I29" s="47" t="s">
        <v>147</v>
      </c>
      <c r="J29" s="65"/>
      <c r="K29" s="65"/>
      <c r="L29" s="65"/>
      <c r="T29" s="50"/>
      <c r="AJ29" s="46" t="s">
        <v>62</v>
      </c>
    </row>
    <row r="30" spans="1:38">
      <c r="A30" s="50" t="s">
        <v>63</v>
      </c>
      <c r="B30" s="53" t="s">
        <v>64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64</v>
      </c>
      <c r="AJ30" s="50" t="s">
        <v>65</v>
      </c>
      <c r="AK30" s="53" t="s">
        <v>64</v>
      </c>
    </row>
    <row r="31" spans="1:38">
      <c r="A31" s="60">
        <v>1</v>
      </c>
      <c r="B31" s="55" t="s">
        <v>66</v>
      </c>
      <c r="C31" s="61">
        <f>销量!C8</f>
        <v>85</v>
      </c>
      <c r="D31" s="61">
        <f>销量!D8</f>
        <v>35</v>
      </c>
      <c r="E31" s="61">
        <f>销量!E8</f>
        <v>45</v>
      </c>
      <c r="F31" s="61">
        <f>销量!F8</f>
        <v>85</v>
      </c>
      <c r="G31" s="61">
        <f>销量!G8</f>
        <v>35</v>
      </c>
      <c r="H31" s="61">
        <f>销量!H8</f>
        <v>45</v>
      </c>
      <c r="I31" s="57"/>
      <c r="J31" s="65"/>
      <c r="K31" s="65"/>
      <c r="L31" s="65"/>
      <c r="N31" s="65"/>
      <c r="T31" s="50" t="s">
        <v>66</v>
      </c>
      <c r="AJ31" s="50" t="s">
        <v>20</v>
      </c>
      <c r="AK31" s="50" t="s">
        <v>66</v>
      </c>
    </row>
    <row r="32" spans="1:38">
      <c r="A32" s="60">
        <v>2</v>
      </c>
      <c r="B32" s="50" t="s">
        <v>148</v>
      </c>
      <c r="C32" s="52">
        <f>C31*1</f>
        <v>85</v>
      </c>
      <c r="D32" s="52">
        <f t="shared" ref="D32:H32" si="24">D31*1</f>
        <v>35</v>
      </c>
      <c r="E32" s="52">
        <f t="shared" si="24"/>
        <v>45</v>
      </c>
      <c r="F32" s="52">
        <f t="shared" si="24"/>
        <v>85</v>
      </c>
      <c r="G32" s="52">
        <f t="shared" si="24"/>
        <v>35</v>
      </c>
      <c r="H32" s="52">
        <f t="shared" si="24"/>
        <v>45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67</v>
      </c>
      <c r="C33" s="52">
        <f>材料成本!E19</f>
        <v>68.778073453456784</v>
      </c>
      <c r="D33" s="52">
        <f>材料成本!E20</f>
        <v>27.56</v>
      </c>
      <c r="E33" s="52">
        <f>材料成本!E21</f>
        <v>35.018879499744017</v>
      </c>
      <c r="F33" s="52">
        <f>材料成本!E22</f>
        <v>68.778073453456784</v>
      </c>
      <c r="G33" s="52">
        <f>材料成本!E23</f>
        <v>27.56</v>
      </c>
      <c r="H33" s="52">
        <f>材料成本!E24</f>
        <v>35.018879499744017</v>
      </c>
      <c r="I33" s="57"/>
      <c r="K33" s="65"/>
      <c r="L33" s="65"/>
      <c r="M33" s="65"/>
      <c r="N33" s="65"/>
      <c r="O33" s="65"/>
      <c r="P33" s="65"/>
      <c r="T33" s="50" t="s">
        <v>67</v>
      </c>
      <c r="AJ33" s="50" t="s">
        <v>22</v>
      </c>
      <c r="AK33" s="50" t="s">
        <v>67</v>
      </c>
    </row>
    <row r="34" spans="1:37" ht="17.25" customHeight="1">
      <c r="A34" s="60">
        <v>4</v>
      </c>
      <c r="B34" s="50" t="s">
        <v>69</v>
      </c>
      <c r="C34" s="62">
        <f>C32-C33</f>
        <v>16.221926546543216</v>
      </c>
      <c r="D34" s="62">
        <f t="shared" ref="D34:H34" si="25">D32-D33</f>
        <v>7.4400000000000013</v>
      </c>
      <c r="E34" s="62">
        <f t="shared" si="25"/>
        <v>9.9811205002559831</v>
      </c>
      <c r="F34" s="62">
        <f t="shared" si="25"/>
        <v>16.221926546543216</v>
      </c>
      <c r="G34" s="62">
        <f t="shared" si="25"/>
        <v>7.4400000000000013</v>
      </c>
      <c r="H34" s="62">
        <f t="shared" si="25"/>
        <v>9.9811205002559831</v>
      </c>
      <c r="I34" s="57"/>
      <c r="K34" s="65"/>
      <c r="L34" s="65"/>
      <c r="M34" s="65"/>
      <c r="N34" s="65"/>
      <c r="O34" s="65"/>
      <c r="P34" s="65"/>
      <c r="T34" s="50" t="s">
        <v>69</v>
      </c>
      <c r="AJ34" s="50" t="s">
        <v>68</v>
      </c>
      <c r="AK34" s="50" t="s">
        <v>69</v>
      </c>
    </row>
    <row r="35" spans="1:37">
      <c r="A35" s="50" t="s">
        <v>65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71</v>
      </c>
      <c r="AK35" s="53" t="s">
        <v>8</v>
      </c>
    </row>
    <row r="36" spans="1:37">
      <c r="A36" s="60">
        <v>1</v>
      </c>
      <c r="B36" s="50" t="s">
        <v>72</v>
      </c>
      <c r="C36" s="56">
        <f>标准成本!E4</f>
        <v>0</v>
      </c>
      <c r="D36" s="56">
        <f>标准成本!E18</f>
        <v>0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72</v>
      </c>
      <c r="AJ36" s="50" t="s">
        <v>68</v>
      </c>
      <c r="AK36" s="50" t="s">
        <v>72</v>
      </c>
    </row>
    <row r="37" spans="1:37">
      <c r="A37" s="60">
        <v>2</v>
      </c>
      <c r="B37" s="50" t="s">
        <v>73</v>
      </c>
      <c r="C37" s="56">
        <f>标准成本!E6</f>
        <v>0</v>
      </c>
      <c r="D37" s="56">
        <f>标准成本!E20</f>
        <v>0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73</v>
      </c>
      <c r="AJ37" s="50" t="s">
        <v>25</v>
      </c>
      <c r="AK37" s="50" t="s">
        <v>73</v>
      </c>
    </row>
    <row r="38" spans="1:37">
      <c r="A38" s="60">
        <v>3</v>
      </c>
      <c r="B38" s="50" t="s">
        <v>74</v>
      </c>
      <c r="C38" s="56">
        <f>标准成本!E10</f>
        <v>2.38</v>
      </c>
      <c r="D38" s="56">
        <f>标准成本!E24</f>
        <v>0.98</v>
      </c>
      <c r="E38" s="56">
        <f>标准成本!E38</f>
        <v>1.26</v>
      </c>
      <c r="F38" s="56">
        <f>标准成本!E51</f>
        <v>2.38</v>
      </c>
      <c r="G38" s="56">
        <f>标准成本!E64</f>
        <v>0.98</v>
      </c>
      <c r="H38" s="56">
        <f>标准成本!E77</f>
        <v>1.26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74</v>
      </c>
      <c r="AJ38" s="50" t="s">
        <v>31</v>
      </c>
      <c r="AK38" s="50" t="s">
        <v>74</v>
      </c>
    </row>
    <row r="39" spans="1:37">
      <c r="A39" s="50" t="s">
        <v>71</v>
      </c>
      <c r="B39" s="53" t="s">
        <v>76</v>
      </c>
      <c r="C39" s="57"/>
      <c r="D39" s="57"/>
      <c r="E39" s="57"/>
      <c r="F39" s="57"/>
      <c r="G39" s="57"/>
      <c r="H39" s="57"/>
      <c r="I39" s="57"/>
      <c r="T39" s="53" t="s">
        <v>76</v>
      </c>
      <c r="AJ39" s="50" t="s">
        <v>75</v>
      </c>
      <c r="AK39" s="53" t="s">
        <v>76</v>
      </c>
    </row>
    <row r="40" spans="1:37">
      <c r="A40" s="60">
        <v>1</v>
      </c>
      <c r="B40" s="50" t="s">
        <v>78</v>
      </c>
      <c r="C40" s="57">
        <f>C34-C36-C37-C38</f>
        <v>13.841926546543217</v>
      </c>
      <c r="D40" s="57">
        <f t="shared" ref="D40:H40" si="26">D34-D36-D37-D38</f>
        <v>6.4600000000000009</v>
      </c>
      <c r="E40" s="57">
        <f t="shared" si="26"/>
        <v>8.7211205002559833</v>
      </c>
      <c r="F40" s="57">
        <f t="shared" si="26"/>
        <v>13.841926546543217</v>
      </c>
      <c r="G40" s="57">
        <f t="shared" si="26"/>
        <v>6.4600000000000009</v>
      </c>
      <c r="H40" s="57">
        <f t="shared" si="26"/>
        <v>8.7211205002559833</v>
      </c>
      <c r="I40" s="57"/>
      <c r="T40" s="50" t="s">
        <v>78</v>
      </c>
      <c r="AJ40" s="50" t="s">
        <v>20</v>
      </c>
      <c r="AK40" s="50" t="s">
        <v>78</v>
      </c>
    </row>
    <row r="41" spans="1:37">
      <c r="A41" s="60">
        <v>2</v>
      </c>
      <c r="B41" s="50" t="s">
        <v>79</v>
      </c>
      <c r="C41" s="57"/>
      <c r="D41" s="57"/>
      <c r="E41" s="57"/>
      <c r="F41" s="57"/>
      <c r="G41" s="57"/>
      <c r="H41" s="57"/>
      <c r="I41" s="57"/>
      <c r="T41" s="50" t="s">
        <v>79</v>
      </c>
      <c r="AJ41" s="50" t="s">
        <v>22</v>
      </c>
      <c r="AK41" s="50" t="s">
        <v>79</v>
      </c>
    </row>
    <row r="42" spans="1:37">
      <c r="A42" s="50" t="s">
        <v>75</v>
      </c>
      <c r="B42" s="53" t="s">
        <v>81</v>
      </c>
      <c r="C42" s="57"/>
      <c r="D42" s="57"/>
      <c r="E42" s="57"/>
      <c r="F42" s="57"/>
      <c r="G42" s="57"/>
      <c r="H42" s="57"/>
      <c r="I42" s="57"/>
      <c r="T42" s="53" t="s">
        <v>81</v>
      </c>
      <c r="AJ42" s="50" t="s">
        <v>80</v>
      </c>
      <c r="AK42" s="53" t="s">
        <v>81</v>
      </c>
    </row>
    <row r="43" spans="1:37">
      <c r="A43" s="60">
        <v>1</v>
      </c>
      <c r="B43" s="58" t="s">
        <v>82</v>
      </c>
      <c r="C43" s="56">
        <f>标准成本!E5</f>
        <v>0</v>
      </c>
      <c r="D43" s="56">
        <f>标准成本!E19</f>
        <v>0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82</v>
      </c>
      <c r="AJ43" s="50" t="s">
        <v>20</v>
      </c>
      <c r="AK43" s="50" t="s">
        <v>82</v>
      </c>
    </row>
    <row r="44" spans="1:37">
      <c r="A44" s="60">
        <v>2</v>
      </c>
      <c r="B44" s="58" t="s">
        <v>83</v>
      </c>
      <c r="C44" s="56">
        <f>标准成本!E9</f>
        <v>1.7850000000000001</v>
      </c>
      <c r="D44" s="56">
        <f>标准成本!E23</f>
        <v>0.7350000000000001</v>
      </c>
      <c r="E44" s="56">
        <f>标准成本!E37</f>
        <v>0.94500000000000006</v>
      </c>
      <c r="F44" s="56">
        <f>标准成本!E50</f>
        <v>1.7850000000000001</v>
      </c>
      <c r="G44" s="56">
        <f>标准成本!E63</f>
        <v>0.7350000000000001</v>
      </c>
      <c r="H44" s="56">
        <f>标准成本!E76</f>
        <v>0.94500000000000006</v>
      </c>
      <c r="I44" s="57"/>
      <c r="T44" s="50" t="s">
        <v>83</v>
      </c>
      <c r="AJ44" s="50" t="s">
        <v>22</v>
      </c>
      <c r="AK44" s="50" t="s">
        <v>83</v>
      </c>
    </row>
    <row r="45" spans="1:37">
      <c r="A45" s="60">
        <v>3</v>
      </c>
      <c r="B45" s="58" t="s">
        <v>84</v>
      </c>
      <c r="C45" s="56">
        <f>标准成本!E8</f>
        <v>2.4650000000000003</v>
      </c>
      <c r="D45" s="56">
        <f>标准成本!E22</f>
        <v>1.0150000000000001</v>
      </c>
      <c r="E45" s="56">
        <f>标准成本!E36</f>
        <v>1.3050000000000002</v>
      </c>
      <c r="F45" s="56">
        <f>标准成本!E49</f>
        <v>2.4650000000000003</v>
      </c>
      <c r="G45" s="56">
        <f>标准成本!E62</f>
        <v>1.0150000000000001</v>
      </c>
      <c r="H45" s="56">
        <f>标准成本!E75</f>
        <v>1.3050000000000002</v>
      </c>
      <c r="I45" s="57"/>
      <c r="T45" s="50" t="s">
        <v>84</v>
      </c>
      <c r="AJ45" s="50" t="s">
        <v>68</v>
      </c>
      <c r="AK45" s="50" t="s">
        <v>84</v>
      </c>
    </row>
    <row r="46" spans="1:37" s="45" customFormat="1">
      <c r="A46" s="60">
        <v>4</v>
      </c>
      <c r="B46" s="58" t="s">
        <v>85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>
        <f t="shared" si="27"/>
        <v>0</v>
      </c>
      <c r="G46" s="63">
        <f t="shared" si="27"/>
        <v>0</v>
      </c>
      <c r="H46" s="63">
        <f t="shared" si="27"/>
        <v>0</v>
      </c>
      <c r="I46" s="63"/>
      <c r="T46" s="58" t="s">
        <v>87</v>
      </c>
      <c r="AJ46" s="58" t="s">
        <v>28</v>
      </c>
      <c r="AK46" s="58" t="s">
        <v>87</v>
      </c>
    </row>
    <row r="47" spans="1:37" s="45" customFormat="1">
      <c r="A47" s="60">
        <v>5</v>
      </c>
      <c r="B47" s="58" t="s">
        <v>87</v>
      </c>
      <c r="C47" s="63">
        <f>标准成本!E11</f>
        <v>1.8105</v>
      </c>
      <c r="D47" s="63">
        <f>标准成本!E25</f>
        <v>0.74549999999999994</v>
      </c>
      <c r="E47" s="63">
        <f>标准成本!E39</f>
        <v>0.95850000000000002</v>
      </c>
      <c r="F47" s="63">
        <f>标准成本!E52</f>
        <v>1.8105</v>
      </c>
      <c r="G47" s="63">
        <f>标准成本!E65</f>
        <v>0.74549999999999994</v>
      </c>
      <c r="H47" s="63">
        <f>标准成本!E78</f>
        <v>0.95850000000000002</v>
      </c>
      <c r="I47" s="63"/>
      <c r="T47" s="58" t="s">
        <v>87</v>
      </c>
      <c r="AJ47" s="58" t="s">
        <v>28</v>
      </c>
      <c r="AK47" s="58" t="s">
        <v>87</v>
      </c>
    </row>
    <row r="48" spans="1:37">
      <c r="A48" s="50" t="s">
        <v>80</v>
      </c>
      <c r="B48" s="53" t="s">
        <v>98</v>
      </c>
      <c r="C48" s="57">
        <f>C40-C43-C44-C45-C47-C46</f>
        <v>7.7814265465432166</v>
      </c>
      <c r="D48" s="57">
        <f t="shared" ref="D48:H48" si="28">D40-D43-D44-D45-D47-D46</f>
        <v>3.964500000000001</v>
      </c>
      <c r="E48" s="57">
        <f t="shared" si="28"/>
        <v>5.5126205002559834</v>
      </c>
      <c r="F48" s="57">
        <f t="shared" si="28"/>
        <v>7.7814265465432166</v>
      </c>
      <c r="G48" s="57">
        <f t="shared" si="28"/>
        <v>3.964500000000001</v>
      </c>
      <c r="H48" s="57">
        <f t="shared" si="28"/>
        <v>5.5126205002559834</v>
      </c>
      <c r="I48" s="57"/>
      <c r="T48" s="53" t="s">
        <v>98</v>
      </c>
      <c r="AJ48" s="50" t="s">
        <v>97</v>
      </c>
      <c r="AK48" s="53" t="s">
        <v>98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19" sqref="I19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20" t="s">
        <v>138</v>
      </c>
      <c r="B1" s="220"/>
      <c r="C1" s="224" t="s">
        <v>234</v>
      </c>
      <c r="D1" s="225"/>
      <c r="E1" s="225"/>
      <c r="F1" s="225"/>
      <c r="G1" s="225"/>
      <c r="H1" s="225"/>
      <c r="I1" s="226"/>
    </row>
    <row r="2" spans="1:38">
      <c r="A2" s="220" t="s">
        <v>139</v>
      </c>
      <c r="B2" s="220"/>
      <c r="C2" s="227" t="str">
        <f>'2023年'!C2:I2</f>
        <v>北汽</v>
      </c>
      <c r="D2" s="227"/>
      <c r="E2" s="227"/>
      <c r="F2" s="227"/>
      <c r="G2" s="227"/>
      <c r="H2" s="227"/>
      <c r="I2" s="227"/>
    </row>
    <row r="3" spans="1:38" ht="42.75">
      <c r="A3" s="220" t="s">
        <v>140</v>
      </c>
      <c r="B3" s="220"/>
      <c r="C3" s="149" t="str">
        <f>'2023年'!C3</f>
        <v>左后盖 ABDECKUNG LI FHS2500 CHN</v>
      </c>
      <c r="D3" s="185" t="str">
        <f>'2023年'!D3</f>
        <v>左后盖装饰盖 ABDECKUNG UT LI CHN</v>
      </c>
      <c r="E3" s="185" t="str">
        <f>'2023年'!E3</f>
        <v>左后盖装饰盖 ABDECKUNG UT LI CHN</v>
      </c>
      <c r="F3" s="185" t="str">
        <f>'2023年'!F3</f>
        <v>右后盖 ABDECKUNG RE FHS2500 CHN</v>
      </c>
      <c r="G3" s="185" t="str">
        <f>'2023年'!G3</f>
        <v>右后盖装饰盖 ABDECKUNG UT RE CHN</v>
      </c>
      <c r="H3" s="185" t="str">
        <f>'2023年'!H3</f>
        <v>右后盖装饰盖 ABDECKUNG UT RE CHN</v>
      </c>
      <c r="I3" s="221" t="s">
        <v>16</v>
      </c>
    </row>
    <row r="4" spans="1:38">
      <c r="A4" s="220" t="s">
        <v>141</v>
      </c>
      <c r="B4" s="220"/>
      <c r="C4" s="149" t="str">
        <f>'2023年'!C4</f>
        <v>A9608118007-2</v>
      </c>
      <c r="D4" s="149" t="str">
        <f>'2023年'!D4</f>
        <v>A9608118207-2</v>
      </c>
      <c r="E4" s="149" t="str">
        <f>'2023年'!E4</f>
        <v>A9608118207-3</v>
      </c>
      <c r="F4" s="149" t="str">
        <f>'2023年'!F4</f>
        <v>A9608118107-2</v>
      </c>
      <c r="G4" s="149" t="str">
        <f>'2023年'!G4</f>
        <v>A9608118307-2</v>
      </c>
      <c r="H4" s="149" t="str">
        <f>'2023年'!H4</f>
        <v>A9608118307-3</v>
      </c>
      <c r="I4" s="222"/>
    </row>
    <row r="5" spans="1:38">
      <c r="A5" s="220" t="s">
        <v>142</v>
      </c>
      <c r="B5" s="220"/>
      <c r="C5" s="49"/>
      <c r="D5" s="182"/>
      <c r="E5" s="182"/>
      <c r="F5" s="182"/>
      <c r="G5" s="182"/>
      <c r="H5" s="182"/>
      <c r="I5" s="223"/>
      <c r="AL5" s="46" t="s">
        <v>17</v>
      </c>
    </row>
    <row r="6" spans="1:38" ht="17.25">
      <c r="A6" s="50" t="s">
        <v>15</v>
      </c>
      <c r="B6" s="51" t="s">
        <v>143</v>
      </c>
      <c r="C6" s="21">
        <f>销量!C10</f>
        <v>20000</v>
      </c>
      <c r="D6" s="21">
        <f>销量!D10</f>
        <v>10000</v>
      </c>
      <c r="E6" s="21">
        <f>销量!E10</f>
        <v>10000</v>
      </c>
      <c r="F6" s="21">
        <f>销量!F10</f>
        <v>20000</v>
      </c>
      <c r="G6" s="21">
        <f>销量!G10</f>
        <v>10000</v>
      </c>
      <c r="H6" s="21">
        <f>销量!H10</f>
        <v>10000</v>
      </c>
      <c r="I6" s="52">
        <f>SUM(C6:H6)</f>
        <v>80000</v>
      </c>
      <c r="T6" s="51" t="s">
        <v>3</v>
      </c>
      <c r="AJ6" s="50" t="s">
        <v>15</v>
      </c>
      <c r="AK6" s="51" t="s">
        <v>3</v>
      </c>
      <c r="AL6" s="46" t="s">
        <v>18</v>
      </c>
    </row>
    <row r="7" spans="1:38">
      <c r="A7" s="148">
        <v>1</v>
      </c>
      <c r="B7" s="51" t="s">
        <v>19</v>
      </c>
      <c r="C7" s="52">
        <f>C6*销量!C8</f>
        <v>1700000</v>
      </c>
      <c r="D7" s="52">
        <f>D6*销量!D8</f>
        <v>350000</v>
      </c>
      <c r="E7" s="52">
        <f>E6*销量!E8</f>
        <v>450000</v>
      </c>
      <c r="F7" s="52">
        <f>F6*销量!F8</f>
        <v>1700000</v>
      </c>
      <c r="G7" s="52">
        <f>G6*销量!G8</f>
        <v>350000</v>
      </c>
      <c r="H7" s="52">
        <f>H6*销量!H8</f>
        <v>450000</v>
      </c>
      <c r="I7" s="52">
        <f>SUM(C7:H7)</f>
        <v>5000000</v>
      </c>
      <c r="J7" s="47"/>
      <c r="T7" s="51" t="s">
        <v>19</v>
      </c>
      <c r="AJ7" s="50" t="s">
        <v>20</v>
      </c>
      <c r="AK7" s="51" t="s">
        <v>19</v>
      </c>
      <c r="AL7" s="46" t="s">
        <v>18</v>
      </c>
    </row>
    <row r="8" spans="1:38">
      <c r="A8" s="148">
        <v>2</v>
      </c>
      <c r="B8" s="148" t="s">
        <v>21</v>
      </c>
      <c r="C8" s="52">
        <f>C7*(1-销量!$M$7)</f>
        <v>17000.000000000015</v>
      </c>
      <c r="D8" s="52">
        <f>D7*(1-销量!$M$7)</f>
        <v>3500.0000000000032</v>
      </c>
      <c r="E8" s="52">
        <f>E7*(1-销量!$M$7)</f>
        <v>4500.0000000000036</v>
      </c>
      <c r="F8" s="52">
        <f>F7*(1-销量!$M$7)</f>
        <v>17000.000000000015</v>
      </c>
      <c r="G8" s="52">
        <f>G7*(1-销量!$M$7)</f>
        <v>3500.0000000000032</v>
      </c>
      <c r="H8" s="52">
        <f>H7*(1-销量!$M$7)</f>
        <v>4500.0000000000036</v>
      </c>
      <c r="I8" s="52">
        <f>SUM(C8:H8)</f>
        <v>50000.000000000044</v>
      </c>
      <c r="J8" s="67"/>
      <c r="T8" s="148" t="s">
        <v>23</v>
      </c>
      <c r="AJ8" s="50" t="s">
        <v>22</v>
      </c>
      <c r="AK8" s="148" t="s">
        <v>23</v>
      </c>
      <c r="AL8" s="46" t="s">
        <v>18</v>
      </c>
    </row>
    <row r="9" spans="1:38">
      <c r="A9" s="148">
        <v>3</v>
      </c>
      <c r="B9" s="51" t="s">
        <v>24</v>
      </c>
      <c r="C9" s="52">
        <f>+C7-C8</f>
        <v>1683000</v>
      </c>
      <c r="D9" s="52">
        <f t="shared" ref="D9:H9" si="0">+D7-D8</f>
        <v>346500</v>
      </c>
      <c r="E9" s="52">
        <f t="shared" si="0"/>
        <v>445500</v>
      </c>
      <c r="F9" s="52">
        <f t="shared" si="0"/>
        <v>1683000</v>
      </c>
      <c r="G9" s="52">
        <f t="shared" si="0"/>
        <v>346500</v>
      </c>
      <c r="H9" s="52">
        <f t="shared" si="0"/>
        <v>445500</v>
      </c>
      <c r="I9" s="52">
        <f>SUM(C9:H9)</f>
        <v>4950000</v>
      </c>
      <c r="T9" s="51" t="s">
        <v>24</v>
      </c>
      <c r="AJ9" s="50" t="s">
        <v>25</v>
      </c>
      <c r="AK9" s="51" t="s">
        <v>24</v>
      </c>
      <c r="AL9" s="46" t="s">
        <v>26</v>
      </c>
    </row>
    <row r="10" spans="1:38">
      <c r="A10" s="148">
        <v>4</v>
      </c>
      <c r="B10" s="50" t="s">
        <v>27</v>
      </c>
      <c r="C10" s="52">
        <f>C6*C33</f>
        <v>1361805.8543784444</v>
      </c>
      <c r="D10" s="52">
        <f t="shared" ref="D10:H10" si="1">D6*D33</f>
        <v>272844</v>
      </c>
      <c r="E10" s="52">
        <f t="shared" si="1"/>
        <v>346686.90704746573</v>
      </c>
      <c r="F10" s="52">
        <f t="shared" si="1"/>
        <v>1361805.8543784444</v>
      </c>
      <c r="G10" s="52">
        <f t="shared" si="1"/>
        <v>272844</v>
      </c>
      <c r="H10" s="52">
        <f t="shared" si="1"/>
        <v>346686.90704746573</v>
      </c>
      <c r="I10" s="52">
        <f>SUM(C10:H10)</f>
        <v>3962673.5228518206</v>
      </c>
      <c r="T10" s="50" t="s">
        <v>27</v>
      </c>
      <c r="AJ10" s="50" t="s">
        <v>28</v>
      </c>
      <c r="AK10" s="50" t="s">
        <v>27</v>
      </c>
      <c r="AL10" s="46" t="s">
        <v>29</v>
      </c>
    </row>
    <row r="11" spans="1:38">
      <c r="A11" s="148">
        <v>5</v>
      </c>
      <c r="B11" s="50" t="s">
        <v>30</v>
      </c>
      <c r="C11" s="52">
        <f>+C6*C36</f>
        <v>0</v>
      </c>
      <c r="D11" s="52">
        <f t="shared" ref="D11:H11" si="2">+D6*D36</f>
        <v>0</v>
      </c>
      <c r="E11" s="52">
        <f t="shared" si="2"/>
        <v>0</v>
      </c>
      <c r="F11" s="52">
        <f t="shared" si="2"/>
        <v>0</v>
      </c>
      <c r="G11" s="52">
        <f t="shared" si="2"/>
        <v>0</v>
      </c>
      <c r="H11" s="52">
        <f t="shared" si="2"/>
        <v>0</v>
      </c>
      <c r="I11" s="52">
        <f>SUM(C11:H11)</f>
        <v>0</v>
      </c>
      <c r="T11" s="50" t="s">
        <v>30</v>
      </c>
      <c r="AJ11" s="50" t="s">
        <v>31</v>
      </c>
      <c r="AK11" s="50" t="s">
        <v>30</v>
      </c>
    </row>
    <row r="12" spans="1:38">
      <c r="A12" s="148">
        <v>6</v>
      </c>
      <c r="B12" s="50" t="s">
        <v>32</v>
      </c>
      <c r="C12" s="52">
        <f>+C6*C37</f>
        <v>0</v>
      </c>
      <c r="D12" s="52">
        <f t="shared" ref="D12:H12" si="3">+D6*D37</f>
        <v>0</v>
      </c>
      <c r="E12" s="52">
        <f t="shared" si="3"/>
        <v>0</v>
      </c>
      <c r="F12" s="52">
        <f t="shared" si="3"/>
        <v>0</v>
      </c>
      <c r="G12" s="52">
        <f t="shared" si="3"/>
        <v>0</v>
      </c>
      <c r="H12" s="52">
        <f t="shared" si="3"/>
        <v>0</v>
      </c>
      <c r="I12" s="52">
        <f>SUM(C12:H12)</f>
        <v>0</v>
      </c>
      <c r="T12" s="50" t="s">
        <v>32</v>
      </c>
      <c r="AJ12" s="50" t="s">
        <v>33</v>
      </c>
      <c r="AK12" s="50" t="s">
        <v>32</v>
      </c>
    </row>
    <row r="13" spans="1:38">
      <c r="A13" s="148">
        <v>7</v>
      </c>
      <c r="B13" s="50" t="s">
        <v>34</v>
      </c>
      <c r="C13" s="52">
        <f>+C6*C38</f>
        <v>47600</v>
      </c>
      <c r="D13" s="52">
        <f t="shared" ref="D13:H13" si="4">+D6*D38</f>
        <v>9800</v>
      </c>
      <c r="E13" s="52">
        <f t="shared" si="4"/>
        <v>12600</v>
      </c>
      <c r="F13" s="52">
        <f t="shared" si="4"/>
        <v>47600</v>
      </c>
      <c r="G13" s="52">
        <f t="shared" si="4"/>
        <v>9800</v>
      </c>
      <c r="H13" s="52">
        <f t="shared" si="4"/>
        <v>12600</v>
      </c>
      <c r="I13" s="52">
        <f>SUM(C13:H13)</f>
        <v>140000</v>
      </c>
      <c r="T13" s="50" t="s">
        <v>34</v>
      </c>
      <c r="AJ13" s="50" t="s">
        <v>35</v>
      </c>
      <c r="AK13" s="50" t="s">
        <v>34</v>
      </c>
      <c r="AL13" s="46" t="s">
        <v>18</v>
      </c>
    </row>
    <row r="14" spans="1:38">
      <c r="A14" s="148">
        <v>8</v>
      </c>
      <c r="B14" s="53" t="s">
        <v>36</v>
      </c>
      <c r="C14" s="52">
        <f>SUM(C11:C13)</f>
        <v>47600</v>
      </c>
      <c r="D14" s="52">
        <f t="shared" ref="D14:H14" si="5">SUM(D11:D13)</f>
        <v>9800</v>
      </c>
      <c r="E14" s="52">
        <f t="shared" si="5"/>
        <v>12600</v>
      </c>
      <c r="F14" s="52">
        <f t="shared" si="5"/>
        <v>47600</v>
      </c>
      <c r="G14" s="52">
        <f t="shared" si="5"/>
        <v>9800</v>
      </c>
      <c r="H14" s="52">
        <f t="shared" si="5"/>
        <v>12600</v>
      </c>
      <c r="I14" s="52">
        <f>SUM(C14:H14)</f>
        <v>140000</v>
      </c>
      <c r="T14" s="53" t="s">
        <v>36</v>
      </c>
      <c r="AJ14" s="50" t="s">
        <v>37</v>
      </c>
      <c r="AK14" s="53" t="s">
        <v>36</v>
      </c>
    </row>
    <row r="15" spans="1:38">
      <c r="A15" s="148">
        <v>9</v>
      </c>
      <c r="B15" s="53" t="s">
        <v>38</v>
      </c>
      <c r="C15" s="52">
        <f>+C9-C10-C14</f>
        <v>273594.14562155562</v>
      </c>
      <c r="D15" s="52">
        <f t="shared" ref="D15:H15" si="6">+D9-D10-D14</f>
        <v>63856</v>
      </c>
      <c r="E15" s="52">
        <f t="shared" si="6"/>
        <v>86213.092952534265</v>
      </c>
      <c r="F15" s="52">
        <f t="shared" si="6"/>
        <v>273594.14562155562</v>
      </c>
      <c r="G15" s="52">
        <f t="shared" si="6"/>
        <v>63856</v>
      </c>
      <c r="H15" s="52">
        <f t="shared" si="6"/>
        <v>86213.092952534265</v>
      </c>
      <c r="I15" s="52">
        <f>SUM(C15:H15)</f>
        <v>847326.4771481799</v>
      </c>
      <c r="T15" s="53" t="s">
        <v>38</v>
      </c>
      <c r="AJ15" s="50" t="s">
        <v>39</v>
      </c>
      <c r="AK15" s="53" t="s">
        <v>38</v>
      </c>
    </row>
    <row r="16" spans="1:38">
      <c r="A16" s="148">
        <v>10</v>
      </c>
      <c r="B16" s="50" t="s">
        <v>40</v>
      </c>
      <c r="C16" s="54">
        <f>+C15/C9</f>
        <v>0.162563366382386</v>
      </c>
      <c r="D16" s="54">
        <f t="shared" ref="D16:H16" si="7">+D15/D9</f>
        <v>0.18428860028860028</v>
      </c>
      <c r="E16" s="54">
        <f t="shared" si="7"/>
        <v>0.19351984950063808</v>
      </c>
      <c r="F16" s="54">
        <f t="shared" si="7"/>
        <v>0.162563366382386</v>
      </c>
      <c r="G16" s="54">
        <f t="shared" si="7"/>
        <v>0.18428860028860028</v>
      </c>
      <c r="H16" s="54">
        <f t="shared" si="7"/>
        <v>0.19351984950063808</v>
      </c>
      <c r="I16" s="54">
        <f t="shared" ref="I16" si="8">+I15/I9</f>
        <v>0.1711770660905414</v>
      </c>
      <c r="T16" s="50" t="s">
        <v>40</v>
      </c>
      <c r="AJ16" s="50" t="s">
        <v>41</v>
      </c>
      <c r="AK16" s="50" t="s">
        <v>40</v>
      </c>
    </row>
    <row r="17" spans="1:38">
      <c r="A17" s="148">
        <v>11</v>
      </c>
      <c r="B17" s="50" t="s">
        <v>42</v>
      </c>
      <c r="C17" s="52">
        <f>C6*C43+C18</f>
        <v>135660</v>
      </c>
      <c r="D17" s="52">
        <f t="shared" ref="D17:H17" si="9">D6*D43+D18</f>
        <v>27930.000000000004</v>
      </c>
      <c r="E17" s="52">
        <f t="shared" si="9"/>
        <v>35910</v>
      </c>
      <c r="F17" s="52">
        <f t="shared" si="9"/>
        <v>135660</v>
      </c>
      <c r="G17" s="52">
        <f t="shared" si="9"/>
        <v>27930.000000000004</v>
      </c>
      <c r="H17" s="52">
        <f t="shared" si="9"/>
        <v>35910</v>
      </c>
      <c r="I17" s="52">
        <f>SUM(C17:H17)</f>
        <v>399000</v>
      </c>
      <c r="J17" s="67"/>
      <c r="T17" s="50" t="s">
        <v>42</v>
      </c>
      <c r="AJ17" s="50" t="s">
        <v>43</v>
      </c>
      <c r="AK17" s="50" t="s">
        <v>42</v>
      </c>
    </row>
    <row r="18" spans="1:38" s="44" customFormat="1">
      <c r="A18" s="148">
        <v>12</v>
      </c>
      <c r="B18" s="55" t="s">
        <v>144</v>
      </c>
      <c r="C18" s="56">
        <f>$I$18/$I$9*C9</f>
        <v>135660</v>
      </c>
      <c r="D18" s="56">
        <f t="shared" ref="D18:H18" si="10">$I$18/$I$9*D9</f>
        <v>27930.000000000004</v>
      </c>
      <c r="E18" s="56">
        <f t="shared" si="10"/>
        <v>35910</v>
      </c>
      <c r="F18" s="56">
        <f t="shared" si="10"/>
        <v>135660</v>
      </c>
      <c r="G18" s="56">
        <f t="shared" si="10"/>
        <v>27930.000000000004</v>
      </c>
      <c r="H18" s="56">
        <f t="shared" si="10"/>
        <v>35910</v>
      </c>
      <c r="I18" s="56">
        <f>项目投资!E26</f>
        <v>399000</v>
      </c>
      <c r="J18" s="68" t="s">
        <v>145</v>
      </c>
      <c r="K18" s="68"/>
      <c r="L18" s="68"/>
    </row>
    <row r="19" spans="1:38">
      <c r="A19" s="148">
        <v>13</v>
      </c>
      <c r="B19" s="50" t="s">
        <v>44</v>
      </c>
      <c r="C19" s="52">
        <f>C6*C44</f>
        <v>35700</v>
      </c>
      <c r="D19" s="52">
        <f t="shared" ref="D19:H19" si="11">D6*D44</f>
        <v>7350.0000000000009</v>
      </c>
      <c r="E19" s="52">
        <f t="shared" si="11"/>
        <v>9450</v>
      </c>
      <c r="F19" s="52">
        <f t="shared" si="11"/>
        <v>35700</v>
      </c>
      <c r="G19" s="52">
        <f t="shared" si="11"/>
        <v>7350.0000000000009</v>
      </c>
      <c r="H19" s="52">
        <f t="shared" si="11"/>
        <v>9450</v>
      </c>
      <c r="I19" s="52">
        <f>SUM(C19:H19)</f>
        <v>105000</v>
      </c>
      <c r="J19" s="44"/>
      <c r="T19" s="50" t="s">
        <v>44</v>
      </c>
      <c r="AJ19" s="50" t="s">
        <v>45</v>
      </c>
      <c r="AK19" s="50" t="s">
        <v>44</v>
      </c>
      <c r="AL19" s="46" t="s">
        <v>18</v>
      </c>
    </row>
    <row r="20" spans="1:38">
      <c r="A20" s="148">
        <v>14</v>
      </c>
      <c r="B20" s="50" t="s">
        <v>46</v>
      </c>
      <c r="C20" s="52">
        <f>C6*C45</f>
        <v>49300.000000000007</v>
      </c>
      <c r="D20" s="52">
        <f t="shared" ref="D20:H20" si="12">D6*D45</f>
        <v>10150.000000000002</v>
      </c>
      <c r="E20" s="52">
        <f t="shared" si="12"/>
        <v>13050.000000000002</v>
      </c>
      <c r="F20" s="52">
        <f t="shared" si="12"/>
        <v>49300.000000000007</v>
      </c>
      <c r="G20" s="52">
        <f t="shared" si="12"/>
        <v>10150.000000000002</v>
      </c>
      <c r="H20" s="52">
        <f t="shared" si="12"/>
        <v>13050.000000000002</v>
      </c>
      <c r="I20" s="52">
        <f>SUM(C20:H20)</f>
        <v>145000.00000000003</v>
      </c>
      <c r="T20" s="50" t="s">
        <v>46</v>
      </c>
      <c r="AJ20" s="50" t="s">
        <v>47</v>
      </c>
      <c r="AK20" s="50" t="s">
        <v>46</v>
      </c>
    </row>
    <row r="21" spans="1:38">
      <c r="A21" s="148">
        <v>15</v>
      </c>
      <c r="B21" s="50" t="s">
        <v>48</v>
      </c>
      <c r="C21" s="57">
        <f>$I$21/$I$6*C6</f>
        <v>0</v>
      </c>
      <c r="D21" s="57">
        <f>$I$21/$I$6*D6</f>
        <v>0</v>
      </c>
      <c r="E21" s="57">
        <f>$I$21/$I$6*E6</f>
        <v>0</v>
      </c>
      <c r="F21" s="57">
        <f>$I$21/$I$6*F6</f>
        <v>0</v>
      </c>
      <c r="G21" s="57">
        <f>$I$21/$I$6*G6</f>
        <v>0</v>
      </c>
      <c r="H21" s="57">
        <f>$I$21/$I$6*H6</f>
        <v>0</v>
      </c>
      <c r="I21" s="52">
        <f>项目投资!D27</f>
        <v>0</v>
      </c>
      <c r="T21" s="50" t="s">
        <v>48</v>
      </c>
      <c r="AJ21" s="50"/>
      <c r="AK21" s="50"/>
    </row>
    <row r="22" spans="1:38">
      <c r="A22" s="148">
        <v>16</v>
      </c>
      <c r="B22" s="50" t="s">
        <v>49</v>
      </c>
      <c r="C22" s="52">
        <f>C6*C47</f>
        <v>36210</v>
      </c>
      <c r="D22" s="52">
        <f t="shared" ref="D22:H22" si="13">D6*D47</f>
        <v>7454.9999999999991</v>
      </c>
      <c r="E22" s="52">
        <f t="shared" si="13"/>
        <v>9585</v>
      </c>
      <c r="F22" s="52">
        <f t="shared" si="13"/>
        <v>36210</v>
      </c>
      <c r="G22" s="52">
        <f t="shared" si="13"/>
        <v>7454.9999999999991</v>
      </c>
      <c r="H22" s="52">
        <f t="shared" si="13"/>
        <v>9585</v>
      </c>
      <c r="I22" s="52">
        <f>SUM(C22:H22)</f>
        <v>106500</v>
      </c>
      <c r="T22" s="50" t="s">
        <v>49</v>
      </c>
      <c r="AJ22" s="50" t="s">
        <v>50</v>
      </c>
      <c r="AK22" s="50" t="s">
        <v>49</v>
      </c>
    </row>
    <row r="23" spans="1:38">
      <c r="A23" s="148">
        <v>17</v>
      </c>
      <c r="B23" s="53" t="s">
        <v>51</v>
      </c>
      <c r="C23" s="57">
        <f>+C22+C21+C20+C19+C17</f>
        <v>256870</v>
      </c>
      <c r="D23" s="57">
        <f t="shared" ref="D23:H23" si="14">+D22+D21+D20+D19+D17</f>
        <v>52885</v>
      </c>
      <c r="E23" s="57">
        <f t="shared" si="14"/>
        <v>67995</v>
      </c>
      <c r="F23" s="57">
        <f t="shared" si="14"/>
        <v>256870</v>
      </c>
      <c r="G23" s="57">
        <f t="shared" si="14"/>
        <v>52885</v>
      </c>
      <c r="H23" s="57">
        <f t="shared" si="14"/>
        <v>67995</v>
      </c>
      <c r="I23" s="57">
        <f t="shared" ref="I23" si="15">+I22+I21+I20+I19+I17</f>
        <v>755500</v>
      </c>
      <c r="T23" s="53" t="s">
        <v>51</v>
      </c>
      <c r="AJ23" s="50" t="s">
        <v>52</v>
      </c>
      <c r="AK23" s="53" t="s">
        <v>51</v>
      </c>
    </row>
    <row r="24" spans="1:38">
      <c r="A24" s="148">
        <v>18</v>
      </c>
      <c r="B24" s="58" t="s">
        <v>53</v>
      </c>
      <c r="C24" s="57">
        <f>+C15-C23</f>
        <v>16724.145621555625</v>
      </c>
      <c r="D24" s="57">
        <f t="shared" ref="D24:H24" si="16">+D15-D23</f>
        <v>10971</v>
      </c>
      <c r="E24" s="57">
        <f t="shared" si="16"/>
        <v>18218.092952534265</v>
      </c>
      <c r="F24" s="57">
        <f t="shared" si="16"/>
        <v>16724.145621555625</v>
      </c>
      <c r="G24" s="57">
        <f t="shared" si="16"/>
        <v>10971</v>
      </c>
      <c r="H24" s="57">
        <f t="shared" si="16"/>
        <v>18218.092952534265</v>
      </c>
      <c r="I24" s="57">
        <f t="shared" ref="I24" si="17">+I15-I23</f>
        <v>91826.477148179896</v>
      </c>
      <c r="K24" s="69"/>
      <c r="T24" s="50" t="s">
        <v>53</v>
      </c>
      <c r="AJ24" s="50" t="s">
        <v>54</v>
      </c>
      <c r="AK24" s="50" t="s">
        <v>53</v>
      </c>
    </row>
    <row r="25" spans="1:38">
      <c r="A25" s="148">
        <v>19</v>
      </c>
      <c r="B25" s="50" t="s">
        <v>244</v>
      </c>
      <c r="C25" s="57">
        <f>IF(C24&lt;0,0,C24*0.15)</f>
        <v>2508.6218432333435</v>
      </c>
      <c r="D25" s="57">
        <f t="shared" ref="D25:H25" si="18">IF(D24&lt;0,0,D24*0.15)</f>
        <v>1645.6499999999999</v>
      </c>
      <c r="E25" s="57">
        <f t="shared" si="18"/>
        <v>2732.7139428801397</v>
      </c>
      <c r="F25" s="57">
        <f t="shared" si="18"/>
        <v>2508.6218432333435</v>
      </c>
      <c r="G25" s="57">
        <f t="shared" si="18"/>
        <v>1645.6499999999999</v>
      </c>
      <c r="H25" s="57">
        <f t="shared" si="18"/>
        <v>2732.7139428801397</v>
      </c>
      <c r="I25" s="57">
        <f>IF(I24&lt;0,0,I24*0.15)</f>
        <v>13773.971572226985</v>
      </c>
      <c r="J25" s="65"/>
      <c r="K25" s="65"/>
      <c r="L25" s="65"/>
      <c r="T25" s="50" t="s">
        <v>55</v>
      </c>
      <c r="AJ25" s="50" t="s">
        <v>56</v>
      </c>
      <c r="AK25" s="50" t="s">
        <v>55</v>
      </c>
    </row>
    <row r="26" spans="1:38">
      <c r="A26" s="148">
        <v>20</v>
      </c>
      <c r="B26" s="50" t="s">
        <v>57</v>
      </c>
      <c r="C26" s="57">
        <f t="shared" ref="C26:H26" si="19">C24-C25</f>
        <v>14215.52377832228</v>
      </c>
      <c r="D26" s="57">
        <f t="shared" si="19"/>
        <v>9325.35</v>
      </c>
      <c r="E26" s="57">
        <f t="shared" si="19"/>
        <v>15485.379009654125</v>
      </c>
      <c r="F26" s="57">
        <f t="shared" si="19"/>
        <v>14215.52377832228</v>
      </c>
      <c r="G26" s="57">
        <f t="shared" si="19"/>
        <v>9325.35</v>
      </c>
      <c r="H26" s="57">
        <f t="shared" si="19"/>
        <v>15485.379009654125</v>
      </c>
      <c r="I26" s="52">
        <f>I24-I25</f>
        <v>78052.505575952906</v>
      </c>
      <c r="J26" s="65"/>
      <c r="K26" s="65"/>
      <c r="L26" s="65"/>
      <c r="T26" s="50" t="s">
        <v>57</v>
      </c>
      <c r="AJ26" s="50" t="s">
        <v>58</v>
      </c>
      <c r="AK26" s="50" t="s">
        <v>57</v>
      </c>
    </row>
    <row r="27" spans="1:38">
      <c r="A27" s="148">
        <v>21</v>
      </c>
      <c r="B27" s="50" t="s">
        <v>61</v>
      </c>
      <c r="C27" s="59">
        <f t="shared" ref="C27:I27" si="20">C26/C7</f>
        <v>8.3620728107778111E-3</v>
      </c>
      <c r="D27" s="59">
        <f t="shared" ref="D27:H27" si="21">D26/D7</f>
        <v>2.6643857142857143E-2</v>
      </c>
      <c r="E27" s="59">
        <f t="shared" si="21"/>
        <v>3.4411953354786945E-2</v>
      </c>
      <c r="F27" s="59">
        <f t="shared" si="21"/>
        <v>8.3620728107778111E-3</v>
      </c>
      <c r="G27" s="59">
        <f t="shared" si="21"/>
        <v>2.6643857142857143E-2</v>
      </c>
      <c r="H27" s="59">
        <f t="shared" si="21"/>
        <v>3.4411953354786945E-2</v>
      </c>
      <c r="I27" s="59">
        <f t="shared" si="20"/>
        <v>1.5610501115190582E-2</v>
      </c>
      <c r="J27" s="65"/>
      <c r="K27" s="65"/>
      <c r="L27" s="65"/>
      <c r="T27" s="50" t="s">
        <v>61</v>
      </c>
      <c r="AJ27" s="50" t="s">
        <v>60</v>
      </c>
      <c r="AK27" s="50" t="s">
        <v>61</v>
      </c>
    </row>
    <row r="28" spans="1:38">
      <c r="J28" s="65"/>
      <c r="K28" s="65"/>
      <c r="L28" s="65"/>
      <c r="T28" s="50"/>
    </row>
    <row r="29" spans="1:38">
      <c r="A29" s="46" t="s">
        <v>62</v>
      </c>
      <c r="I29" s="47" t="s">
        <v>147</v>
      </c>
      <c r="J29" s="65"/>
      <c r="K29" s="65"/>
      <c r="L29" s="65"/>
      <c r="T29" s="50"/>
      <c r="AJ29" s="46" t="s">
        <v>62</v>
      </c>
    </row>
    <row r="30" spans="1:38">
      <c r="A30" s="50" t="s">
        <v>63</v>
      </c>
      <c r="B30" s="53" t="s">
        <v>64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64</v>
      </c>
      <c r="AJ30" s="50" t="s">
        <v>65</v>
      </c>
      <c r="AK30" s="53" t="s">
        <v>64</v>
      </c>
    </row>
    <row r="31" spans="1:38">
      <c r="A31" s="148">
        <v>1</v>
      </c>
      <c r="B31" s="55" t="s">
        <v>66</v>
      </c>
      <c r="C31" s="61">
        <f>销量!C8</f>
        <v>85</v>
      </c>
      <c r="D31" s="61">
        <f>销量!D8</f>
        <v>35</v>
      </c>
      <c r="E31" s="61">
        <f>销量!E8</f>
        <v>45</v>
      </c>
      <c r="F31" s="61">
        <f>销量!F8</f>
        <v>85</v>
      </c>
      <c r="G31" s="61">
        <f>销量!G8</f>
        <v>35</v>
      </c>
      <c r="H31" s="61">
        <f>销量!H8</f>
        <v>45</v>
      </c>
      <c r="I31" s="57"/>
      <c r="J31" s="65"/>
      <c r="K31" s="65"/>
      <c r="L31" s="65"/>
      <c r="N31" s="65"/>
      <c r="T31" s="50" t="s">
        <v>66</v>
      </c>
      <c r="AJ31" s="50" t="s">
        <v>20</v>
      </c>
      <c r="AK31" s="50" t="s">
        <v>66</v>
      </c>
    </row>
    <row r="32" spans="1:38">
      <c r="A32" s="148">
        <v>2</v>
      </c>
      <c r="B32" s="50" t="s">
        <v>148</v>
      </c>
      <c r="C32" s="52">
        <f>C9/C6</f>
        <v>84.15</v>
      </c>
      <c r="D32" s="52">
        <f t="shared" ref="D32:H32" si="22">D9/D6</f>
        <v>34.65</v>
      </c>
      <c r="E32" s="52">
        <f t="shared" si="22"/>
        <v>44.55</v>
      </c>
      <c r="F32" s="52">
        <f t="shared" si="22"/>
        <v>84.15</v>
      </c>
      <c r="G32" s="52">
        <f t="shared" si="22"/>
        <v>34.65</v>
      </c>
      <c r="H32" s="52">
        <f t="shared" si="22"/>
        <v>44.55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8">
        <v>3</v>
      </c>
      <c r="B33" s="55" t="s">
        <v>67</v>
      </c>
      <c r="C33" s="52">
        <f>材料成本!F19</f>
        <v>68.090292718922214</v>
      </c>
      <c r="D33" s="52">
        <f>材料成本!F20</f>
        <v>27.284399999999998</v>
      </c>
      <c r="E33" s="52">
        <f>材料成本!F21</f>
        <v>34.668690704746574</v>
      </c>
      <c r="F33" s="52">
        <f>材料成本!F22</f>
        <v>68.090292718922214</v>
      </c>
      <c r="G33" s="52">
        <f>材料成本!F23</f>
        <v>27.284399999999998</v>
      </c>
      <c r="H33" s="52">
        <f>材料成本!F24</f>
        <v>34.668690704746574</v>
      </c>
      <c r="I33" s="57"/>
      <c r="K33" s="65"/>
      <c r="L33" s="65"/>
      <c r="M33" s="65"/>
      <c r="N33" s="65"/>
      <c r="O33" s="65"/>
      <c r="P33" s="65"/>
      <c r="T33" s="50" t="s">
        <v>67</v>
      </c>
      <c r="AJ33" s="50" t="s">
        <v>22</v>
      </c>
      <c r="AK33" s="50" t="s">
        <v>67</v>
      </c>
    </row>
    <row r="34" spans="1:37" ht="17.25" customHeight="1">
      <c r="A34" s="148">
        <v>4</v>
      </c>
      <c r="B34" s="50" t="s">
        <v>69</v>
      </c>
      <c r="C34" s="62">
        <f>C32-C33</f>
        <v>16.059707281077792</v>
      </c>
      <c r="D34" s="62">
        <f t="shared" ref="D34:H34" si="23">D32-D33</f>
        <v>7.3656000000000006</v>
      </c>
      <c r="E34" s="62">
        <f t="shared" si="23"/>
        <v>9.8813092952534234</v>
      </c>
      <c r="F34" s="62">
        <f t="shared" si="23"/>
        <v>16.059707281077792</v>
      </c>
      <c r="G34" s="62">
        <f t="shared" si="23"/>
        <v>7.3656000000000006</v>
      </c>
      <c r="H34" s="62">
        <f t="shared" si="23"/>
        <v>9.8813092952534234</v>
      </c>
      <c r="I34" s="57"/>
      <c r="K34" s="65"/>
      <c r="L34" s="65"/>
      <c r="M34" s="65"/>
      <c r="N34" s="65"/>
      <c r="O34" s="65"/>
      <c r="P34" s="65"/>
      <c r="T34" s="50" t="s">
        <v>69</v>
      </c>
      <c r="AJ34" s="50" t="s">
        <v>68</v>
      </c>
      <c r="AK34" s="50" t="s">
        <v>69</v>
      </c>
    </row>
    <row r="35" spans="1:37">
      <c r="A35" s="50" t="s">
        <v>65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71</v>
      </c>
      <c r="AK35" s="53" t="s">
        <v>8</v>
      </c>
    </row>
    <row r="36" spans="1:37">
      <c r="A36" s="148">
        <v>1</v>
      </c>
      <c r="B36" s="50" t="s">
        <v>72</v>
      </c>
      <c r="C36" s="56">
        <f>'2023年'!C36</f>
        <v>0</v>
      </c>
      <c r="D36" s="56">
        <f>'2023年'!D36</f>
        <v>0</v>
      </c>
      <c r="E36" s="56">
        <f>'2023年'!H36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72</v>
      </c>
      <c r="AJ36" s="50" t="s">
        <v>68</v>
      </c>
      <c r="AK36" s="50" t="s">
        <v>72</v>
      </c>
    </row>
    <row r="37" spans="1:37">
      <c r="A37" s="148">
        <v>2</v>
      </c>
      <c r="B37" s="50" t="s">
        <v>73</v>
      </c>
      <c r="C37" s="56">
        <f>'2023年'!C37</f>
        <v>0</v>
      </c>
      <c r="D37" s="56">
        <f>'2023年'!D37</f>
        <v>0</v>
      </c>
      <c r="E37" s="56">
        <f>'2023年'!H37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73</v>
      </c>
      <c r="AJ37" s="50" t="s">
        <v>25</v>
      </c>
      <c r="AK37" s="50" t="s">
        <v>73</v>
      </c>
    </row>
    <row r="38" spans="1:37">
      <c r="A38" s="148">
        <v>3</v>
      </c>
      <c r="B38" s="50" t="s">
        <v>74</v>
      </c>
      <c r="C38" s="56">
        <f>'2023年'!C38</f>
        <v>2.38</v>
      </c>
      <c r="D38" s="56">
        <f>'2023年'!D38</f>
        <v>0.98</v>
      </c>
      <c r="E38" s="56">
        <f>'2023年'!H38</f>
        <v>1.26</v>
      </c>
      <c r="F38" s="56">
        <f>标准成本!E51</f>
        <v>2.38</v>
      </c>
      <c r="G38" s="56">
        <f>标准成本!E64</f>
        <v>0.98</v>
      </c>
      <c r="H38" s="56">
        <f>标准成本!E77</f>
        <v>1.26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74</v>
      </c>
      <c r="AJ38" s="50" t="s">
        <v>31</v>
      </c>
      <c r="AK38" s="50" t="s">
        <v>74</v>
      </c>
    </row>
    <row r="39" spans="1:37">
      <c r="A39" s="50" t="s">
        <v>71</v>
      </c>
      <c r="B39" s="53" t="s">
        <v>76</v>
      </c>
      <c r="C39" s="57"/>
      <c r="D39" s="57"/>
      <c r="E39" s="57"/>
      <c r="F39" s="57"/>
      <c r="G39" s="57"/>
      <c r="H39" s="57"/>
      <c r="I39" s="57"/>
      <c r="T39" s="53" t="s">
        <v>76</v>
      </c>
      <c r="AJ39" s="50" t="s">
        <v>75</v>
      </c>
      <c r="AK39" s="53" t="s">
        <v>76</v>
      </c>
    </row>
    <row r="40" spans="1:37">
      <c r="A40" s="148">
        <v>1</v>
      </c>
      <c r="B40" s="50" t="s">
        <v>78</v>
      </c>
      <c r="C40" s="57">
        <f>C34-C36-C37-C38</f>
        <v>13.679707281077793</v>
      </c>
      <c r="D40" s="57">
        <f t="shared" ref="D40:H40" si="24">D34-D36-D37-D38</f>
        <v>6.3856000000000002</v>
      </c>
      <c r="E40" s="57">
        <f t="shared" si="24"/>
        <v>8.6213092952534236</v>
      </c>
      <c r="F40" s="57">
        <f t="shared" si="24"/>
        <v>13.679707281077793</v>
      </c>
      <c r="G40" s="57">
        <f t="shared" si="24"/>
        <v>6.3856000000000002</v>
      </c>
      <c r="H40" s="57">
        <f t="shared" si="24"/>
        <v>8.6213092952534236</v>
      </c>
      <c r="I40" s="57"/>
      <c r="T40" s="50" t="s">
        <v>78</v>
      </c>
      <c r="AJ40" s="50" t="s">
        <v>20</v>
      </c>
      <c r="AK40" s="50" t="s">
        <v>78</v>
      </c>
    </row>
    <row r="41" spans="1:37">
      <c r="A41" s="148">
        <v>2</v>
      </c>
      <c r="B41" s="50" t="s">
        <v>79</v>
      </c>
      <c r="C41" s="57"/>
      <c r="D41" s="57"/>
      <c r="E41" s="57"/>
      <c r="F41" s="57"/>
      <c r="G41" s="57"/>
      <c r="H41" s="57"/>
      <c r="I41" s="57"/>
      <c r="T41" s="50" t="s">
        <v>79</v>
      </c>
      <c r="AJ41" s="50" t="s">
        <v>22</v>
      </c>
      <c r="AK41" s="50" t="s">
        <v>79</v>
      </c>
    </row>
    <row r="42" spans="1:37">
      <c r="A42" s="50" t="s">
        <v>75</v>
      </c>
      <c r="B42" s="53" t="s">
        <v>81</v>
      </c>
      <c r="C42" s="57"/>
      <c r="D42" s="57"/>
      <c r="E42" s="57"/>
      <c r="F42" s="57"/>
      <c r="G42" s="57"/>
      <c r="H42" s="57"/>
      <c r="I42" s="57"/>
      <c r="T42" s="53" t="s">
        <v>81</v>
      </c>
      <c r="AJ42" s="50" t="s">
        <v>80</v>
      </c>
      <c r="AK42" s="53" t="s">
        <v>81</v>
      </c>
    </row>
    <row r="43" spans="1:37">
      <c r="A43" s="148">
        <v>1</v>
      </c>
      <c r="B43" s="58" t="s">
        <v>82</v>
      </c>
      <c r="C43" s="56">
        <f>'2023年'!C43</f>
        <v>0</v>
      </c>
      <c r="D43" s="56">
        <f>'2023年'!D43</f>
        <v>0</v>
      </c>
      <c r="E43" s="56">
        <f>'2023年'!H43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82</v>
      </c>
      <c r="AJ43" s="50" t="s">
        <v>20</v>
      </c>
      <c r="AK43" s="50" t="s">
        <v>82</v>
      </c>
    </row>
    <row r="44" spans="1:37">
      <c r="A44" s="148">
        <v>2</v>
      </c>
      <c r="B44" s="58" t="s">
        <v>83</v>
      </c>
      <c r="C44" s="56">
        <f>'2023年'!C44</f>
        <v>1.7850000000000001</v>
      </c>
      <c r="D44" s="56">
        <f>'2023年'!D44</f>
        <v>0.7350000000000001</v>
      </c>
      <c r="E44" s="56">
        <f>'2023年'!H44</f>
        <v>0.94500000000000006</v>
      </c>
      <c r="F44" s="56">
        <f>标准成本!E50</f>
        <v>1.7850000000000001</v>
      </c>
      <c r="G44" s="56">
        <f>标准成本!E63</f>
        <v>0.7350000000000001</v>
      </c>
      <c r="H44" s="56">
        <f>标准成本!E76</f>
        <v>0.94500000000000006</v>
      </c>
      <c r="I44" s="57"/>
      <c r="T44" s="50" t="s">
        <v>83</v>
      </c>
      <c r="AJ44" s="50" t="s">
        <v>22</v>
      </c>
      <c r="AK44" s="50" t="s">
        <v>83</v>
      </c>
    </row>
    <row r="45" spans="1:37">
      <c r="A45" s="148">
        <v>3</v>
      </c>
      <c r="B45" s="58" t="s">
        <v>84</v>
      </c>
      <c r="C45" s="56">
        <f>'2023年'!C45</f>
        <v>2.4650000000000003</v>
      </c>
      <c r="D45" s="56">
        <f>'2023年'!D45</f>
        <v>1.0150000000000001</v>
      </c>
      <c r="E45" s="56">
        <f>'2023年'!H45</f>
        <v>1.3050000000000002</v>
      </c>
      <c r="F45" s="56">
        <f>标准成本!E49</f>
        <v>2.4650000000000003</v>
      </c>
      <c r="G45" s="56">
        <f>标准成本!E62</f>
        <v>1.0150000000000001</v>
      </c>
      <c r="H45" s="56">
        <f>标准成本!E75</f>
        <v>1.3050000000000002</v>
      </c>
      <c r="I45" s="57"/>
      <c r="T45" s="50" t="s">
        <v>84</v>
      </c>
      <c r="AJ45" s="50" t="s">
        <v>68</v>
      </c>
      <c r="AK45" s="50" t="s">
        <v>84</v>
      </c>
    </row>
    <row r="46" spans="1:37" s="45" customFormat="1">
      <c r="A46" s="148">
        <v>4</v>
      </c>
      <c r="B46" s="58" t="s">
        <v>85</v>
      </c>
      <c r="C46" s="63">
        <f>C21/C6</f>
        <v>0</v>
      </c>
      <c r="D46" s="63">
        <f t="shared" ref="D46:H46" si="25">D21/D6</f>
        <v>0</v>
      </c>
      <c r="E46" s="63">
        <f t="shared" si="25"/>
        <v>0</v>
      </c>
      <c r="F46" s="63">
        <f t="shared" si="25"/>
        <v>0</v>
      </c>
      <c r="G46" s="63">
        <f t="shared" si="25"/>
        <v>0</v>
      </c>
      <c r="H46" s="63">
        <f t="shared" si="25"/>
        <v>0</v>
      </c>
      <c r="I46" s="63"/>
      <c r="T46" s="58" t="s">
        <v>87</v>
      </c>
      <c r="AJ46" s="58" t="s">
        <v>28</v>
      </c>
      <c r="AK46" s="58" t="s">
        <v>87</v>
      </c>
    </row>
    <row r="47" spans="1:37" s="45" customFormat="1">
      <c r="A47" s="148">
        <v>5</v>
      </c>
      <c r="B47" s="58" t="s">
        <v>87</v>
      </c>
      <c r="C47" s="63">
        <f>'2023年'!C47</f>
        <v>1.8105</v>
      </c>
      <c r="D47" s="63">
        <f>'2023年'!D47</f>
        <v>0.74549999999999994</v>
      </c>
      <c r="E47" s="63">
        <f>'2023年'!H47</f>
        <v>0.95850000000000002</v>
      </c>
      <c r="F47" s="63">
        <f>标准成本!E52</f>
        <v>1.8105</v>
      </c>
      <c r="G47" s="63">
        <f>标准成本!E65</f>
        <v>0.74549999999999994</v>
      </c>
      <c r="H47" s="63">
        <f>标准成本!E78</f>
        <v>0.95850000000000002</v>
      </c>
      <c r="I47" s="63"/>
      <c r="T47" s="58" t="s">
        <v>87</v>
      </c>
      <c r="AJ47" s="58" t="s">
        <v>28</v>
      </c>
      <c r="AK47" s="58" t="s">
        <v>87</v>
      </c>
    </row>
    <row r="48" spans="1:37">
      <c r="A48" s="50" t="s">
        <v>80</v>
      </c>
      <c r="B48" s="53" t="s">
        <v>98</v>
      </c>
      <c r="C48" s="57">
        <f>C40-C43-C44-C45-C47-C46</f>
        <v>7.6192072810777924</v>
      </c>
      <c r="D48" s="57">
        <f t="shared" ref="D48:H48" si="26">D40-D43-D44-D45-D47-D46</f>
        <v>3.8901000000000003</v>
      </c>
      <c r="E48" s="57">
        <f t="shared" si="26"/>
        <v>5.4128092952534237</v>
      </c>
      <c r="F48" s="57">
        <f t="shared" si="26"/>
        <v>7.6192072810777924</v>
      </c>
      <c r="G48" s="57">
        <f t="shared" si="26"/>
        <v>3.8901000000000003</v>
      </c>
      <c r="H48" s="57">
        <f t="shared" si="26"/>
        <v>5.4128092952534237</v>
      </c>
      <c r="I48" s="57"/>
      <c r="T48" s="53" t="s">
        <v>98</v>
      </c>
      <c r="AJ48" s="50" t="s">
        <v>97</v>
      </c>
      <c r="AK48" s="53" t="s">
        <v>98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I19" sqref="I19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20" t="s">
        <v>138</v>
      </c>
      <c r="B1" s="220"/>
      <c r="C1" s="224" t="s">
        <v>235</v>
      </c>
      <c r="D1" s="225"/>
      <c r="E1" s="225"/>
      <c r="F1" s="225"/>
      <c r="G1" s="225"/>
      <c r="H1" s="225"/>
      <c r="I1" s="226"/>
    </row>
    <row r="2" spans="1:38">
      <c r="A2" s="220" t="s">
        <v>139</v>
      </c>
      <c r="B2" s="220"/>
      <c r="C2" s="227" t="str">
        <f>'2023年'!C2:I2</f>
        <v>北汽</v>
      </c>
      <c r="D2" s="227"/>
      <c r="E2" s="227"/>
      <c r="F2" s="227"/>
      <c r="G2" s="227"/>
      <c r="H2" s="227"/>
      <c r="I2" s="227"/>
    </row>
    <row r="3" spans="1:38" ht="42.75">
      <c r="A3" s="220" t="s">
        <v>140</v>
      </c>
      <c r="B3" s="220"/>
      <c r="C3" s="149" t="str">
        <f>'2023年'!C3</f>
        <v>左后盖 ABDECKUNG LI FHS2500 CHN</v>
      </c>
      <c r="D3" s="185" t="str">
        <f>'2023年'!D3</f>
        <v>左后盖装饰盖 ABDECKUNG UT LI CHN</v>
      </c>
      <c r="E3" s="185" t="str">
        <f>'2023年'!E3</f>
        <v>左后盖装饰盖 ABDECKUNG UT LI CHN</v>
      </c>
      <c r="F3" s="185" t="str">
        <f>'2023年'!F3</f>
        <v>右后盖 ABDECKUNG RE FHS2500 CHN</v>
      </c>
      <c r="G3" s="185" t="str">
        <f>'2023年'!G3</f>
        <v>右后盖装饰盖 ABDECKUNG UT RE CHN</v>
      </c>
      <c r="H3" s="185" t="str">
        <f>'2023年'!H3</f>
        <v>右后盖装饰盖 ABDECKUNG UT RE CHN</v>
      </c>
      <c r="I3" s="221" t="s">
        <v>16</v>
      </c>
    </row>
    <row r="4" spans="1:38">
      <c r="A4" s="220" t="s">
        <v>141</v>
      </c>
      <c r="B4" s="220"/>
      <c r="C4" s="149" t="str">
        <f>'2023年'!C4</f>
        <v>A9608118007-2</v>
      </c>
      <c r="D4" s="149" t="str">
        <f>'2023年'!D4</f>
        <v>A9608118207-2</v>
      </c>
      <c r="E4" s="149" t="str">
        <f>'2023年'!E4</f>
        <v>A9608118207-3</v>
      </c>
      <c r="F4" s="149" t="str">
        <f>'2023年'!F4</f>
        <v>A9608118107-2</v>
      </c>
      <c r="G4" s="149" t="str">
        <f>'2023年'!G4</f>
        <v>A9608118307-2</v>
      </c>
      <c r="H4" s="149" t="str">
        <f>'2023年'!H4</f>
        <v>A9608118307-3</v>
      </c>
      <c r="I4" s="222"/>
    </row>
    <row r="5" spans="1:38">
      <c r="A5" s="220" t="s">
        <v>142</v>
      </c>
      <c r="B5" s="220"/>
      <c r="C5" s="49"/>
      <c r="D5" s="182"/>
      <c r="E5" s="182"/>
      <c r="F5" s="182"/>
      <c r="G5" s="182"/>
      <c r="H5" s="182"/>
      <c r="I5" s="223"/>
      <c r="AL5" s="46" t="s">
        <v>17</v>
      </c>
    </row>
    <row r="6" spans="1:38" ht="17.25">
      <c r="A6" s="50" t="s">
        <v>15</v>
      </c>
      <c r="B6" s="51" t="s">
        <v>143</v>
      </c>
      <c r="C6" s="21">
        <f>销量!C11</f>
        <v>40000</v>
      </c>
      <c r="D6" s="21">
        <f>销量!D11</f>
        <v>20000</v>
      </c>
      <c r="E6" s="21">
        <f>销量!E11</f>
        <v>20000</v>
      </c>
      <c r="F6" s="21">
        <f>销量!F11</f>
        <v>40000</v>
      </c>
      <c r="G6" s="21">
        <f>销量!G11</f>
        <v>20000</v>
      </c>
      <c r="H6" s="21">
        <f>销量!H11</f>
        <v>20000</v>
      </c>
      <c r="I6" s="52">
        <f>SUM(C6:H6)</f>
        <v>160000</v>
      </c>
      <c r="T6" s="51" t="s">
        <v>3</v>
      </c>
      <c r="AJ6" s="50" t="s">
        <v>15</v>
      </c>
      <c r="AK6" s="51" t="s">
        <v>3</v>
      </c>
      <c r="AL6" s="46" t="s">
        <v>18</v>
      </c>
    </row>
    <row r="7" spans="1:38">
      <c r="A7" s="148">
        <v>1</v>
      </c>
      <c r="B7" s="51" t="s">
        <v>19</v>
      </c>
      <c r="C7" s="52">
        <f>C6*销量!C8</f>
        <v>3400000</v>
      </c>
      <c r="D7" s="52">
        <f>D6*销量!D8</f>
        <v>700000</v>
      </c>
      <c r="E7" s="52">
        <f>E6*销量!E8</f>
        <v>900000</v>
      </c>
      <c r="F7" s="52">
        <f>F6*销量!F8</f>
        <v>3400000</v>
      </c>
      <c r="G7" s="52">
        <f>G6*销量!G8</f>
        <v>700000</v>
      </c>
      <c r="H7" s="52">
        <f>H6*销量!H8</f>
        <v>900000</v>
      </c>
      <c r="I7" s="52">
        <f>SUM(C7:H7)</f>
        <v>10000000</v>
      </c>
      <c r="J7" s="47"/>
      <c r="T7" s="51" t="s">
        <v>19</v>
      </c>
      <c r="AJ7" s="50" t="s">
        <v>20</v>
      </c>
      <c r="AK7" s="51" t="s">
        <v>19</v>
      </c>
      <c r="AL7" s="46" t="s">
        <v>18</v>
      </c>
    </row>
    <row r="8" spans="1:38">
      <c r="A8" s="148">
        <v>2</v>
      </c>
      <c r="B8" s="148" t="s">
        <v>21</v>
      </c>
      <c r="C8" s="52">
        <f>C7*(1-销量!$M$8)</f>
        <v>67659.999999999724</v>
      </c>
      <c r="D8" s="52">
        <f>D7*(1-销量!$M$8)</f>
        <v>13929.999999999942</v>
      </c>
      <c r="E8" s="52">
        <f>E7*(1-销量!$M$8)</f>
        <v>17909.999999999927</v>
      </c>
      <c r="F8" s="52">
        <f>F7*(1-销量!$M$8)</f>
        <v>67659.999999999724</v>
      </c>
      <c r="G8" s="52">
        <f>G7*(1-销量!$M$8)</f>
        <v>13929.999999999942</v>
      </c>
      <c r="H8" s="52">
        <f>H7*(1-销量!$M$8)</f>
        <v>17909.999999999927</v>
      </c>
      <c r="I8" s="52">
        <f>SUM(C8:H8)</f>
        <v>198999.99999999919</v>
      </c>
      <c r="J8" s="67"/>
      <c r="T8" s="148" t="s">
        <v>23</v>
      </c>
      <c r="AJ8" s="50" t="s">
        <v>22</v>
      </c>
      <c r="AK8" s="148" t="s">
        <v>23</v>
      </c>
      <c r="AL8" s="46" t="s">
        <v>18</v>
      </c>
    </row>
    <row r="9" spans="1:38">
      <c r="A9" s="148">
        <v>3</v>
      </c>
      <c r="B9" s="51" t="s">
        <v>24</v>
      </c>
      <c r="C9" s="52">
        <f>+C7-C8</f>
        <v>3332340.0000000005</v>
      </c>
      <c r="D9" s="52">
        <f t="shared" ref="D9:H9" si="0">+D7-D8</f>
        <v>686070</v>
      </c>
      <c r="E9" s="52">
        <f t="shared" si="0"/>
        <v>882090.00000000012</v>
      </c>
      <c r="F9" s="52">
        <f t="shared" si="0"/>
        <v>3332340.0000000005</v>
      </c>
      <c r="G9" s="52">
        <f t="shared" si="0"/>
        <v>686070</v>
      </c>
      <c r="H9" s="52">
        <f t="shared" si="0"/>
        <v>882090.00000000012</v>
      </c>
      <c r="I9" s="52">
        <f>SUM(C9:H9)</f>
        <v>9801000.0000000019</v>
      </c>
      <c r="T9" s="51" t="s">
        <v>24</v>
      </c>
      <c r="AJ9" s="50" t="s">
        <v>25</v>
      </c>
      <c r="AK9" s="51" t="s">
        <v>24</v>
      </c>
      <c r="AL9" s="46" t="s">
        <v>26</v>
      </c>
    </row>
    <row r="10" spans="1:38">
      <c r="A10" s="148">
        <v>4</v>
      </c>
      <c r="B10" s="50" t="s">
        <v>27</v>
      </c>
      <c r="C10" s="52">
        <f>C6*C33</f>
        <v>2669411.8357526269</v>
      </c>
      <c r="D10" s="52">
        <f t="shared" ref="D10:H10" si="1">D6*D33</f>
        <v>534828.8088</v>
      </c>
      <c r="E10" s="52">
        <f t="shared" si="1"/>
        <v>679575.67519444239</v>
      </c>
      <c r="F10" s="52">
        <f t="shared" si="1"/>
        <v>2669411.8357526269</v>
      </c>
      <c r="G10" s="52">
        <f t="shared" si="1"/>
        <v>534828.8088</v>
      </c>
      <c r="H10" s="52">
        <f t="shared" si="1"/>
        <v>679575.67519444239</v>
      </c>
      <c r="I10" s="52">
        <f>SUM(C10:H10)</f>
        <v>7767632.6394941378</v>
      </c>
      <c r="T10" s="50" t="s">
        <v>27</v>
      </c>
      <c r="AJ10" s="50" t="s">
        <v>28</v>
      </c>
      <c r="AK10" s="50" t="s">
        <v>27</v>
      </c>
      <c r="AL10" s="46" t="s">
        <v>29</v>
      </c>
    </row>
    <row r="11" spans="1:38">
      <c r="A11" s="148">
        <v>5</v>
      </c>
      <c r="B11" s="50" t="s">
        <v>30</v>
      </c>
      <c r="C11" s="52">
        <f>+C6*C36</f>
        <v>0</v>
      </c>
      <c r="D11" s="52">
        <f t="shared" ref="D11:H11" si="2">+D6*D36</f>
        <v>0</v>
      </c>
      <c r="E11" s="52">
        <f t="shared" si="2"/>
        <v>0</v>
      </c>
      <c r="F11" s="52">
        <f t="shared" si="2"/>
        <v>0</v>
      </c>
      <c r="G11" s="52">
        <f t="shared" si="2"/>
        <v>0</v>
      </c>
      <c r="H11" s="52">
        <f t="shared" si="2"/>
        <v>0</v>
      </c>
      <c r="I11" s="52">
        <f>SUM(C11:H11)</f>
        <v>0</v>
      </c>
      <c r="T11" s="50" t="s">
        <v>30</v>
      </c>
      <c r="AJ11" s="50" t="s">
        <v>31</v>
      </c>
      <c r="AK11" s="50" t="s">
        <v>30</v>
      </c>
    </row>
    <row r="12" spans="1:38">
      <c r="A12" s="148">
        <v>6</v>
      </c>
      <c r="B12" s="50" t="s">
        <v>32</v>
      </c>
      <c r="C12" s="52">
        <f>+C6*C37</f>
        <v>0</v>
      </c>
      <c r="D12" s="52">
        <f t="shared" ref="D12:H12" si="3">+D6*D37</f>
        <v>0</v>
      </c>
      <c r="E12" s="52">
        <f t="shared" si="3"/>
        <v>0</v>
      </c>
      <c r="F12" s="52">
        <f t="shared" si="3"/>
        <v>0</v>
      </c>
      <c r="G12" s="52">
        <f t="shared" si="3"/>
        <v>0</v>
      </c>
      <c r="H12" s="52">
        <f t="shared" si="3"/>
        <v>0</v>
      </c>
      <c r="I12" s="52">
        <f>SUM(C12:H12)</f>
        <v>0</v>
      </c>
      <c r="T12" s="50" t="s">
        <v>32</v>
      </c>
      <c r="AJ12" s="50" t="s">
        <v>33</v>
      </c>
      <c r="AK12" s="50" t="s">
        <v>32</v>
      </c>
    </row>
    <row r="13" spans="1:38">
      <c r="A13" s="148">
        <v>7</v>
      </c>
      <c r="B13" s="50" t="s">
        <v>34</v>
      </c>
      <c r="C13" s="52">
        <f>+C6*C38</f>
        <v>95200</v>
      </c>
      <c r="D13" s="52">
        <f t="shared" ref="D13:H13" si="4">+D6*D38</f>
        <v>19600</v>
      </c>
      <c r="E13" s="52">
        <f t="shared" si="4"/>
        <v>25200</v>
      </c>
      <c r="F13" s="52">
        <f t="shared" si="4"/>
        <v>95200</v>
      </c>
      <c r="G13" s="52">
        <f t="shared" si="4"/>
        <v>19600</v>
      </c>
      <c r="H13" s="52">
        <f t="shared" si="4"/>
        <v>25200</v>
      </c>
      <c r="I13" s="52">
        <f>SUM(C13:H13)</f>
        <v>280000</v>
      </c>
      <c r="T13" s="50" t="s">
        <v>34</v>
      </c>
      <c r="AJ13" s="50" t="s">
        <v>35</v>
      </c>
      <c r="AK13" s="50" t="s">
        <v>34</v>
      </c>
      <c r="AL13" s="46" t="s">
        <v>18</v>
      </c>
    </row>
    <row r="14" spans="1:38">
      <c r="A14" s="148">
        <v>8</v>
      </c>
      <c r="B14" s="53" t="s">
        <v>36</v>
      </c>
      <c r="C14" s="52">
        <f>SUM(C11:C13)</f>
        <v>95200</v>
      </c>
      <c r="D14" s="52">
        <f t="shared" ref="D14:H14" si="5">SUM(D11:D13)</f>
        <v>19600</v>
      </c>
      <c r="E14" s="52">
        <f t="shared" si="5"/>
        <v>25200</v>
      </c>
      <c r="F14" s="52">
        <f t="shared" si="5"/>
        <v>95200</v>
      </c>
      <c r="G14" s="52">
        <f t="shared" si="5"/>
        <v>19600</v>
      </c>
      <c r="H14" s="52">
        <f t="shared" si="5"/>
        <v>25200</v>
      </c>
      <c r="I14" s="52">
        <f>SUM(C14:H14)</f>
        <v>280000</v>
      </c>
      <c r="T14" s="53" t="s">
        <v>36</v>
      </c>
      <c r="AJ14" s="50" t="s">
        <v>37</v>
      </c>
      <c r="AK14" s="53" t="s">
        <v>36</v>
      </c>
    </row>
    <row r="15" spans="1:38">
      <c r="A15" s="148">
        <v>9</v>
      </c>
      <c r="B15" s="53" t="s">
        <v>38</v>
      </c>
      <c r="C15" s="52">
        <f>+C9-C10-C14</f>
        <v>567728.16424737358</v>
      </c>
      <c r="D15" s="52">
        <f t="shared" ref="D15:H15" si="6">+D9-D10-D14</f>
        <v>131641.1912</v>
      </c>
      <c r="E15" s="52">
        <f t="shared" si="6"/>
        <v>177314.32480555773</v>
      </c>
      <c r="F15" s="52">
        <f t="shared" si="6"/>
        <v>567728.16424737358</v>
      </c>
      <c r="G15" s="52">
        <f t="shared" si="6"/>
        <v>131641.1912</v>
      </c>
      <c r="H15" s="52">
        <f t="shared" si="6"/>
        <v>177314.32480555773</v>
      </c>
      <c r="I15" s="52">
        <f>SUM(C15:H15)</f>
        <v>1753367.3605058626</v>
      </c>
      <c r="T15" s="53" t="s">
        <v>38</v>
      </c>
      <c r="AJ15" s="50" t="s">
        <v>39</v>
      </c>
      <c r="AK15" s="53" t="s">
        <v>38</v>
      </c>
    </row>
    <row r="16" spans="1:38">
      <c r="A16" s="148">
        <v>10</v>
      </c>
      <c r="B16" s="50" t="s">
        <v>40</v>
      </c>
      <c r="C16" s="54">
        <f>+C15/C9</f>
        <v>0.17036921930156393</v>
      </c>
      <c r="D16" s="54">
        <f t="shared" ref="D16:H16" si="7">+D15/D9</f>
        <v>0.19187720086871601</v>
      </c>
      <c r="E16" s="54">
        <f t="shared" si="7"/>
        <v>0.20101613758863349</v>
      </c>
      <c r="F16" s="54">
        <f t="shared" si="7"/>
        <v>0.17036921930156393</v>
      </c>
      <c r="G16" s="54">
        <f t="shared" si="7"/>
        <v>0.19187720086871601</v>
      </c>
      <c r="H16" s="54">
        <f t="shared" si="7"/>
        <v>0.20101613758863349</v>
      </c>
      <c r="I16" s="54">
        <f t="shared" ref="I16" si="8">+I15/I9</f>
        <v>0.17889678201263773</v>
      </c>
      <c r="T16" s="50" t="s">
        <v>40</v>
      </c>
      <c r="AJ16" s="50" t="s">
        <v>41</v>
      </c>
      <c r="AK16" s="50" t="s">
        <v>40</v>
      </c>
    </row>
    <row r="17" spans="1:38">
      <c r="A17" s="148">
        <v>11</v>
      </c>
      <c r="B17" s="50" t="s">
        <v>42</v>
      </c>
      <c r="C17" s="52">
        <f>C6*C43+C18</f>
        <v>135659.99999999997</v>
      </c>
      <c r="D17" s="52">
        <f t="shared" ref="D17:H17" si="9">D6*D43+D18</f>
        <v>27929.999999999993</v>
      </c>
      <c r="E17" s="52">
        <f t="shared" si="9"/>
        <v>35909.999999999993</v>
      </c>
      <c r="F17" s="52">
        <f t="shared" si="9"/>
        <v>135659.99999999997</v>
      </c>
      <c r="G17" s="52">
        <f t="shared" si="9"/>
        <v>27929.999999999993</v>
      </c>
      <c r="H17" s="52">
        <f t="shared" si="9"/>
        <v>35909.999999999993</v>
      </c>
      <c r="I17" s="52">
        <f>SUM(C17:H17)</f>
        <v>398999.99999999994</v>
      </c>
      <c r="J17" s="67"/>
      <c r="T17" s="50" t="s">
        <v>42</v>
      </c>
      <c r="AJ17" s="50" t="s">
        <v>43</v>
      </c>
      <c r="AK17" s="50" t="s">
        <v>42</v>
      </c>
    </row>
    <row r="18" spans="1:38" s="44" customFormat="1">
      <c r="A18" s="148">
        <v>12</v>
      </c>
      <c r="B18" s="55" t="s">
        <v>144</v>
      </c>
      <c r="C18" s="56">
        <f>$I$18/$I$9*C9</f>
        <v>135659.99999999997</v>
      </c>
      <c r="D18" s="56">
        <f t="shared" ref="D18:H18" si="10">$I$18/$I$9*D9</f>
        <v>27929.999999999993</v>
      </c>
      <c r="E18" s="56">
        <f t="shared" si="10"/>
        <v>35909.999999999993</v>
      </c>
      <c r="F18" s="56">
        <f t="shared" si="10"/>
        <v>135659.99999999997</v>
      </c>
      <c r="G18" s="56">
        <f t="shared" si="10"/>
        <v>27929.999999999993</v>
      </c>
      <c r="H18" s="56">
        <f t="shared" si="10"/>
        <v>35909.999999999993</v>
      </c>
      <c r="I18" s="56">
        <f>项目投资!F26</f>
        <v>399000</v>
      </c>
      <c r="J18" s="68" t="s">
        <v>145</v>
      </c>
      <c r="K18" s="68"/>
      <c r="L18" s="68"/>
    </row>
    <row r="19" spans="1:38">
      <c r="A19" s="148">
        <v>13</v>
      </c>
      <c r="B19" s="50" t="s">
        <v>44</v>
      </c>
      <c r="C19" s="52">
        <f>C6*C44</f>
        <v>71400</v>
      </c>
      <c r="D19" s="52">
        <f t="shared" ref="D19:H19" si="11">D6*D44</f>
        <v>14700.000000000002</v>
      </c>
      <c r="E19" s="52">
        <f t="shared" si="11"/>
        <v>18900</v>
      </c>
      <c r="F19" s="52">
        <f t="shared" si="11"/>
        <v>71400</v>
      </c>
      <c r="G19" s="52">
        <f t="shared" si="11"/>
        <v>14700.000000000002</v>
      </c>
      <c r="H19" s="52">
        <f t="shared" si="11"/>
        <v>18900</v>
      </c>
      <c r="I19" s="52">
        <f>SUM(C19:H19)</f>
        <v>210000</v>
      </c>
      <c r="J19" s="44"/>
      <c r="T19" s="50" t="s">
        <v>44</v>
      </c>
      <c r="AJ19" s="50" t="s">
        <v>45</v>
      </c>
      <c r="AK19" s="50" t="s">
        <v>44</v>
      </c>
      <c r="AL19" s="46" t="s">
        <v>18</v>
      </c>
    </row>
    <row r="20" spans="1:38">
      <c r="A20" s="148">
        <v>14</v>
      </c>
      <c r="B20" s="50" t="s">
        <v>46</v>
      </c>
      <c r="C20" s="52">
        <f>C6*C45</f>
        <v>98600.000000000015</v>
      </c>
      <c r="D20" s="52">
        <f t="shared" ref="D20:H20" si="12">D6*D45</f>
        <v>20300.000000000004</v>
      </c>
      <c r="E20" s="52">
        <f t="shared" si="12"/>
        <v>26100.000000000004</v>
      </c>
      <c r="F20" s="52">
        <f t="shared" si="12"/>
        <v>98600.000000000015</v>
      </c>
      <c r="G20" s="52">
        <f t="shared" si="12"/>
        <v>20300.000000000004</v>
      </c>
      <c r="H20" s="52">
        <f t="shared" si="12"/>
        <v>26100.000000000004</v>
      </c>
      <c r="I20" s="52">
        <f>SUM(C20:H20)</f>
        <v>290000.00000000006</v>
      </c>
      <c r="T20" s="50" t="s">
        <v>46</v>
      </c>
      <c r="AJ20" s="50" t="s">
        <v>47</v>
      </c>
      <c r="AK20" s="50" t="s">
        <v>46</v>
      </c>
    </row>
    <row r="21" spans="1:38">
      <c r="A21" s="148">
        <v>15</v>
      </c>
      <c r="B21" s="50" t="s">
        <v>48</v>
      </c>
      <c r="C21" s="57">
        <f>$I$21/$I$6*C6</f>
        <v>0</v>
      </c>
      <c r="D21" s="57">
        <f>$I$21/$I$6*D6</f>
        <v>0</v>
      </c>
      <c r="E21" s="57">
        <f>$I$21/$I$6*E6</f>
        <v>0</v>
      </c>
      <c r="F21" s="57">
        <f>$I$21/$I$6*F6</f>
        <v>0</v>
      </c>
      <c r="G21" s="57">
        <f>$I$21/$I$6*G6</f>
        <v>0</v>
      </c>
      <c r="H21" s="57">
        <f>$I$21/$I$6*H6</f>
        <v>0</v>
      </c>
      <c r="I21" s="52">
        <f>项目投资!D27</f>
        <v>0</v>
      </c>
      <c r="T21" s="50" t="s">
        <v>48</v>
      </c>
      <c r="AJ21" s="50"/>
      <c r="AK21" s="50"/>
    </row>
    <row r="22" spans="1:38">
      <c r="A22" s="148">
        <v>16</v>
      </c>
      <c r="B22" s="50" t="s">
        <v>49</v>
      </c>
      <c r="C22" s="52">
        <f>C6*C47</f>
        <v>72420</v>
      </c>
      <c r="D22" s="52">
        <f t="shared" ref="D22:H22" si="13">D6*D47</f>
        <v>14909.999999999998</v>
      </c>
      <c r="E22" s="52">
        <f t="shared" si="13"/>
        <v>19170</v>
      </c>
      <c r="F22" s="52">
        <f t="shared" si="13"/>
        <v>72420</v>
      </c>
      <c r="G22" s="52">
        <f t="shared" si="13"/>
        <v>14909.999999999998</v>
      </c>
      <c r="H22" s="52">
        <f t="shared" si="13"/>
        <v>19170</v>
      </c>
      <c r="I22" s="52">
        <f>SUM(C22:H22)</f>
        <v>213000</v>
      </c>
      <c r="T22" s="50" t="s">
        <v>49</v>
      </c>
      <c r="AJ22" s="50" t="s">
        <v>50</v>
      </c>
      <c r="AK22" s="50" t="s">
        <v>49</v>
      </c>
    </row>
    <row r="23" spans="1:38">
      <c r="A23" s="148">
        <v>17</v>
      </c>
      <c r="B23" s="53" t="s">
        <v>51</v>
      </c>
      <c r="C23" s="57">
        <f>+C22+C21+C20+C19+C17</f>
        <v>378080</v>
      </c>
      <c r="D23" s="57">
        <f t="shared" ref="D23:H23" si="14">+D22+D21+D20+D19+D17</f>
        <v>77840</v>
      </c>
      <c r="E23" s="57">
        <f t="shared" si="14"/>
        <v>100080</v>
      </c>
      <c r="F23" s="57">
        <f t="shared" si="14"/>
        <v>378080</v>
      </c>
      <c r="G23" s="57">
        <f t="shared" si="14"/>
        <v>77840</v>
      </c>
      <c r="H23" s="57">
        <f t="shared" si="14"/>
        <v>100080</v>
      </c>
      <c r="I23" s="57">
        <f t="shared" ref="I23" si="15">+I22+I21+I20+I19+I17</f>
        <v>1112000</v>
      </c>
      <c r="T23" s="53" t="s">
        <v>51</v>
      </c>
      <c r="AJ23" s="50" t="s">
        <v>52</v>
      </c>
      <c r="AK23" s="53" t="s">
        <v>51</v>
      </c>
    </row>
    <row r="24" spans="1:38">
      <c r="A24" s="148">
        <v>18</v>
      </c>
      <c r="B24" s="58" t="s">
        <v>53</v>
      </c>
      <c r="C24" s="57">
        <f>+C15-C23</f>
        <v>189648.16424737358</v>
      </c>
      <c r="D24" s="57">
        <f t="shared" ref="D24:H24" si="16">+D15-D23</f>
        <v>53801.191200000001</v>
      </c>
      <c r="E24" s="57">
        <f t="shared" si="16"/>
        <v>77234.324805557728</v>
      </c>
      <c r="F24" s="57">
        <f t="shared" si="16"/>
        <v>189648.16424737358</v>
      </c>
      <c r="G24" s="57">
        <f t="shared" si="16"/>
        <v>53801.191200000001</v>
      </c>
      <c r="H24" s="57">
        <f t="shared" si="16"/>
        <v>77234.324805557728</v>
      </c>
      <c r="I24" s="57">
        <f t="shared" ref="I24" si="17">+I15-I23</f>
        <v>641367.36050586263</v>
      </c>
      <c r="K24" s="69"/>
      <c r="T24" s="50" t="s">
        <v>53</v>
      </c>
      <c r="AJ24" s="50" t="s">
        <v>54</v>
      </c>
      <c r="AK24" s="50" t="s">
        <v>53</v>
      </c>
    </row>
    <row r="25" spans="1:38">
      <c r="A25" s="148">
        <v>19</v>
      </c>
      <c r="B25" s="50" t="s">
        <v>146</v>
      </c>
      <c r="C25" s="57">
        <f>IF(C24&lt;0,0,C24*0.15)</f>
        <v>28447.224637106036</v>
      </c>
      <c r="D25" s="57">
        <f t="shared" ref="D25:H25" si="18">IF(D24&lt;0,0,D24*0.15)</f>
        <v>8070.17868</v>
      </c>
      <c r="E25" s="57">
        <f t="shared" si="18"/>
        <v>11585.148720833658</v>
      </c>
      <c r="F25" s="57">
        <f t="shared" si="18"/>
        <v>28447.224637106036</v>
      </c>
      <c r="G25" s="57">
        <f t="shared" si="18"/>
        <v>8070.17868</v>
      </c>
      <c r="H25" s="57">
        <f t="shared" si="18"/>
        <v>11585.148720833658</v>
      </c>
      <c r="I25" s="57">
        <f>IF(I24&lt;0,0,I24*0.15)</f>
        <v>96205.104075879397</v>
      </c>
      <c r="J25" s="65"/>
      <c r="K25" s="65"/>
      <c r="L25" s="65"/>
      <c r="T25" s="50" t="s">
        <v>55</v>
      </c>
      <c r="AJ25" s="50" t="s">
        <v>56</v>
      </c>
      <c r="AK25" s="50" t="s">
        <v>55</v>
      </c>
    </row>
    <row r="26" spans="1:38">
      <c r="A26" s="148">
        <v>20</v>
      </c>
      <c r="B26" s="50" t="s">
        <v>57</v>
      </c>
      <c r="C26" s="57">
        <f t="shared" ref="C26:H26" si="19">C24-C25</f>
        <v>161200.93961026755</v>
      </c>
      <c r="D26" s="57">
        <f t="shared" si="19"/>
        <v>45731.012520000004</v>
      </c>
      <c r="E26" s="57">
        <f t="shared" si="19"/>
        <v>65649.176084724066</v>
      </c>
      <c r="F26" s="57">
        <f t="shared" si="19"/>
        <v>161200.93961026755</v>
      </c>
      <c r="G26" s="57">
        <f t="shared" si="19"/>
        <v>45731.012520000004</v>
      </c>
      <c r="H26" s="57">
        <f t="shared" si="19"/>
        <v>65649.176084724066</v>
      </c>
      <c r="I26" s="52">
        <f>I24-I25</f>
        <v>545162.25642998319</v>
      </c>
      <c r="J26" s="65"/>
      <c r="K26" s="65"/>
      <c r="L26" s="65"/>
      <c r="T26" s="50" t="s">
        <v>57</v>
      </c>
      <c r="AJ26" s="50" t="s">
        <v>58</v>
      </c>
      <c r="AK26" s="50" t="s">
        <v>57</v>
      </c>
    </row>
    <row r="27" spans="1:38">
      <c r="A27" s="148">
        <v>21</v>
      </c>
      <c r="B27" s="50" t="s">
        <v>61</v>
      </c>
      <c r="C27" s="59">
        <f t="shared" ref="C27:I27" si="20">C26/C7</f>
        <v>4.74120410618434E-2</v>
      </c>
      <c r="D27" s="59">
        <f t="shared" ref="D27:H27" si="21">D26/D7</f>
        <v>6.5330017885714298E-2</v>
      </c>
      <c r="E27" s="59">
        <f t="shared" si="21"/>
        <v>7.2943528983026737E-2</v>
      </c>
      <c r="F27" s="59">
        <f t="shared" si="21"/>
        <v>4.74120410618434E-2</v>
      </c>
      <c r="G27" s="59">
        <f t="shared" si="21"/>
        <v>6.5330017885714298E-2</v>
      </c>
      <c r="H27" s="59">
        <f t="shared" si="21"/>
        <v>7.2943528983026737E-2</v>
      </c>
      <c r="I27" s="59">
        <f t="shared" si="20"/>
        <v>5.4516225642998316E-2</v>
      </c>
      <c r="J27" s="65"/>
      <c r="K27" s="65"/>
      <c r="L27" s="65"/>
      <c r="T27" s="50" t="s">
        <v>61</v>
      </c>
      <c r="AJ27" s="50" t="s">
        <v>60</v>
      </c>
      <c r="AK27" s="50" t="s">
        <v>61</v>
      </c>
    </row>
    <row r="28" spans="1:38">
      <c r="J28" s="65"/>
      <c r="K28" s="65"/>
      <c r="L28" s="65"/>
      <c r="T28" s="50"/>
    </row>
    <row r="29" spans="1:38">
      <c r="A29" s="46" t="s">
        <v>62</v>
      </c>
      <c r="I29" s="47" t="s">
        <v>147</v>
      </c>
      <c r="J29" s="65"/>
      <c r="K29" s="65"/>
      <c r="L29" s="65"/>
      <c r="T29" s="50"/>
      <c r="AJ29" s="46" t="s">
        <v>62</v>
      </c>
    </row>
    <row r="30" spans="1:38">
      <c r="A30" s="50" t="s">
        <v>63</v>
      </c>
      <c r="B30" s="53" t="s">
        <v>64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64</v>
      </c>
      <c r="AJ30" s="50" t="s">
        <v>65</v>
      </c>
      <c r="AK30" s="53" t="s">
        <v>64</v>
      </c>
    </row>
    <row r="31" spans="1:38">
      <c r="A31" s="148">
        <v>1</v>
      </c>
      <c r="B31" s="55" t="s">
        <v>66</v>
      </c>
      <c r="C31" s="61">
        <f>销量!C8</f>
        <v>85</v>
      </c>
      <c r="D31" s="61">
        <f>销量!D8</f>
        <v>35</v>
      </c>
      <c r="E31" s="61">
        <f>销量!E8</f>
        <v>45</v>
      </c>
      <c r="F31" s="61">
        <f>销量!F8</f>
        <v>85</v>
      </c>
      <c r="G31" s="61">
        <f>销量!G8</f>
        <v>35</v>
      </c>
      <c r="H31" s="61">
        <f>销量!H8</f>
        <v>45</v>
      </c>
      <c r="I31" s="57"/>
      <c r="J31" s="65"/>
      <c r="K31" s="65"/>
      <c r="L31" s="65"/>
      <c r="N31" s="65"/>
      <c r="T31" s="50" t="s">
        <v>66</v>
      </c>
      <c r="AJ31" s="50" t="s">
        <v>20</v>
      </c>
      <c r="AK31" s="50" t="s">
        <v>66</v>
      </c>
    </row>
    <row r="32" spans="1:38">
      <c r="A32" s="148">
        <v>2</v>
      </c>
      <c r="B32" s="50" t="s">
        <v>148</v>
      </c>
      <c r="C32" s="52">
        <f>C9/C6</f>
        <v>83.308500000000009</v>
      </c>
      <c r="D32" s="52">
        <f t="shared" ref="D32:H32" si="22">D9/D6</f>
        <v>34.3035</v>
      </c>
      <c r="E32" s="52">
        <f t="shared" si="22"/>
        <v>44.104500000000009</v>
      </c>
      <c r="F32" s="52">
        <f t="shared" si="22"/>
        <v>83.308500000000009</v>
      </c>
      <c r="G32" s="52">
        <f t="shared" si="22"/>
        <v>34.3035</v>
      </c>
      <c r="H32" s="52">
        <f t="shared" si="22"/>
        <v>44.104500000000009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8">
        <v>3</v>
      </c>
      <c r="B33" s="55" t="s">
        <v>67</v>
      </c>
      <c r="C33" s="52">
        <f>材料成本!G19</f>
        <v>66.735295893815675</v>
      </c>
      <c r="D33" s="52">
        <f>材料成本!G20</f>
        <v>26.741440440000002</v>
      </c>
      <c r="E33" s="52">
        <f>材料成本!G21</f>
        <v>33.97878375972212</v>
      </c>
      <c r="F33" s="52">
        <f>材料成本!G22</f>
        <v>66.735295893815675</v>
      </c>
      <c r="G33" s="52">
        <f>材料成本!G23</f>
        <v>26.741440440000002</v>
      </c>
      <c r="H33" s="52">
        <f>材料成本!G24</f>
        <v>33.97878375972212</v>
      </c>
      <c r="I33" s="57"/>
      <c r="K33" s="65"/>
      <c r="L33" s="65"/>
      <c r="M33" s="65"/>
      <c r="N33" s="65"/>
      <c r="O33" s="65"/>
      <c r="P33" s="65"/>
      <c r="T33" s="50" t="s">
        <v>67</v>
      </c>
      <c r="AJ33" s="50" t="s">
        <v>22</v>
      </c>
      <c r="AK33" s="50" t="s">
        <v>67</v>
      </c>
    </row>
    <row r="34" spans="1:37" ht="17.25" customHeight="1">
      <c r="A34" s="148">
        <v>4</v>
      </c>
      <c r="B34" s="50" t="s">
        <v>69</v>
      </c>
      <c r="C34" s="62">
        <f>C32-C33</f>
        <v>16.573204106184335</v>
      </c>
      <c r="D34" s="62">
        <f t="shared" ref="D34:H34" si="23">D32-D33</f>
        <v>7.562059559999998</v>
      </c>
      <c r="E34" s="62">
        <f t="shared" si="23"/>
        <v>10.125716240277889</v>
      </c>
      <c r="F34" s="62">
        <f t="shared" si="23"/>
        <v>16.573204106184335</v>
      </c>
      <c r="G34" s="62">
        <f t="shared" si="23"/>
        <v>7.562059559999998</v>
      </c>
      <c r="H34" s="62">
        <f t="shared" si="23"/>
        <v>10.125716240277889</v>
      </c>
      <c r="I34" s="57"/>
      <c r="K34" s="65"/>
      <c r="L34" s="65"/>
      <c r="M34" s="65"/>
      <c r="N34" s="65"/>
      <c r="O34" s="65"/>
      <c r="P34" s="65"/>
      <c r="T34" s="50" t="s">
        <v>69</v>
      </c>
      <c r="AJ34" s="50" t="s">
        <v>68</v>
      </c>
      <c r="AK34" s="50" t="s">
        <v>69</v>
      </c>
    </row>
    <row r="35" spans="1:37">
      <c r="A35" s="50" t="s">
        <v>65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71</v>
      </c>
      <c r="AK35" s="53" t="s">
        <v>8</v>
      </c>
    </row>
    <row r="36" spans="1:37">
      <c r="A36" s="148">
        <v>1</v>
      </c>
      <c r="B36" s="50" t="s">
        <v>72</v>
      </c>
      <c r="C36" s="56">
        <f>'2023年'!C36</f>
        <v>0</v>
      </c>
      <c r="D36" s="56">
        <f>'2023年'!D36</f>
        <v>0</v>
      </c>
      <c r="E36" s="56">
        <f>'2023年'!H36</f>
        <v>0</v>
      </c>
      <c r="F36" s="56">
        <f>'2024年'!F36</f>
        <v>0</v>
      </c>
      <c r="G36" s="56">
        <f>'2024年'!G36</f>
        <v>0</v>
      </c>
      <c r="H36" s="56">
        <f>'2024年'!H36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72</v>
      </c>
      <c r="AJ36" s="50" t="s">
        <v>68</v>
      </c>
      <c r="AK36" s="50" t="s">
        <v>72</v>
      </c>
    </row>
    <row r="37" spans="1:37">
      <c r="A37" s="148">
        <v>2</v>
      </c>
      <c r="B37" s="50" t="s">
        <v>73</v>
      </c>
      <c r="C37" s="56">
        <f>'2023年'!C37</f>
        <v>0</v>
      </c>
      <c r="D37" s="56">
        <f>'2023年'!D37</f>
        <v>0</v>
      </c>
      <c r="E37" s="56">
        <f>'2023年'!H37</f>
        <v>0</v>
      </c>
      <c r="F37" s="56">
        <f>'2024年'!F37</f>
        <v>0</v>
      </c>
      <c r="G37" s="56">
        <f>'2024年'!G37</f>
        <v>0</v>
      </c>
      <c r="H37" s="56">
        <f>'2024年'!H37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73</v>
      </c>
      <c r="AJ37" s="50" t="s">
        <v>25</v>
      </c>
      <c r="AK37" s="50" t="s">
        <v>73</v>
      </c>
    </row>
    <row r="38" spans="1:37">
      <c r="A38" s="148">
        <v>3</v>
      </c>
      <c r="B38" s="50" t="s">
        <v>74</v>
      </c>
      <c r="C38" s="56">
        <f>'2023年'!C38</f>
        <v>2.38</v>
      </c>
      <c r="D38" s="56">
        <f>'2023年'!D38</f>
        <v>0.98</v>
      </c>
      <c r="E38" s="56">
        <f>'2023年'!H38</f>
        <v>1.26</v>
      </c>
      <c r="F38" s="56">
        <f>'2024年'!F38</f>
        <v>2.38</v>
      </c>
      <c r="G38" s="56">
        <f>'2024年'!G38</f>
        <v>0.98</v>
      </c>
      <c r="H38" s="56">
        <f>'2024年'!H38</f>
        <v>1.26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74</v>
      </c>
      <c r="AJ38" s="50" t="s">
        <v>31</v>
      </c>
      <c r="AK38" s="50" t="s">
        <v>74</v>
      </c>
    </row>
    <row r="39" spans="1:37">
      <c r="A39" s="50" t="s">
        <v>71</v>
      </c>
      <c r="B39" s="53" t="s">
        <v>76</v>
      </c>
      <c r="C39" s="57"/>
      <c r="D39" s="57"/>
      <c r="E39" s="57"/>
      <c r="F39" s="57"/>
      <c r="G39" s="57"/>
      <c r="H39" s="57"/>
      <c r="I39" s="57"/>
      <c r="T39" s="53" t="s">
        <v>76</v>
      </c>
      <c r="AJ39" s="50" t="s">
        <v>75</v>
      </c>
      <c r="AK39" s="53" t="s">
        <v>76</v>
      </c>
    </row>
    <row r="40" spans="1:37">
      <c r="A40" s="148">
        <v>1</v>
      </c>
      <c r="B40" s="50" t="s">
        <v>78</v>
      </c>
      <c r="C40" s="57">
        <f>C34-C36-C37-C38</f>
        <v>14.193204106184336</v>
      </c>
      <c r="D40" s="57">
        <f t="shared" ref="D40:H40" si="24">D34-D36-D37-D38</f>
        <v>6.5820595599999976</v>
      </c>
      <c r="E40" s="57">
        <f t="shared" si="24"/>
        <v>8.8657162402778891</v>
      </c>
      <c r="F40" s="57">
        <f t="shared" si="24"/>
        <v>14.193204106184336</v>
      </c>
      <c r="G40" s="57">
        <f t="shared" si="24"/>
        <v>6.5820595599999976</v>
      </c>
      <c r="H40" s="57">
        <f t="shared" si="24"/>
        <v>8.8657162402778891</v>
      </c>
      <c r="I40" s="57"/>
      <c r="T40" s="50" t="s">
        <v>78</v>
      </c>
      <c r="AJ40" s="50" t="s">
        <v>20</v>
      </c>
      <c r="AK40" s="50" t="s">
        <v>78</v>
      </c>
    </row>
    <row r="41" spans="1:37">
      <c r="A41" s="148">
        <v>2</v>
      </c>
      <c r="B41" s="50" t="s">
        <v>79</v>
      </c>
      <c r="C41" s="57"/>
      <c r="D41" s="57"/>
      <c r="E41" s="57"/>
      <c r="F41" s="57"/>
      <c r="G41" s="57"/>
      <c r="H41" s="57"/>
      <c r="I41" s="57"/>
      <c r="T41" s="50" t="s">
        <v>79</v>
      </c>
      <c r="AJ41" s="50" t="s">
        <v>22</v>
      </c>
      <c r="AK41" s="50" t="s">
        <v>79</v>
      </c>
    </row>
    <row r="42" spans="1:37">
      <c r="A42" s="50" t="s">
        <v>75</v>
      </c>
      <c r="B42" s="53" t="s">
        <v>81</v>
      </c>
      <c r="C42" s="57"/>
      <c r="D42" s="57"/>
      <c r="E42" s="57"/>
      <c r="F42" s="57"/>
      <c r="G42" s="57"/>
      <c r="H42" s="57"/>
      <c r="I42" s="57"/>
      <c r="T42" s="53" t="s">
        <v>81</v>
      </c>
      <c r="AJ42" s="50" t="s">
        <v>80</v>
      </c>
      <c r="AK42" s="53" t="s">
        <v>81</v>
      </c>
    </row>
    <row r="43" spans="1:37">
      <c r="A43" s="148">
        <v>1</v>
      </c>
      <c r="B43" s="58" t="s">
        <v>82</v>
      </c>
      <c r="C43" s="56">
        <f>'2023年'!C43</f>
        <v>0</v>
      </c>
      <c r="D43" s="56">
        <f>'2023年'!D43</f>
        <v>0</v>
      </c>
      <c r="E43" s="56">
        <f>'2023年'!H43</f>
        <v>0</v>
      </c>
      <c r="F43" s="56">
        <f>'2024年'!F43</f>
        <v>0</v>
      </c>
      <c r="G43" s="56">
        <f>'2024年'!G43</f>
        <v>0</v>
      </c>
      <c r="H43" s="56">
        <f>'2024年'!H43</f>
        <v>0</v>
      </c>
      <c r="I43" s="57"/>
      <c r="T43" s="50" t="s">
        <v>82</v>
      </c>
      <c r="AJ43" s="50" t="s">
        <v>20</v>
      </c>
      <c r="AK43" s="50" t="s">
        <v>82</v>
      </c>
    </row>
    <row r="44" spans="1:37">
      <c r="A44" s="148">
        <v>2</v>
      </c>
      <c r="B44" s="58" t="s">
        <v>83</v>
      </c>
      <c r="C44" s="56">
        <f>'2023年'!C44</f>
        <v>1.7850000000000001</v>
      </c>
      <c r="D44" s="56">
        <f>'2023年'!D44</f>
        <v>0.7350000000000001</v>
      </c>
      <c r="E44" s="56">
        <f>'2023年'!H44</f>
        <v>0.94500000000000006</v>
      </c>
      <c r="F44" s="56">
        <f>'2024年'!F44</f>
        <v>1.7850000000000001</v>
      </c>
      <c r="G44" s="56">
        <f>'2024年'!G44</f>
        <v>0.7350000000000001</v>
      </c>
      <c r="H44" s="56">
        <f>'2024年'!H44</f>
        <v>0.94500000000000006</v>
      </c>
      <c r="I44" s="57"/>
      <c r="T44" s="50" t="s">
        <v>83</v>
      </c>
      <c r="AJ44" s="50" t="s">
        <v>22</v>
      </c>
      <c r="AK44" s="50" t="s">
        <v>83</v>
      </c>
    </row>
    <row r="45" spans="1:37">
      <c r="A45" s="148">
        <v>3</v>
      </c>
      <c r="B45" s="58" t="s">
        <v>84</v>
      </c>
      <c r="C45" s="56">
        <f>'2023年'!C45</f>
        <v>2.4650000000000003</v>
      </c>
      <c r="D45" s="56">
        <f>'2023年'!D45</f>
        <v>1.0150000000000001</v>
      </c>
      <c r="E45" s="56">
        <f>'2023年'!H45</f>
        <v>1.3050000000000002</v>
      </c>
      <c r="F45" s="56">
        <f>'2024年'!F45</f>
        <v>2.4650000000000003</v>
      </c>
      <c r="G45" s="56">
        <f>'2024年'!G45</f>
        <v>1.0150000000000001</v>
      </c>
      <c r="H45" s="56">
        <f>'2024年'!H45</f>
        <v>1.3050000000000002</v>
      </c>
      <c r="I45" s="57"/>
      <c r="T45" s="50" t="s">
        <v>84</v>
      </c>
      <c r="AJ45" s="50" t="s">
        <v>68</v>
      </c>
      <c r="AK45" s="50" t="s">
        <v>84</v>
      </c>
    </row>
    <row r="46" spans="1:37" s="45" customFormat="1">
      <c r="A46" s="148">
        <v>4</v>
      </c>
      <c r="B46" s="58" t="s">
        <v>85</v>
      </c>
      <c r="C46" s="63">
        <f>C21/C6</f>
        <v>0</v>
      </c>
      <c r="D46" s="63">
        <f t="shared" ref="D46:H46" si="25">D21/D6</f>
        <v>0</v>
      </c>
      <c r="E46" s="63">
        <f t="shared" si="25"/>
        <v>0</v>
      </c>
      <c r="F46" s="63">
        <f t="shared" si="25"/>
        <v>0</v>
      </c>
      <c r="G46" s="63">
        <f t="shared" si="25"/>
        <v>0</v>
      </c>
      <c r="H46" s="63">
        <f t="shared" si="25"/>
        <v>0</v>
      </c>
      <c r="I46" s="63"/>
      <c r="T46" s="58" t="s">
        <v>87</v>
      </c>
      <c r="AJ46" s="58" t="s">
        <v>28</v>
      </c>
      <c r="AK46" s="58" t="s">
        <v>87</v>
      </c>
    </row>
    <row r="47" spans="1:37" s="45" customFormat="1">
      <c r="A47" s="148">
        <v>5</v>
      </c>
      <c r="B47" s="58" t="s">
        <v>87</v>
      </c>
      <c r="C47" s="63">
        <f>'2023年'!C47</f>
        <v>1.8105</v>
      </c>
      <c r="D47" s="63">
        <f>'2023年'!D47</f>
        <v>0.74549999999999994</v>
      </c>
      <c r="E47" s="63">
        <f>'2023年'!H47</f>
        <v>0.95850000000000002</v>
      </c>
      <c r="F47" s="63">
        <f>'2024年'!F47</f>
        <v>1.8105</v>
      </c>
      <c r="G47" s="63">
        <f>'2024年'!G47</f>
        <v>0.74549999999999994</v>
      </c>
      <c r="H47" s="63">
        <f>'2024年'!H47</f>
        <v>0.95850000000000002</v>
      </c>
      <c r="I47" s="63"/>
      <c r="T47" s="58" t="s">
        <v>87</v>
      </c>
      <c r="AJ47" s="58" t="s">
        <v>28</v>
      </c>
      <c r="AK47" s="58" t="s">
        <v>87</v>
      </c>
    </row>
    <row r="48" spans="1:37">
      <c r="A48" s="50" t="s">
        <v>80</v>
      </c>
      <c r="B48" s="53" t="s">
        <v>98</v>
      </c>
      <c r="C48" s="57">
        <f>C40-C43-C44-C45-C47-C46</f>
        <v>8.1327041061843364</v>
      </c>
      <c r="D48" s="57">
        <f t="shared" ref="D48:H48" si="26">D40-D43-D44-D45-D47-D46</f>
        <v>4.0865595599999978</v>
      </c>
      <c r="E48" s="57">
        <f t="shared" si="26"/>
        <v>5.6572162402778892</v>
      </c>
      <c r="F48" s="57">
        <f t="shared" si="26"/>
        <v>8.1327041061843364</v>
      </c>
      <c r="G48" s="57">
        <f t="shared" si="26"/>
        <v>4.0865595599999978</v>
      </c>
      <c r="H48" s="57">
        <f t="shared" si="26"/>
        <v>5.6572162402778892</v>
      </c>
      <c r="I48" s="57"/>
      <c r="T48" s="53" t="s">
        <v>98</v>
      </c>
      <c r="AJ48" s="50" t="s">
        <v>97</v>
      </c>
      <c r="AK48" s="53" t="s">
        <v>98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19" sqref="I19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20" t="s">
        <v>138</v>
      </c>
      <c r="B1" s="220"/>
      <c r="C1" s="224" t="s">
        <v>236</v>
      </c>
      <c r="D1" s="225"/>
      <c r="E1" s="225"/>
      <c r="F1" s="225"/>
      <c r="G1" s="225"/>
      <c r="H1" s="225"/>
      <c r="I1" s="226"/>
    </row>
    <row r="2" spans="1:38">
      <c r="A2" s="220" t="s">
        <v>139</v>
      </c>
      <c r="B2" s="220"/>
      <c r="C2" s="228" t="str">
        <f>'2023年'!C2:I2</f>
        <v>北汽</v>
      </c>
      <c r="D2" s="229"/>
      <c r="E2" s="229"/>
      <c r="F2" s="229"/>
      <c r="G2" s="229"/>
      <c r="H2" s="229"/>
      <c r="I2" s="230"/>
    </row>
    <row r="3" spans="1:38" ht="42.75">
      <c r="A3" s="220" t="s">
        <v>140</v>
      </c>
      <c r="B3" s="220"/>
      <c r="C3" s="149" t="str">
        <f>'2023年'!C3</f>
        <v>左后盖 ABDECKUNG LI FHS2500 CHN</v>
      </c>
      <c r="D3" s="185" t="str">
        <f>'2023年'!D3</f>
        <v>左后盖装饰盖 ABDECKUNG UT LI CHN</v>
      </c>
      <c r="E3" s="185" t="str">
        <f>'2023年'!E3</f>
        <v>左后盖装饰盖 ABDECKUNG UT LI CHN</v>
      </c>
      <c r="F3" s="185" t="str">
        <f>'2023年'!F3</f>
        <v>右后盖 ABDECKUNG RE FHS2500 CHN</v>
      </c>
      <c r="G3" s="185" t="str">
        <f>'2023年'!G3</f>
        <v>右后盖装饰盖 ABDECKUNG UT RE CHN</v>
      </c>
      <c r="H3" s="185" t="str">
        <f>'2023年'!H3</f>
        <v>右后盖装饰盖 ABDECKUNG UT RE CHN</v>
      </c>
      <c r="I3" s="221" t="s">
        <v>16</v>
      </c>
    </row>
    <row r="4" spans="1:38">
      <c r="A4" s="220" t="s">
        <v>141</v>
      </c>
      <c r="B4" s="220"/>
      <c r="C4" s="149" t="str">
        <f>'2023年'!C4</f>
        <v>A9608118007-2</v>
      </c>
      <c r="D4" s="149" t="str">
        <f>'2023年'!D4</f>
        <v>A9608118207-2</v>
      </c>
      <c r="E4" s="149" t="str">
        <f>'2023年'!E4</f>
        <v>A9608118207-3</v>
      </c>
      <c r="F4" s="149" t="str">
        <f>'2023年'!F4</f>
        <v>A9608118107-2</v>
      </c>
      <c r="G4" s="149" t="str">
        <f>'2023年'!G4</f>
        <v>A9608118307-2</v>
      </c>
      <c r="H4" s="149" t="str">
        <f>'2023年'!H4</f>
        <v>A9608118307-3</v>
      </c>
      <c r="I4" s="222"/>
    </row>
    <row r="5" spans="1:38">
      <c r="A5" s="220" t="s">
        <v>142</v>
      </c>
      <c r="B5" s="220"/>
      <c r="C5" s="49"/>
      <c r="D5" s="182"/>
      <c r="E5" s="182"/>
      <c r="F5" s="182"/>
      <c r="G5" s="182"/>
      <c r="H5" s="182"/>
      <c r="I5" s="223"/>
      <c r="AL5" s="46" t="s">
        <v>17</v>
      </c>
    </row>
    <row r="6" spans="1:38" ht="17.25">
      <c r="A6" s="50" t="s">
        <v>15</v>
      </c>
      <c r="B6" s="51" t="s">
        <v>143</v>
      </c>
      <c r="C6" s="21">
        <f>销量!C12</f>
        <v>40000</v>
      </c>
      <c r="D6" s="21">
        <f>销量!D12</f>
        <v>20000</v>
      </c>
      <c r="E6" s="21">
        <f>销量!E12</f>
        <v>20000</v>
      </c>
      <c r="F6" s="21">
        <f>销量!F12</f>
        <v>40000</v>
      </c>
      <c r="G6" s="21">
        <f>销量!G12</f>
        <v>20000</v>
      </c>
      <c r="H6" s="21">
        <f>销量!H12</f>
        <v>20000</v>
      </c>
      <c r="I6" s="52">
        <f>SUM(C6:H6)</f>
        <v>160000</v>
      </c>
      <c r="T6" s="51" t="s">
        <v>3</v>
      </c>
      <c r="AJ6" s="50" t="s">
        <v>15</v>
      </c>
      <c r="AK6" s="51" t="s">
        <v>3</v>
      </c>
      <c r="AL6" s="46" t="s">
        <v>18</v>
      </c>
    </row>
    <row r="7" spans="1:38">
      <c r="A7" s="148">
        <v>1</v>
      </c>
      <c r="B7" s="51" t="s">
        <v>19</v>
      </c>
      <c r="C7" s="52">
        <f>C6*销量!C8</f>
        <v>3400000</v>
      </c>
      <c r="D7" s="52">
        <f>D6*销量!D8</f>
        <v>700000</v>
      </c>
      <c r="E7" s="52">
        <f>E6*销量!E8</f>
        <v>900000</v>
      </c>
      <c r="F7" s="52">
        <f>F6*销量!F8</f>
        <v>3400000</v>
      </c>
      <c r="G7" s="52">
        <f>G6*销量!G8</f>
        <v>700000</v>
      </c>
      <c r="H7" s="52">
        <f>H6*销量!H8</f>
        <v>900000</v>
      </c>
      <c r="I7" s="52">
        <f>SUM(C7:H7)</f>
        <v>10000000</v>
      </c>
      <c r="J7" s="47"/>
      <c r="T7" s="51" t="s">
        <v>19</v>
      </c>
      <c r="AJ7" s="50" t="s">
        <v>20</v>
      </c>
      <c r="AK7" s="51" t="s">
        <v>19</v>
      </c>
      <c r="AL7" s="46" t="s">
        <v>18</v>
      </c>
    </row>
    <row r="8" spans="1:38">
      <c r="A8" s="148">
        <v>2</v>
      </c>
      <c r="B8" s="148" t="s">
        <v>21</v>
      </c>
      <c r="C8" s="52">
        <f>C7*(1-销量!$M$9)</f>
        <v>100983.39999999992</v>
      </c>
      <c r="D8" s="52">
        <f>D7*(1-销量!$M$9)</f>
        <v>20790.699999999983</v>
      </c>
      <c r="E8" s="52">
        <f>E7*(1-销量!$M$9)</f>
        <v>26730.89999999998</v>
      </c>
      <c r="F8" s="52">
        <f>F7*(1-销量!$M$9)</f>
        <v>100983.39999999992</v>
      </c>
      <c r="G8" s="52">
        <f>G7*(1-销量!$M$9)</f>
        <v>20790.699999999983</v>
      </c>
      <c r="H8" s="52">
        <f>H7*(1-销量!$M$9)</f>
        <v>26730.89999999998</v>
      </c>
      <c r="I8" s="52">
        <f>SUM(C8:H8)</f>
        <v>297009.99999999971</v>
      </c>
      <c r="J8" s="67"/>
      <c r="T8" s="148" t="s">
        <v>23</v>
      </c>
      <c r="AJ8" s="50" t="s">
        <v>22</v>
      </c>
      <c r="AK8" s="148" t="s">
        <v>23</v>
      </c>
      <c r="AL8" s="46" t="s">
        <v>18</v>
      </c>
    </row>
    <row r="9" spans="1:38">
      <c r="A9" s="148">
        <v>3</v>
      </c>
      <c r="B9" s="51" t="s">
        <v>24</v>
      </c>
      <c r="C9" s="52">
        <f>+C7-C8</f>
        <v>3299016.6</v>
      </c>
      <c r="D9" s="52">
        <f t="shared" ref="D9:H9" si="0">+D7-D8</f>
        <v>679209.3</v>
      </c>
      <c r="E9" s="52">
        <f t="shared" si="0"/>
        <v>873269.1</v>
      </c>
      <c r="F9" s="52">
        <f t="shared" si="0"/>
        <v>3299016.6</v>
      </c>
      <c r="G9" s="52">
        <f t="shared" si="0"/>
        <v>679209.3</v>
      </c>
      <c r="H9" s="52">
        <f t="shared" si="0"/>
        <v>873269.1</v>
      </c>
      <c r="I9" s="52">
        <f>SUM(C9:H9)</f>
        <v>9702990</v>
      </c>
      <c r="T9" s="51" t="s">
        <v>24</v>
      </c>
      <c r="AJ9" s="50" t="s">
        <v>25</v>
      </c>
      <c r="AK9" s="51" t="s">
        <v>24</v>
      </c>
      <c r="AL9" s="46" t="s">
        <v>26</v>
      </c>
    </row>
    <row r="10" spans="1:38">
      <c r="A10" s="148">
        <v>4</v>
      </c>
      <c r="B10" s="50" t="s">
        <v>27</v>
      </c>
      <c r="C10" s="52">
        <f>C6*C33</f>
        <v>2590127.6348189386</v>
      </c>
      <c r="D10" s="52">
        <f t="shared" ref="D10:H10" si="1">D6*D33</f>
        <v>518943.85834983125</v>
      </c>
      <c r="E10" s="52">
        <f t="shared" si="1"/>
        <v>659391.59806549223</v>
      </c>
      <c r="F10" s="52">
        <f t="shared" si="1"/>
        <v>2590127.6348189386</v>
      </c>
      <c r="G10" s="52">
        <f t="shared" si="1"/>
        <v>518943.85834983125</v>
      </c>
      <c r="H10" s="52">
        <f t="shared" si="1"/>
        <v>659391.59806549223</v>
      </c>
      <c r="I10" s="52">
        <f>SUM(C10:H10)</f>
        <v>7536926.1824685242</v>
      </c>
      <c r="T10" s="50" t="s">
        <v>27</v>
      </c>
      <c r="AJ10" s="50" t="s">
        <v>28</v>
      </c>
      <c r="AK10" s="50" t="s">
        <v>27</v>
      </c>
      <c r="AL10" s="46" t="s">
        <v>29</v>
      </c>
    </row>
    <row r="11" spans="1:38">
      <c r="A11" s="148">
        <v>5</v>
      </c>
      <c r="B11" s="50" t="s">
        <v>30</v>
      </c>
      <c r="C11" s="52">
        <f>+C6*C36</f>
        <v>0</v>
      </c>
      <c r="D11" s="52">
        <f t="shared" ref="D11:H11" si="2">+D6*D36</f>
        <v>0</v>
      </c>
      <c r="E11" s="52">
        <f t="shared" si="2"/>
        <v>0</v>
      </c>
      <c r="F11" s="52">
        <f t="shared" si="2"/>
        <v>0</v>
      </c>
      <c r="G11" s="52">
        <f t="shared" si="2"/>
        <v>0</v>
      </c>
      <c r="H11" s="52">
        <f t="shared" si="2"/>
        <v>0</v>
      </c>
      <c r="I11" s="52">
        <f>SUM(C11:H11)</f>
        <v>0</v>
      </c>
      <c r="T11" s="50" t="s">
        <v>30</v>
      </c>
      <c r="AJ11" s="50" t="s">
        <v>31</v>
      </c>
      <c r="AK11" s="50" t="s">
        <v>30</v>
      </c>
    </row>
    <row r="12" spans="1:38">
      <c r="A12" s="148">
        <v>6</v>
      </c>
      <c r="B12" s="50" t="s">
        <v>32</v>
      </c>
      <c r="C12" s="52">
        <f>+C6*C37</f>
        <v>0</v>
      </c>
      <c r="D12" s="52">
        <f t="shared" ref="D12:H12" si="3">+D6*D37</f>
        <v>0</v>
      </c>
      <c r="E12" s="52">
        <f t="shared" si="3"/>
        <v>0</v>
      </c>
      <c r="F12" s="52">
        <f t="shared" si="3"/>
        <v>0</v>
      </c>
      <c r="G12" s="52">
        <f t="shared" si="3"/>
        <v>0</v>
      </c>
      <c r="H12" s="52">
        <f t="shared" si="3"/>
        <v>0</v>
      </c>
      <c r="I12" s="52">
        <f>SUM(C12:H12)</f>
        <v>0</v>
      </c>
      <c r="T12" s="50" t="s">
        <v>32</v>
      </c>
      <c r="AJ12" s="50" t="s">
        <v>33</v>
      </c>
      <c r="AK12" s="50" t="s">
        <v>32</v>
      </c>
    </row>
    <row r="13" spans="1:38">
      <c r="A13" s="148">
        <v>7</v>
      </c>
      <c r="B13" s="50" t="s">
        <v>34</v>
      </c>
      <c r="C13" s="52">
        <f>+C6*C38</f>
        <v>95200</v>
      </c>
      <c r="D13" s="52">
        <f t="shared" ref="D13:H13" si="4">+D6*D38</f>
        <v>19600</v>
      </c>
      <c r="E13" s="52">
        <f t="shared" si="4"/>
        <v>25200</v>
      </c>
      <c r="F13" s="52">
        <f t="shared" si="4"/>
        <v>95200</v>
      </c>
      <c r="G13" s="52">
        <f t="shared" si="4"/>
        <v>19600</v>
      </c>
      <c r="H13" s="52">
        <f t="shared" si="4"/>
        <v>25200</v>
      </c>
      <c r="I13" s="52">
        <f>SUM(C13:H13)</f>
        <v>280000</v>
      </c>
      <c r="T13" s="50" t="s">
        <v>34</v>
      </c>
      <c r="AJ13" s="50" t="s">
        <v>35</v>
      </c>
      <c r="AK13" s="50" t="s">
        <v>34</v>
      </c>
      <c r="AL13" s="46" t="s">
        <v>18</v>
      </c>
    </row>
    <row r="14" spans="1:38">
      <c r="A14" s="148">
        <v>8</v>
      </c>
      <c r="B14" s="53" t="s">
        <v>36</v>
      </c>
      <c r="C14" s="52">
        <f>SUM(C11:C13)</f>
        <v>95200</v>
      </c>
      <c r="D14" s="52">
        <f t="shared" ref="D14:H14" si="5">SUM(D11:D13)</f>
        <v>19600</v>
      </c>
      <c r="E14" s="52">
        <f t="shared" si="5"/>
        <v>25200</v>
      </c>
      <c r="F14" s="52">
        <f t="shared" si="5"/>
        <v>95200</v>
      </c>
      <c r="G14" s="52">
        <f t="shared" si="5"/>
        <v>19600</v>
      </c>
      <c r="H14" s="52">
        <f t="shared" si="5"/>
        <v>25200</v>
      </c>
      <c r="I14" s="52">
        <f>SUM(C14:H14)</f>
        <v>280000</v>
      </c>
      <c r="T14" s="53" t="s">
        <v>36</v>
      </c>
      <c r="AJ14" s="50" t="s">
        <v>37</v>
      </c>
      <c r="AK14" s="53" t="s">
        <v>36</v>
      </c>
    </row>
    <row r="15" spans="1:38">
      <c r="A15" s="148">
        <v>9</v>
      </c>
      <c r="B15" s="53" t="s">
        <v>38</v>
      </c>
      <c r="C15" s="52">
        <f>+C9-C10-C14</f>
        <v>613688.96518106153</v>
      </c>
      <c r="D15" s="52">
        <f t="shared" ref="D15:H15" si="6">+D9-D10-D14</f>
        <v>140665.4416501688</v>
      </c>
      <c r="E15" s="52">
        <f t="shared" si="6"/>
        <v>188677.50193450775</v>
      </c>
      <c r="F15" s="52">
        <f t="shared" si="6"/>
        <v>613688.96518106153</v>
      </c>
      <c r="G15" s="52">
        <f t="shared" si="6"/>
        <v>140665.4416501688</v>
      </c>
      <c r="H15" s="52">
        <f t="shared" si="6"/>
        <v>188677.50193450775</v>
      </c>
      <c r="I15" s="52">
        <f>SUM(C15:H15)</f>
        <v>1886063.8175314758</v>
      </c>
      <c r="T15" s="53" t="s">
        <v>38</v>
      </c>
      <c r="AJ15" s="50" t="s">
        <v>39</v>
      </c>
      <c r="AK15" s="53" t="s">
        <v>38</v>
      </c>
    </row>
    <row r="16" spans="1:38">
      <c r="A16" s="148">
        <v>10</v>
      </c>
      <c r="B16" s="50" t="s">
        <v>40</v>
      </c>
      <c r="C16" s="54">
        <f>+C15/C9</f>
        <v>0.18602178757786836</v>
      </c>
      <c r="D16" s="54">
        <f t="shared" ref="D16:H16" si="7">+D15/D9</f>
        <v>0.20710176031183433</v>
      </c>
      <c r="E16" s="54">
        <f t="shared" si="7"/>
        <v>0.21605883219102537</v>
      </c>
      <c r="F16" s="54">
        <f t="shared" si="7"/>
        <v>0.18602178757786836</v>
      </c>
      <c r="G16" s="54">
        <f t="shared" si="7"/>
        <v>0.20710176031183433</v>
      </c>
      <c r="H16" s="54">
        <f t="shared" si="7"/>
        <v>0.21605883219102537</v>
      </c>
      <c r="I16" s="54">
        <f t="shared" ref="I16" si="8">+I15/I9</f>
        <v>0.19437965179099181</v>
      </c>
      <c r="T16" s="50" t="s">
        <v>40</v>
      </c>
      <c r="AJ16" s="50" t="s">
        <v>41</v>
      </c>
      <c r="AK16" s="50" t="s">
        <v>40</v>
      </c>
    </row>
    <row r="17" spans="1:38">
      <c r="A17" s="148">
        <v>11</v>
      </c>
      <c r="B17" s="50" t="s">
        <v>42</v>
      </c>
      <c r="C17" s="52">
        <f>C6*C43+C18</f>
        <v>0</v>
      </c>
      <c r="D17" s="52">
        <f t="shared" ref="D17:H17" si="9">D6*D43+D18</f>
        <v>0</v>
      </c>
      <c r="E17" s="52">
        <f t="shared" si="9"/>
        <v>0</v>
      </c>
      <c r="F17" s="52">
        <f t="shared" si="9"/>
        <v>0</v>
      </c>
      <c r="G17" s="52">
        <f t="shared" si="9"/>
        <v>0</v>
      </c>
      <c r="H17" s="52">
        <f t="shared" si="9"/>
        <v>0</v>
      </c>
      <c r="I17" s="52">
        <f>SUM(C17:H17)</f>
        <v>0</v>
      </c>
      <c r="J17" s="67"/>
      <c r="T17" s="50" t="s">
        <v>42</v>
      </c>
      <c r="AJ17" s="50" t="s">
        <v>43</v>
      </c>
      <c r="AK17" s="50" t="s">
        <v>42</v>
      </c>
    </row>
    <row r="18" spans="1:38" s="44" customFormat="1">
      <c r="A18" s="148">
        <v>12</v>
      </c>
      <c r="B18" s="55" t="s">
        <v>144</v>
      </c>
      <c r="C18" s="56">
        <f>$I$18/$I$9*C9</f>
        <v>0</v>
      </c>
      <c r="D18" s="56">
        <f t="shared" ref="D18:H18" si="10">$I$18/$I$9*D9</f>
        <v>0</v>
      </c>
      <c r="E18" s="56">
        <f t="shared" si="10"/>
        <v>0</v>
      </c>
      <c r="F18" s="56">
        <f t="shared" si="10"/>
        <v>0</v>
      </c>
      <c r="G18" s="56">
        <f t="shared" si="10"/>
        <v>0</v>
      </c>
      <c r="H18" s="56">
        <f t="shared" si="10"/>
        <v>0</v>
      </c>
      <c r="I18" s="56">
        <f>项目投资!G26</f>
        <v>0</v>
      </c>
      <c r="J18" s="68" t="s">
        <v>145</v>
      </c>
      <c r="K18" s="68"/>
      <c r="L18" s="68"/>
    </row>
    <row r="19" spans="1:38">
      <c r="A19" s="148">
        <v>13</v>
      </c>
      <c r="B19" s="50" t="s">
        <v>44</v>
      </c>
      <c r="C19" s="52">
        <f>C6*C44</f>
        <v>71400</v>
      </c>
      <c r="D19" s="52">
        <f t="shared" ref="D19:H19" si="11">D6*D44</f>
        <v>14700.000000000002</v>
      </c>
      <c r="E19" s="52">
        <f t="shared" si="11"/>
        <v>18900</v>
      </c>
      <c r="F19" s="52">
        <f t="shared" si="11"/>
        <v>71400</v>
      </c>
      <c r="G19" s="52">
        <f t="shared" si="11"/>
        <v>14700.000000000002</v>
      </c>
      <c r="H19" s="52">
        <f t="shared" si="11"/>
        <v>18900</v>
      </c>
      <c r="I19" s="52">
        <f>SUM(C19:H19)</f>
        <v>210000</v>
      </c>
      <c r="J19" s="44"/>
      <c r="T19" s="50" t="s">
        <v>44</v>
      </c>
      <c r="AJ19" s="50" t="s">
        <v>45</v>
      </c>
      <c r="AK19" s="50" t="s">
        <v>44</v>
      </c>
      <c r="AL19" s="46" t="s">
        <v>18</v>
      </c>
    </row>
    <row r="20" spans="1:38">
      <c r="A20" s="148">
        <v>14</v>
      </c>
      <c r="B20" s="50" t="s">
        <v>46</v>
      </c>
      <c r="C20" s="52">
        <f>C6*C45</f>
        <v>98600.000000000015</v>
      </c>
      <c r="D20" s="52">
        <f t="shared" ref="D20:H20" si="12">D6*D45</f>
        <v>20300.000000000004</v>
      </c>
      <c r="E20" s="52">
        <f t="shared" si="12"/>
        <v>26100.000000000004</v>
      </c>
      <c r="F20" s="52">
        <f t="shared" si="12"/>
        <v>98600.000000000015</v>
      </c>
      <c r="G20" s="52">
        <f t="shared" si="12"/>
        <v>20300.000000000004</v>
      </c>
      <c r="H20" s="52">
        <f t="shared" si="12"/>
        <v>26100.000000000004</v>
      </c>
      <c r="I20" s="52">
        <f>SUM(C20:H20)</f>
        <v>290000.00000000006</v>
      </c>
      <c r="T20" s="50" t="s">
        <v>46</v>
      </c>
      <c r="AJ20" s="50" t="s">
        <v>47</v>
      </c>
      <c r="AK20" s="50" t="s">
        <v>46</v>
      </c>
    </row>
    <row r="21" spans="1:38">
      <c r="A21" s="148">
        <v>15</v>
      </c>
      <c r="B21" s="50" t="s">
        <v>48</v>
      </c>
      <c r="C21" s="57">
        <f>$I$21/$I$6*C6</f>
        <v>0</v>
      </c>
      <c r="D21" s="57">
        <f>$I$21/$I$6*D6</f>
        <v>0</v>
      </c>
      <c r="E21" s="57">
        <f>$I$21/$I$6*E6</f>
        <v>0</v>
      </c>
      <c r="F21" s="57">
        <f>$I$21/$I$6*F6</f>
        <v>0</v>
      </c>
      <c r="G21" s="57">
        <f>$I$21/$I$6*G6</f>
        <v>0</v>
      </c>
      <c r="H21" s="57">
        <f>$I$21/$I$6*H6</f>
        <v>0</v>
      </c>
      <c r="I21" s="52">
        <f>项目投资!D27</f>
        <v>0</v>
      </c>
      <c r="T21" s="50" t="s">
        <v>48</v>
      </c>
      <c r="AJ21" s="50"/>
      <c r="AK21" s="50"/>
    </row>
    <row r="22" spans="1:38">
      <c r="A22" s="148">
        <v>16</v>
      </c>
      <c r="B22" s="50" t="s">
        <v>49</v>
      </c>
      <c r="C22" s="52">
        <f>C6*C47</f>
        <v>72420</v>
      </c>
      <c r="D22" s="52">
        <f t="shared" ref="D22:H22" si="13">D6*D47</f>
        <v>14909.999999999998</v>
      </c>
      <c r="E22" s="52">
        <f t="shared" si="13"/>
        <v>19170</v>
      </c>
      <c r="F22" s="52">
        <f t="shared" si="13"/>
        <v>72420</v>
      </c>
      <c r="G22" s="52">
        <f t="shared" si="13"/>
        <v>14909.999999999998</v>
      </c>
      <c r="H22" s="52">
        <f t="shared" si="13"/>
        <v>19170</v>
      </c>
      <c r="I22" s="52">
        <f>SUM(C22:H22)</f>
        <v>213000</v>
      </c>
      <c r="T22" s="50" t="s">
        <v>49</v>
      </c>
      <c r="AJ22" s="50" t="s">
        <v>50</v>
      </c>
      <c r="AK22" s="50" t="s">
        <v>49</v>
      </c>
    </row>
    <row r="23" spans="1:38">
      <c r="A23" s="148">
        <v>17</v>
      </c>
      <c r="B23" s="53" t="s">
        <v>51</v>
      </c>
      <c r="C23" s="57">
        <f>+C22+C21+C20+C19+C17</f>
        <v>242420</v>
      </c>
      <c r="D23" s="57">
        <f t="shared" ref="D23:H23" si="14">+D22+D21+D20+D19+D17</f>
        <v>49910</v>
      </c>
      <c r="E23" s="57">
        <f t="shared" si="14"/>
        <v>64170</v>
      </c>
      <c r="F23" s="57">
        <f t="shared" si="14"/>
        <v>242420</v>
      </c>
      <c r="G23" s="57">
        <f t="shared" si="14"/>
        <v>49910</v>
      </c>
      <c r="H23" s="57">
        <f t="shared" si="14"/>
        <v>64170</v>
      </c>
      <c r="I23" s="57">
        <f t="shared" ref="I23" si="15">+I22+I21+I20+I19+I17</f>
        <v>713000</v>
      </c>
      <c r="T23" s="53" t="s">
        <v>51</v>
      </c>
      <c r="AJ23" s="50" t="s">
        <v>52</v>
      </c>
      <c r="AK23" s="53" t="s">
        <v>51</v>
      </c>
    </row>
    <row r="24" spans="1:38">
      <c r="A24" s="148">
        <v>18</v>
      </c>
      <c r="B24" s="58" t="s">
        <v>53</v>
      </c>
      <c r="C24" s="57">
        <f>+C15-C23</f>
        <v>371268.96518106153</v>
      </c>
      <c r="D24" s="57">
        <f t="shared" ref="D24:H24" si="16">+D15-D23</f>
        <v>90755.441650168796</v>
      </c>
      <c r="E24" s="57">
        <f t="shared" si="16"/>
        <v>124507.50193450775</v>
      </c>
      <c r="F24" s="57">
        <f t="shared" si="16"/>
        <v>371268.96518106153</v>
      </c>
      <c r="G24" s="57">
        <f t="shared" si="16"/>
        <v>90755.441650168796</v>
      </c>
      <c r="H24" s="57">
        <f t="shared" si="16"/>
        <v>124507.50193450775</v>
      </c>
      <c r="I24" s="57">
        <f t="shared" ref="I24" si="17">+I15-I23</f>
        <v>1173063.8175314758</v>
      </c>
      <c r="K24" s="69"/>
      <c r="T24" s="50" t="s">
        <v>53</v>
      </c>
      <c r="AJ24" s="50" t="s">
        <v>54</v>
      </c>
      <c r="AK24" s="50" t="s">
        <v>53</v>
      </c>
    </row>
    <row r="25" spans="1:38">
      <c r="A25" s="148">
        <v>19</v>
      </c>
      <c r="B25" s="50" t="s">
        <v>146</v>
      </c>
      <c r="C25" s="57">
        <f>IF(C24&lt;0,0,C24*0.15)</f>
        <v>55690.344777159225</v>
      </c>
      <c r="D25" s="57">
        <f t="shared" ref="D25:H25" si="18">IF(D24&lt;0,0,D24*0.15)</f>
        <v>13613.316247525319</v>
      </c>
      <c r="E25" s="57">
        <f t="shared" si="18"/>
        <v>18676.125290176162</v>
      </c>
      <c r="F25" s="57">
        <f t="shared" si="18"/>
        <v>55690.344777159225</v>
      </c>
      <c r="G25" s="57">
        <f t="shared" si="18"/>
        <v>13613.316247525319</v>
      </c>
      <c r="H25" s="57">
        <f t="shared" si="18"/>
        <v>18676.125290176162</v>
      </c>
      <c r="I25" s="57">
        <f>IF(I24&lt;0,0,I24*0.15)</f>
        <v>175959.57262972137</v>
      </c>
      <c r="J25" s="65"/>
      <c r="K25" s="65"/>
      <c r="L25" s="65"/>
      <c r="T25" s="50" t="s">
        <v>55</v>
      </c>
      <c r="AJ25" s="50" t="s">
        <v>56</v>
      </c>
      <c r="AK25" s="50" t="s">
        <v>55</v>
      </c>
    </row>
    <row r="26" spans="1:38">
      <c r="A26" s="148">
        <v>20</v>
      </c>
      <c r="B26" s="50" t="s">
        <v>57</v>
      </c>
      <c r="C26" s="57">
        <f t="shared" ref="C26:H26" si="19">C24-C25</f>
        <v>315578.62040390231</v>
      </c>
      <c r="D26" s="57">
        <f t="shared" si="19"/>
        <v>77142.125402643476</v>
      </c>
      <c r="E26" s="57">
        <f t="shared" si="19"/>
        <v>105831.37664433158</v>
      </c>
      <c r="F26" s="57">
        <f t="shared" si="19"/>
        <v>315578.62040390231</v>
      </c>
      <c r="G26" s="57">
        <f t="shared" si="19"/>
        <v>77142.125402643476</v>
      </c>
      <c r="H26" s="57">
        <f t="shared" si="19"/>
        <v>105831.37664433158</v>
      </c>
      <c r="I26" s="52">
        <f>I24-I25</f>
        <v>997104.24490175443</v>
      </c>
      <c r="J26" s="65"/>
      <c r="K26" s="65"/>
      <c r="L26" s="65"/>
      <c r="T26" s="50" t="s">
        <v>57</v>
      </c>
      <c r="AJ26" s="50" t="s">
        <v>58</v>
      </c>
      <c r="AK26" s="50" t="s">
        <v>57</v>
      </c>
    </row>
    <row r="27" spans="1:38">
      <c r="A27" s="148">
        <v>21</v>
      </c>
      <c r="B27" s="50" t="s">
        <v>61</v>
      </c>
      <c r="C27" s="59">
        <f t="shared" ref="C27:I27" si="20">C26/C7</f>
        <v>9.281724129526539E-2</v>
      </c>
      <c r="D27" s="59">
        <f t="shared" ref="D27:H27" si="21">D26/D7</f>
        <v>0.11020303628949069</v>
      </c>
      <c r="E27" s="59">
        <f t="shared" si="21"/>
        <v>0.11759041849370176</v>
      </c>
      <c r="F27" s="59">
        <f t="shared" si="21"/>
        <v>9.281724129526539E-2</v>
      </c>
      <c r="G27" s="59">
        <f t="shared" si="21"/>
        <v>0.11020303628949069</v>
      </c>
      <c r="H27" s="59">
        <f t="shared" si="21"/>
        <v>0.11759041849370176</v>
      </c>
      <c r="I27" s="59">
        <f t="shared" si="20"/>
        <v>9.9710424490175448E-2</v>
      </c>
      <c r="J27" s="65"/>
      <c r="K27" s="65"/>
      <c r="L27" s="65"/>
      <c r="T27" s="50" t="s">
        <v>61</v>
      </c>
      <c r="AJ27" s="50" t="s">
        <v>60</v>
      </c>
      <c r="AK27" s="50" t="s">
        <v>61</v>
      </c>
    </row>
    <row r="28" spans="1:38">
      <c r="J28" s="65"/>
      <c r="K28" s="65"/>
      <c r="L28" s="65"/>
      <c r="T28" s="50"/>
    </row>
    <row r="29" spans="1:38">
      <c r="A29" s="46" t="s">
        <v>62</v>
      </c>
      <c r="I29" s="47" t="s">
        <v>147</v>
      </c>
      <c r="J29" s="65"/>
      <c r="K29" s="65"/>
      <c r="L29" s="65"/>
      <c r="T29" s="50"/>
      <c r="AJ29" s="46" t="s">
        <v>62</v>
      </c>
    </row>
    <row r="30" spans="1:38">
      <c r="A30" s="50" t="s">
        <v>63</v>
      </c>
      <c r="B30" s="53" t="s">
        <v>64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64</v>
      </c>
      <c r="AJ30" s="50" t="s">
        <v>65</v>
      </c>
      <c r="AK30" s="53" t="s">
        <v>64</v>
      </c>
    </row>
    <row r="31" spans="1:38">
      <c r="A31" s="148">
        <v>1</v>
      </c>
      <c r="B31" s="55" t="s">
        <v>66</v>
      </c>
      <c r="C31" s="61">
        <f>销量!C8</f>
        <v>85</v>
      </c>
      <c r="D31" s="61">
        <f>销量!D8</f>
        <v>35</v>
      </c>
      <c r="E31" s="61">
        <f>销量!E8</f>
        <v>45</v>
      </c>
      <c r="F31" s="61">
        <f>销量!F8</f>
        <v>85</v>
      </c>
      <c r="G31" s="61">
        <f>销量!G8</f>
        <v>35</v>
      </c>
      <c r="H31" s="61">
        <f>销量!H8</f>
        <v>45</v>
      </c>
      <c r="I31" s="57"/>
      <c r="J31" s="65"/>
      <c r="K31" s="65"/>
      <c r="L31" s="65"/>
      <c r="N31" s="65"/>
      <c r="T31" s="50" t="s">
        <v>66</v>
      </c>
      <c r="AJ31" s="50" t="s">
        <v>20</v>
      </c>
      <c r="AK31" s="50" t="s">
        <v>66</v>
      </c>
    </row>
    <row r="32" spans="1:38">
      <c r="A32" s="148">
        <v>2</v>
      </c>
      <c r="B32" s="50" t="s">
        <v>148</v>
      </c>
      <c r="C32" s="52">
        <f>C9/C6</f>
        <v>82.475414999999998</v>
      </c>
      <c r="D32" s="52">
        <f t="shared" ref="D32:H32" si="22">D9/D6</f>
        <v>33.960464999999999</v>
      </c>
      <c r="E32" s="52">
        <f t="shared" si="22"/>
        <v>43.663454999999999</v>
      </c>
      <c r="F32" s="52">
        <f t="shared" si="22"/>
        <v>82.475414999999998</v>
      </c>
      <c r="G32" s="52">
        <f t="shared" si="22"/>
        <v>33.960464999999999</v>
      </c>
      <c r="H32" s="52">
        <f t="shared" si="22"/>
        <v>43.663454999999999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8">
        <v>3</v>
      </c>
      <c r="B33" s="55" t="s">
        <v>67</v>
      </c>
      <c r="C33" s="52">
        <f>材料成本!H19</f>
        <v>64.75319087047346</v>
      </c>
      <c r="D33" s="52">
        <f>材料成本!H20</f>
        <v>25.947192917491563</v>
      </c>
      <c r="E33" s="52">
        <f>材料成本!H21</f>
        <v>32.969579903274614</v>
      </c>
      <c r="F33" s="52">
        <f>材料成本!H22</f>
        <v>64.75319087047346</v>
      </c>
      <c r="G33" s="52">
        <f>材料成本!H23</f>
        <v>25.947192917491563</v>
      </c>
      <c r="H33" s="52">
        <f>材料成本!H24</f>
        <v>32.969579903274614</v>
      </c>
      <c r="I33" s="57"/>
      <c r="K33" s="65"/>
      <c r="L33" s="65"/>
      <c r="M33" s="65"/>
      <c r="N33" s="65"/>
      <c r="O33" s="65"/>
      <c r="P33" s="65"/>
      <c r="T33" s="50" t="s">
        <v>67</v>
      </c>
      <c r="AJ33" s="50" t="s">
        <v>22</v>
      </c>
      <c r="AK33" s="50" t="s">
        <v>67</v>
      </c>
    </row>
    <row r="34" spans="1:37" ht="17.25" customHeight="1">
      <c r="A34" s="148">
        <v>4</v>
      </c>
      <c r="B34" s="50" t="s">
        <v>69</v>
      </c>
      <c r="C34" s="62">
        <f>C32-C33</f>
        <v>17.722224129526538</v>
      </c>
      <c r="D34" s="62">
        <f t="shared" ref="D34:H34" si="23">D32-D33</f>
        <v>8.0132720825084363</v>
      </c>
      <c r="E34" s="62">
        <f t="shared" si="23"/>
        <v>10.693875096725385</v>
      </c>
      <c r="F34" s="62">
        <f t="shared" si="23"/>
        <v>17.722224129526538</v>
      </c>
      <c r="G34" s="62">
        <f t="shared" si="23"/>
        <v>8.0132720825084363</v>
      </c>
      <c r="H34" s="62">
        <f t="shared" si="23"/>
        <v>10.693875096725385</v>
      </c>
      <c r="I34" s="57"/>
      <c r="K34" s="65"/>
      <c r="L34" s="65"/>
      <c r="M34" s="65"/>
      <c r="N34" s="65"/>
      <c r="O34" s="65"/>
      <c r="P34" s="65"/>
      <c r="T34" s="50" t="s">
        <v>69</v>
      </c>
      <c r="AJ34" s="50" t="s">
        <v>68</v>
      </c>
      <c r="AK34" s="50" t="s">
        <v>69</v>
      </c>
    </row>
    <row r="35" spans="1:37">
      <c r="A35" s="50" t="s">
        <v>65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71</v>
      </c>
      <c r="AK35" s="53" t="s">
        <v>8</v>
      </c>
    </row>
    <row r="36" spans="1:37">
      <c r="A36" s="148">
        <v>1</v>
      </c>
      <c r="B36" s="50" t="s">
        <v>72</v>
      </c>
      <c r="C36" s="56">
        <f>'2023年'!C36</f>
        <v>0</v>
      </c>
      <c r="D36" s="56">
        <f>'2023年'!D36</f>
        <v>0</v>
      </c>
      <c r="E36" s="56">
        <f>'2023年'!H36</f>
        <v>0</v>
      </c>
      <c r="F36" s="56">
        <f>'2024年'!F36</f>
        <v>0</v>
      </c>
      <c r="G36" s="56">
        <f>'2024年'!G36</f>
        <v>0</v>
      </c>
      <c r="H36" s="56">
        <f>'2024年'!H36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72</v>
      </c>
      <c r="AJ36" s="50" t="s">
        <v>68</v>
      </c>
      <c r="AK36" s="50" t="s">
        <v>72</v>
      </c>
    </row>
    <row r="37" spans="1:37">
      <c r="A37" s="148">
        <v>2</v>
      </c>
      <c r="B37" s="50" t="s">
        <v>73</v>
      </c>
      <c r="C37" s="56">
        <f>'2023年'!C37</f>
        <v>0</v>
      </c>
      <c r="D37" s="56">
        <f>'2023年'!D37</f>
        <v>0</v>
      </c>
      <c r="E37" s="56">
        <f>'2023年'!H37</f>
        <v>0</v>
      </c>
      <c r="F37" s="56">
        <f>'2024年'!F37</f>
        <v>0</v>
      </c>
      <c r="G37" s="56">
        <f>'2024年'!G37</f>
        <v>0</v>
      </c>
      <c r="H37" s="56">
        <f>'2024年'!H37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73</v>
      </c>
      <c r="AJ37" s="50" t="s">
        <v>25</v>
      </c>
      <c r="AK37" s="50" t="s">
        <v>73</v>
      </c>
    </row>
    <row r="38" spans="1:37">
      <c r="A38" s="148">
        <v>3</v>
      </c>
      <c r="B38" s="50" t="s">
        <v>74</v>
      </c>
      <c r="C38" s="56">
        <f>'2023年'!C38</f>
        <v>2.38</v>
      </c>
      <c r="D38" s="56">
        <f>'2023年'!D38</f>
        <v>0.98</v>
      </c>
      <c r="E38" s="56">
        <f>'2023年'!H38</f>
        <v>1.26</v>
      </c>
      <c r="F38" s="56">
        <f>'2024年'!F38</f>
        <v>2.38</v>
      </c>
      <c r="G38" s="56">
        <f>'2024年'!G38</f>
        <v>0.98</v>
      </c>
      <c r="H38" s="56">
        <f>'2024年'!H38</f>
        <v>1.26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74</v>
      </c>
      <c r="AJ38" s="50" t="s">
        <v>31</v>
      </c>
      <c r="AK38" s="50" t="s">
        <v>74</v>
      </c>
    </row>
    <row r="39" spans="1:37">
      <c r="A39" s="50" t="s">
        <v>71</v>
      </c>
      <c r="B39" s="53" t="s">
        <v>76</v>
      </c>
      <c r="C39" s="57"/>
      <c r="D39" s="57"/>
      <c r="E39" s="57"/>
      <c r="F39" s="57"/>
      <c r="G39" s="57"/>
      <c r="H39" s="57"/>
      <c r="I39" s="57"/>
      <c r="T39" s="53" t="s">
        <v>76</v>
      </c>
      <c r="AJ39" s="50" t="s">
        <v>75</v>
      </c>
      <c r="AK39" s="53" t="s">
        <v>76</v>
      </c>
    </row>
    <row r="40" spans="1:37">
      <c r="A40" s="148">
        <v>1</v>
      </c>
      <c r="B40" s="50" t="s">
        <v>78</v>
      </c>
      <c r="C40" s="57">
        <f>C34-C36-C37-C38</f>
        <v>15.342224129526539</v>
      </c>
      <c r="D40" s="57">
        <f t="shared" ref="D40:H40" si="24">D34-D36-D37-D38</f>
        <v>7.0332720825084358</v>
      </c>
      <c r="E40" s="57">
        <f t="shared" si="24"/>
        <v>9.4338750967253855</v>
      </c>
      <c r="F40" s="57">
        <f t="shared" si="24"/>
        <v>15.342224129526539</v>
      </c>
      <c r="G40" s="57">
        <f t="shared" si="24"/>
        <v>7.0332720825084358</v>
      </c>
      <c r="H40" s="57">
        <f t="shared" si="24"/>
        <v>9.4338750967253855</v>
      </c>
      <c r="I40" s="57"/>
      <c r="T40" s="50" t="s">
        <v>78</v>
      </c>
      <c r="AJ40" s="50" t="s">
        <v>20</v>
      </c>
      <c r="AK40" s="50" t="s">
        <v>78</v>
      </c>
    </row>
    <row r="41" spans="1:37">
      <c r="A41" s="148">
        <v>2</v>
      </c>
      <c r="B41" s="50" t="s">
        <v>79</v>
      </c>
      <c r="C41" s="57"/>
      <c r="D41" s="57"/>
      <c r="E41" s="57"/>
      <c r="F41" s="57"/>
      <c r="G41" s="57"/>
      <c r="H41" s="57"/>
      <c r="I41" s="57"/>
      <c r="T41" s="50" t="s">
        <v>79</v>
      </c>
      <c r="AJ41" s="50" t="s">
        <v>22</v>
      </c>
      <c r="AK41" s="50" t="s">
        <v>79</v>
      </c>
    </row>
    <row r="42" spans="1:37">
      <c r="A42" s="50" t="s">
        <v>75</v>
      </c>
      <c r="B42" s="53" t="s">
        <v>81</v>
      </c>
      <c r="C42" s="57"/>
      <c r="D42" s="57"/>
      <c r="E42" s="57"/>
      <c r="F42" s="57"/>
      <c r="G42" s="57"/>
      <c r="H42" s="57"/>
      <c r="I42" s="57"/>
      <c r="T42" s="53" t="s">
        <v>81</v>
      </c>
      <c r="AJ42" s="50" t="s">
        <v>80</v>
      </c>
      <c r="AK42" s="53" t="s">
        <v>81</v>
      </c>
    </row>
    <row r="43" spans="1:37">
      <c r="A43" s="148">
        <v>1</v>
      </c>
      <c r="B43" s="58" t="s">
        <v>82</v>
      </c>
      <c r="C43" s="56">
        <f>'2023年'!C43</f>
        <v>0</v>
      </c>
      <c r="D43" s="56">
        <f>'2023年'!D43</f>
        <v>0</v>
      </c>
      <c r="E43" s="56">
        <f>'2023年'!H43</f>
        <v>0</v>
      </c>
      <c r="F43" s="56">
        <f>'2024年'!F43</f>
        <v>0</v>
      </c>
      <c r="G43" s="56">
        <f>'2024年'!G43</f>
        <v>0</v>
      </c>
      <c r="H43" s="56">
        <f>'2024年'!H43</f>
        <v>0</v>
      </c>
      <c r="I43" s="57"/>
      <c r="T43" s="50" t="s">
        <v>82</v>
      </c>
      <c r="AJ43" s="50" t="s">
        <v>20</v>
      </c>
      <c r="AK43" s="50" t="s">
        <v>82</v>
      </c>
    </row>
    <row r="44" spans="1:37">
      <c r="A44" s="148">
        <v>2</v>
      </c>
      <c r="B44" s="58" t="s">
        <v>83</v>
      </c>
      <c r="C44" s="56">
        <f>'2023年'!C44</f>
        <v>1.7850000000000001</v>
      </c>
      <c r="D44" s="56">
        <f>'2023年'!D44</f>
        <v>0.7350000000000001</v>
      </c>
      <c r="E44" s="56">
        <f>'2023年'!H44</f>
        <v>0.94500000000000006</v>
      </c>
      <c r="F44" s="56">
        <f>'2024年'!F44</f>
        <v>1.7850000000000001</v>
      </c>
      <c r="G44" s="56">
        <f>'2024年'!G44</f>
        <v>0.7350000000000001</v>
      </c>
      <c r="H44" s="56">
        <f>'2024年'!H44</f>
        <v>0.94500000000000006</v>
      </c>
      <c r="I44" s="57"/>
      <c r="T44" s="50" t="s">
        <v>83</v>
      </c>
      <c r="AJ44" s="50" t="s">
        <v>22</v>
      </c>
      <c r="AK44" s="50" t="s">
        <v>83</v>
      </c>
    </row>
    <row r="45" spans="1:37">
      <c r="A45" s="148">
        <v>3</v>
      </c>
      <c r="B45" s="58" t="s">
        <v>84</v>
      </c>
      <c r="C45" s="56">
        <f>'2023年'!C45</f>
        <v>2.4650000000000003</v>
      </c>
      <c r="D45" s="56">
        <f>'2023年'!D45</f>
        <v>1.0150000000000001</v>
      </c>
      <c r="E45" s="56">
        <f>'2023年'!H45</f>
        <v>1.3050000000000002</v>
      </c>
      <c r="F45" s="56">
        <f>'2024年'!F45</f>
        <v>2.4650000000000003</v>
      </c>
      <c r="G45" s="56">
        <f>'2024年'!G45</f>
        <v>1.0150000000000001</v>
      </c>
      <c r="H45" s="56">
        <f>'2024年'!H45</f>
        <v>1.3050000000000002</v>
      </c>
      <c r="I45" s="57"/>
      <c r="T45" s="50" t="s">
        <v>84</v>
      </c>
      <c r="AJ45" s="50" t="s">
        <v>68</v>
      </c>
      <c r="AK45" s="50" t="s">
        <v>84</v>
      </c>
    </row>
    <row r="46" spans="1:37" s="45" customFormat="1">
      <c r="A46" s="148">
        <v>4</v>
      </c>
      <c r="B46" s="58" t="s">
        <v>85</v>
      </c>
      <c r="C46" s="63">
        <f>C21/C6</f>
        <v>0</v>
      </c>
      <c r="D46" s="63">
        <f t="shared" ref="D46:H46" si="25">D21/D6</f>
        <v>0</v>
      </c>
      <c r="E46" s="63">
        <f t="shared" si="25"/>
        <v>0</v>
      </c>
      <c r="F46" s="63">
        <f t="shared" si="25"/>
        <v>0</v>
      </c>
      <c r="G46" s="63">
        <f t="shared" si="25"/>
        <v>0</v>
      </c>
      <c r="H46" s="63">
        <f t="shared" si="25"/>
        <v>0</v>
      </c>
      <c r="I46" s="63"/>
      <c r="T46" s="58" t="s">
        <v>87</v>
      </c>
      <c r="AJ46" s="58" t="s">
        <v>28</v>
      </c>
      <c r="AK46" s="58" t="s">
        <v>87</v>
      </c>
    </row>
    <row r="47" spans="1:37" s="45" customFormat="1">
      <c r="A47" s="148">
        <v>5</v>
      </c>
      <c r="B47" s="58" t="s">
        <v>87</v>
      </c>
      <c r="C47" s="63">
        <f>'2023年'!C47</f>
        <v>1.8105</v>
      </c>
      <c r="D47" s="63">
        <f>'2023年'!D47</f>
        <v>0.74549999999999994</v>
      </c>
      <c r="E47" s="63">
        <f>'2023年'!H47</f>
        <v>0.95850000000000002</v>
      </c>
      <c r="F47" s="63">
        <f>'2024年'!F47</f>
        <v>1.8105</v>
      </c>
      <c r="G47" s="63">
        <f>'2024年'!G47</f>
        <v>0.74549999999999994</v>
      </c>
      <c r="H47" s="63">
        <f>'2024年'!H47</f>
        <v>0.95850000000000002</v>
      </c>
      <c r="I47" s="63"/>
      <c r="T47" s="58" t="s">
        <v>87</v>
      </c>
      <c r="AJ47" s="58" t="s">
        <v>28</v>
      </c>
      <c r="AK47" s="58" t="s">
        <v>87</v>
      </c>
    </row>
    <row r="48" spans="1:37">
      <c r="A48" s="50" t="s">
        <v>80</v>
      </c>
      <c r="B48" s="53" t="s">
        <v>98</v>
      </c>
      <c r="C48" s="57">
        <f>C40-C43-C44-C45-C47-C46</f>
        <v>9.2817241295265394</v>
      </c>
      <c r="D48" s="57">
        <f t="shared" ref="D48:H48" si="26">D40-D43-D44-D45-D47-D46</f>
        <v>4.537772082508436</v>
      </c>
      <c r="E48" s="57">
        <f t="shared" si="26"/>
        <v>6.2253750967253856</v>
      </c>
      <c r="F48" s="57">
        <f t="shared" si="26"/>
        <v>9.2817241295265394</v>
      </c>
      <c r="G48" s="57">
        <f t="shared" si="26"/>
        <v>4.537772082508436</v>
      </c>
      <c r="H48" s="57">
        <f t="shared" si="26"/>
        <v>6.2253750967253856</v>
      </c>
      <c r="I48" s="57"/>
      <c r="T48" s="53" t="s">
        <v>98</v>
      </c>
      <c r="AJ48" s="50" t="s">
        <v>97</v>
      </c>
      <c r="AK48" s="53" t="s">
        <v>98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I19" sqref="I19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20" t="s">
        <v>138</v>
      </c>
      <c r="B1" s="220"/>
      <c r="C1" s="224" t="s">
        <v>237</v>
      </c>
      <c r="D1" s="225"/>
      <c r="E1" s="225"/>
      <c r="F1" s="225"/>
      <c r="G1" s="225"/>
      <c r="H1" s="225"/>
      <c r="I1" s="226"/>
    </row>
    <row r="2" spans="1:38">
      <c r="A2" s="220" t="s">
        <v>139</v>
      </c>
      <c r="B2" s="220"/>
      <c r="C2" s="227" t="str">
        <f>'2023年'!C2:I2</f>
        <v>北汽</v>
      </c>
      <c r="D2" s="227"/>
      <c r="E2" s="227"/>
      <c r="F2" s="227"/>
      <c r="G2" s="227"/>
      <c r="H2" s="227"/>
      <c r="I2" s="227"/>
    </row>
    <row r="3" spans="1:38" ht="42.75">
      <c r="A3" s="220" t="s">
        <v>140</v>
      </c>
      <c r="B3" s="220"/>
      <c r="C3" s="149" t="str">
        <f>'2023年'!C3</f>
        <v>左后盖 ABDECKUNG LI FHS2500 CHN</v>
      </c>
      <c r="D3" s="185" t="str">
        <f>'2023年'!D3</f>
        <v>左后盖装饰盖 ABDECKUNG UT LI CHN</v>
      </c>
      <c r="E3" s="185" t="str">
        <f>'2023年'!E3</f>
        <v>左后盖装饰盖 ABDECKUNG UT LI CHN</v>
      </c>
      <c r="F3" s="185" t="str">
        <f>'2023年'!F3</f>
        <v>右后盖 ABDECKUNG RE FHS2500 CHN</v>
      </c>
      <c r="G3" s="185" t="str">
        <f>'2023年'!G3</f>
        <v>右后盖装饰盖 ABDECKUNG UT RE CHN</v>
      </c>
      <c r="H3" s="185" t="str">
        <f>'2023年'!H3</f>
        <v>右后盖装饰盖 ABDECKUNG UT RE CHN</v>
      </c>
      <c r="I3" s="221" t="s">
        <v>16</v>
      </c>
    </row>
    <row r="4" spans="1:38">
      <c r="A4" s="220" t="s">
        <v>141</v>
      </c>
      <c r="B4" s="220"/>
      <c r="C4" s="149" t="str">
        <f>'2023年'!C4</f>
        <v>A9608118007-2</v>
      </c>
      <c r="D4" s="149" t="str">
        <f>'2023年'!D4</f>
        <v>A9608118207-2</v>
      </c>
      <c r="E4" s="149" t="str">
        <f>'2023年'!E4</f>
        <v>A9608118207-3</v>
      </c>
      <c r="F4" s="149" t="str">
        <f>'2023年'!F4</f>
        <v>A9608118107-2</v>
      </c>
      <c r="G4" s="149" t="str">
        <f>'2023年'!G4</f>
        <v>A9608118307-2</v>
      </c>
      <c r="H4" s="149" t="str">
        <f>'2023年'!H4</f>
        <v>A9608118307-3</v>
      </c>
      <c r="I4" s="222"/>
    </row>
    <row r="5" spans="1:38">
      <c r="A5" s="220" t="s">
        <v>142</v>
      </c>
      <c r="B5" s="220"/>
      <c r="C5" s="49"/>
      <c r="D5" s="182"/>
      <c r="E5" s="182"/>
      <c r="F5" s="182"/>
      <c r="G5" s="182"/>
      <c r="H5" s="182"/>
      <c r="I5" s="223"/>
      <c r="AL5" s="46" t="s">
        <v>17</v>
      </c>
    </row>
    <row r="6" spans="1:38" ht="17.25">
      <c r="A6" s="50" t="s">
        <v>15</v>
      </c>
      <c r="B6" s="51" t="s">
        <v>143</v>
      </c>
      <c r="C6" s="21">
        <f>销量!C13</f>
        <v>40000</v>
      </c>
      <c r="D6" s="21">
        <f>销量!D13</f>
        <v>20000</v>
      </c>
      <c r="E6" s="21">
        <f>销量!E13</f>
        <v>20000</v>
      </c>
      <c r="F6" s="21">
        <f>销量!F13</f>
        <v>40000</v>
      </c>
      <c r="G6" s="21">
        <f>销量!G13</f>
        <v>20000</v>
      </c>
      <c r="H6" s="21">
        <f>销量!H13</f>
        <v>20000</v>
      </c>
      <c r="I6" s="52">
        <f>SUM(C6:H6)</f>
        <v>160000</v>
      </c>
      <c r="T6" s="51" t="s">
        <v>3</v>
      </c>
      <c r="AJ6" s="50" t="s">
        <v>15</v>
      </c>
      <c r="AK6" s="51" t="s">
        <v>3</v>
      </c>
      <c r="AL6" s="46" t="s">
        <v>18</v>
      </c>
    </row>
    <row r="7" spans="1:38">
      <c r="A7" s="164">
        <v>1</v>
      </c>
      <c r="B7" s="51" t="s">
        <v>19</v>
      </c>
      <c r="C7" s="52">
        <f>C6*销量!C8</f>
        <v>3400000</v>
      </c>
      <c r="D7" s="52">
        <f>D6*销量!D8</f>
        <v>700000</v>
      </c>
      <c r="E7" s="52">
        <f>E6*销量!E8</f>
        <v>900000</v>
      </c>
      <c r="F7" s="52">
        <f>F6*销量!F8</f>
        <v>3400000</v>
      </c>
      <c r="G7" s="52">
        <f>G6*销量!G8</f>
        <v>700000</v>
      </c>
      <c r="H7" s="52">
        <f>H6*销量!H8</f>
        <v>900000</v>
      </c>
      <c r="I7" s="52">
        <f>SUM(C7:H7)</f>
        <v>10000000</v>
      </c>
      <c r="J7" s="47"/>
      <c r="T7" s="51" t="s">
        <v>19</v>
      </c>
      <c r="AJ7" s="50" t="s">
        <v>20</v>
      </c>
      <c r="AK7" s="51" t="s">
        <v>19</v>
      </c>
      <c r="AL7" s="46" t="s">
        <v>18</v>
      </c>
    </row>
    <row r="8" spans="1:38">
      <c r="A8" s="164">
        <v>2</v>
      </c>
      <c r="B8" s="164" t="s">
        <v>21</v>
      </c>
      <c r="C8" s="52">
        <f>C7*(1-销量!$M$10)</f>
        <v>100983.39999999992</v>
      </c>
      <c r="D8" s="52">
        <f>D7*(1-销量!$M$10)</f>
        <v>20790.699999999983</v>
      </c>
      <c r="E8" s="52">
        <f>E7*(1-销量!$M$10)</f>
        <v>26730.89999999998</v>
      </c>
      <c r="F8" s="52">
        <f>F7*(1-销量!$M$10)</f>
        <v>100983.39999999992</v>
      </c>
      <c r="G8" s="52">
        <f>G7*(1-销量!$M$10)</f>
        <v>20790.699999999983</v>
      </c>
      <c r="H8" s="52">
        <f>H7*(1-销量!$M$10)</f>
        <v>26730.89999999998</v>
      </c>
      <c r="I8" s="52">
        <f>SUM(C8:H8)</f>
        <v>297009.99999999971</v>
      </c>
      <c r="J8" s="67"/>
      <c r="T8" s="164" t="s">
        <v>23</v>
      </c>
      <c r="AJ8" s="50" t="s">
        <v>22</v>
      </c>
      <c r="AK8" s="164" t="s">
        <v>23</v>
      </c>
      <c r="AL8" s="46" t="s">
        <v>18</v>
      </c>
    </row>
    <row r="9" spans="1:38">
      <c r="A9" s="164">
        <v>3</v>
      </c>
      <c r="B9" s="51" t="s">
        <v>24</v>
      </c>
      <c r="C9" s="52">
        <f>+C7-C8</f>
        <v>3299016.6</v>
      </c>
      <c r="D9" s="52">
        <f t="shared" ref="D9:H9" si="0">+D7-D8</f>
        <v>679209.3</v>
      </c>
      <c r="E9" s="52">
        <f t="shared" si="0"/>
        <v>873269.1</v>
      </c>
      <c r="F9" s="52">
        <f t="shared" si="0"/>
        <v>3299016.6</v>
      </c>
      <c r="G9" s="52">
        <f t="shared" si="0"/>
        <v>679209.3</v>
      </c>
      <c r="H9" s="52">
        <f t="shared" si="0"/>
        <v>873269.1</v>
      </c>
      <c r="I9" s="52">
        <f>SUM(C9:H9)</f>
        <v>9702990</v>
      </c>
      <c r="T9" s="51" t="s">
        <v>24</v>
      </c>
      <c r="AJ9" s="50" t="s">
        <v>25</v>
      </c>
      <c r="AK9" s="51" t="s">
        <v>24</v>
      </c>
      <c r="AL9" s="46" t="s">
        <v>26</v>
      </c>
    </row>
    <row r="10" spans="1:38">
      <c r="A10" s="164">
        <v>4</v>
      </c>
      <c r="B10" s="50" t="s">
        <v>27</v>
      </c>
      <c r="C10" s="52">
        <f>C6*C33</f>
        <v>2513198.2539371811</v>
      </c>
      <c r="D10" s="52">
        <f t="shared" ref="D10:H10" si="1">D6*D33</f>
        <v>503530.70681298291</v>
      </c>
      <c r="E10" s="52">
        <f t="shared" si="1"/>
        <v>639807.00821134914</v>
      </c>
      <c r="F10" s="52">
        <f t="shared" si="1"/>
        <v>2513198.2539371811</v>
      </c>
      <c r="G10" s="52">
        <f t="shared" si="1"/>
        <v>503530.70681298291</v>
      </c>
      <c r="H10" s="52">
        <f t="shared" si="1"/>
        <v>639807.00821134914</v>
      </c>
      <c r="I10" s="52">
        <f>SUM(C10:H10)</f>
        <v>7313071.9379230263</v>
      </c>
      <c r="T10" s="50" t="s">
        <v>27</v>
      </c>
      <c r="AJ10" s="50" t="s">
        <v>28</v>
      </c>
      <c r="AK10" s="50" t="s">
        <v>27</v>
      </c>
      <c r="AL10" s="46" t="s">
        <v>29</v>
      </c>
    </row>
    <row r="11" spans="1:38">
      <c r="A11" s="164">
        <v>5</v>
      </c>
      <c r="B11" s="50" t="s">
        <v>30</v>
      </c>
      <c r="C11" s="52">
        <f>+C6*C36</f>
        <v>0</v>
      </c>
      <c r="D11" s="52">
        <f t="shared" ref="D11:H11" si="2">+D6*D36</f>
        <v>0</v>
      </c>
      <c r="E11" s="52">
        <f t="shared" si="2"/>
        <v>0</v>
      </c>
      <c r="F11" s="52">
        <f t="shared" si="2"/>
        <v>0</v>
      </c>
      <c r="G11" s="52">
        <f t="shared" si="2"/>
        <v>0</v>
      </c>
      <c r="H11" s="52">
        <f t="shared" si="2"/>
        <v>0</v>
      </c>
      <c r="I11" s="52">
        <f>SUM(C11:H11)</f>
        <v>0</v>
      </c>
      <c r="T11" s="50" t="s">
        <v>30</v>
      </c>
      <c r="AJ11" s="50" t="s">
        <v>31</v>
      </c>
      <c r="AK11" s="50" t="s">
        <v>30</v>
      </c>
    </row>
    <row r="12" spans="1:38">
      <c r="A12" s="164">
        <v>6</v>
      </c>
      <c r="B12" s="50" t="s">
        <v>32</v>
      </c>
      <c r="C12" s="52">
        <f>+C6*C37</f>
        <v>0</v>
      </c>
      <c r="D12" s="52">
        <f t="shared" ref="D12:H12" si="3">+D6*D37</f>
        <v>0</v>
      </c>
      <c r="E12" s="52">
        <f t="shared" si="3"/>
        <v>0</v>
      </c>
      <c r="F12" s="52">
        <f t="shared" si="3"/>
        <v>0</v>
      </c>
      <c r="G12" s="52">
        <f t="shared" si="3"/>
        <v>0</v>
      </c>
      <c r="H12" s="52">
        <f t="shared" si="3"/>
        <v>0</v>
      </c>
      <c r="I12" s="52">
        <f>SUM(C12:H12)</f>
        <v>0</v>
      </c>
      <c r="T12" s="50" t="s">
        <v>32</v>
      </c>
      <c r="AJ12" s="50" t="s">
        <v>33</v>
      </c>
      <c r="AK12" s="50" t="s">
        <v>32</v>
      </c>
    </row>
    <row r="13" spans="1:38">
      <c r="A13" s="164">
        <v>7</v>
      </c>
      <c r="B13" s="50" t="s">
        <v>34</v>
      </c>
      <c r="C13" s="52">
        <f>+C6*C38</f>
        <v>95200</v>
      </c>
      <c r="D13" s="52">
        <f t="shared" ref="D13:H13" si="4">+D6*D38</f>
        <v>19600</v>
      </c>
      <c r="E13" s="52">
        <f t="shared" si="4"/>
        <v>25200</v>
      </c>
      <c r="F13" s="52">
        <f t="shared" si="4"/>
        <v>95200</v>
      </c>
      <c r="G13" s="52">
        <f t="shared" si="4"/>
        <v>19600</v>
      </c>
      <c r="H13" s="52">
        <f t="shared" si="4"/>
        <v>25200</v>
      </c>
      <c r="I13" s="52">
        <f>SUM(C13:H13)</f>
        <v>280000</v>
      </c>
      <c r="K13" s="67"/>
      <c r="T13" s="50" t="s">
        <v>34</v>
      </c>
      <c r="AJ13" s="50" t="s">
        <v>35</v>
      </c>
      <c r="AK13" s="50" t="s">
        <v>34</v>
      </c>
      <c r="AL13" s="46" t="s">
        <v>18</v>
      </c>
    </row>
    <row r="14" spans="1:38">
      <c r="A14" s="164">
        <v>8</v>
      </c>
      <c r="B14" s="53" t="s">
        <v>36</v>
      </c>
      <c r="C14" s="52">
        <f>SUM(C11:C13)</f>
        <v>95200</v>
      </c>
      <c r="D14" s="52">
        <f t="shared" ref="D14:H14" si="5">SUM(D11:D13)</f>
        <v>19600</v>
      </c>
      <c r="E14" s="52">
        <f t="shared" si="5"/>
        <v>25200</v>
      </c>
      <c r="F14" s="52">
        <f t="shared" si="5"/>
        <v>95200</v>
      </c>
      <c r="G14" s="52">
        <f t="shared" si="5"/>
        <v>19600</v>
      </c>
      <c r="H14" s="52">
        <f t="shared" si="5"/>
        <v>25200</v>
      </c>
      <c r="I14" s="52">
        <f>SUM(C14:H14)</f>
        <v>280000</v>
      </c>
      <c r="T14" s="53" t="s">
        <v>36</v>
      </c>
      <c r="AJ14" s="50" t="s">
        <v>37</v>
      </c>
      <c r="AK14" s="53" t="s">
        <v>36</v>
      </c>
    </row>
    <row r="15" spans="1:38">
      <c r="A15" s="164">
        <v>9</v>
      </c>
      <c r="B15" s="53" t="s">
        <v>38</v>
      </c>
      <c r="C15" s="52">
        <f>+C9-C10-C14</f>
        <v>690618.34606281901</v>
      </c>
      <c r="D15" s="52">
        <f t="shared" ref="D15:H15" si="6">+D9-D10-D14</f>
        <v>156078.59318701713</v>
      </c>
      <c r="E15" s="52">
        <f t="shared" si="6"/>
        <v>208262.09178865084</v>
      </c>
      <c r="F15" s="52">
        <f t="shared" si="6"/>
        <v>690618.34606281901</v>
      </c>
      <c r="G15" s="52">
        <f t="shared" si="6"/>
        <v>156078.59318701713</v>
      </c>
      <c r="H15" s="52">
        <f t="shared" si="6"/>
        <v>208262.09178865084</v>
      </c>
      <c r="I15" s="52">
        <f>SUM(C15:H15)</f>
        <v>2109918.0620769737</v>
      </c>
      <c r="T15" s="53" t="s">
        <v>38</v>
      </c>
      <c r="AJ15" s="50" t="s">
        <v>39</v>
      </c>
      <c r="AK15" s="53" t="s">
        <v>38</v>
      </c>
    </row>
    <row r="16" spans="1:38">
      <c r="A16" s="164">
        <v>10</v>
      </c>
      <c r="B16" s="50" t="s">
        <v>40</v>
      </c>
      <c r="C16" s="54">
        <f>+C15/C9</f>
        <v>0.20934067020542393</v>
      </c>
      <c r="D16" s="54">
        <f t="shared" ref="D16:H16" si="7">+D15/D9</f>
        <v>0.22979454666921834</v>
      </c>
      <c r="E16" s="54">
        <f t="shared" si="7"/>
        <v>0.23848558455652541</v>
      </c>
      <c r="F16" s="54">
        <f t="shared" si="7"/>
        <v>0.20934067020542393</v>
      </c>
      <c r="G16" s="54">
        <f t="shared" si="7"/>
        <v>0.22979454666921834</v>
      </c>
      <c r="H16" s="54">
        <f t="shared" si="7"/>
        <v>0.23848558455652541</v>
      </c>
      <c r="I16" s="54">
        <f t="shared" ref="I16" si="8">+I15/I9</f>
        <v>0.21745029749355341</v>
      </c>
      <c r="T16" s="50" t="s">
        <v>40</v>
      </c>
      <c r="AJ16" s="50" t="s">
        <v>41</v>
      </c>
      <c r="AK16" s="50" t="s">
        <v>40</v>
      </c>
    </row>
    <row r="17" spans="1:38">
      <c r="A17" s="164">
        <v>11</v>
      </c>
      <c r="B17" s="50" t="s">
        <v>42</v>
      </c>
      <c r="C17" s="52">
        <f>C6*C43+C18</f>
        <v>0</v>
      </c>
      <c r="D17" s="52">
        <f t="shared" ref="D17:H17" si="9">D6*D43+D18</f>
        <v>0</v>
      </c>
      <c r="E17" s="52">
        <f t="shared" si="9"/>
        <v>0</v>
      </c>
      <c r="F17" s="52">
        <f t="shared" si="9"/>
        <v>0</v>
      </c>
      <c r="G17" s="52">
        <f t="shared" si="9"/>
        <v>0</v>
      </c>
      <c r="H17" s="52">
        <f t="shared" si="9"/>
        <v>0</v>
      </c>
      <c r="I17" s="52">
        <f>SUM(C17:H17)</f>
        <v>0</v>
      </c>
      <c r="J17" s="67"/>
      <c r="T17" s="50" t="s">
        <v>42</v>
      </c>
      <c r="AJ17" s="50" t="s">
        <v>43</v>
      </c>
      <c r="AK17" s="50" t="s">
        <v>42</v>
      </c>
    </row>
    <row r="18" spans="1:38" s="44" customFormat="1">
      <c r="A18" s="164">
        <v>12</v>
      </c>
      <c r="B18" s="55" t="s">
        <v>144</v>
      </c>
      <c r="C18" s="56">
        <f>$I$18/$I$9*C9</f>
        <v>0</v>
      </c>
      <c r="D18" s="56">
        <f t="shared" ref="D18:H18" si="10">$I$18/$I$9*D9</f>
        <v>0</v>
      </c>
      <c r="E18" s="56">
        <f t="shared" si="10"/>
        <v>0</v>
      </c>
      <c r="F18" s="56">
        <f t="shared" si="10"/>
        <v>0</v>
      </c>
      <c r="G18" s="56">
        <f t="shared" si="10"/>
        <v>0</v>
      </c>
      <c r="H18" s="56">
        <f t="shared" si="10"/>
        <v>0</v>
      </c>
      <c r="I18" s="56">
        <f>项目投资!H26</f>
        <v>0</v>
      </c>
      <c r="J18" s="68" t="s">
        <v>145</v>
      </c>
      <c r="K18" s="68"/>
      <c r="L18" s="68"/>
    </row>
    <row r="19" spans="1:38">
      <c r="A19" s="164">
        <v>13</v>
      </c>
      <c r="B19" s="50" t="s">
        <v>44</v>
      </c>
      <c r="C19" s="52">
        <f>C6*C44</f>
        <v>71400</v>
      </c>
      <c r="D19" s="52">
        <f t="shared" ref="D19:H19" si="11">D6*D44</f>
        <v>14700.000000000002</v>
      </c>
      <c r="E19" s="52">
        <f t="shared" si="11"/>
        <v>18900</v>
      </c>
      <c r="F19" s="52">
        <f t="shared" si="11"/>
        <v>71400</v>
      </c>
      <c r="G19" s="52">
        <f t="shared" si="11"/>
        <v>14700.000000000002</v>
      </c>
      <c r="H19" s="52">
        <f t="shared" si="11"/>
        <v>18900</v>
      </c>
      <c r="I19" s="52">
        <f>SUM(C19:H19)</f>
        <v>210000</v>
      </c>
      <c r="J19" s="44"/>
      <c r="T19" s="50" t="s">
        <v>44</v>
      </c>
      <c r="AJ19" s="50" t="s">
        <v>45</v>
      </c>
      <c r="AK19" s="50" t="s">
        <v>44</v>
      </c>
      <c r="AL19" s="46" t="s">
        <v>18</v>
      </c>
    </row>
    <row r="20" spans="1:38">
      <c r="A20" s="164">
        <v>14</v>
      </c>
      <c r="B20" s="50" t="s">
        <v>46</v>
      </c>
      <c r="C20" s="52">
        <f>C6*C45</f>
        <v>98600.000000000015</v>
      </c>
      <c r="D20" s="52">
        <f t="shared" ref="D20:H20" si="12">D6*D45</f>
        <v>20300.000000000004</v>
      </c>
      <c r="E20" s="52">
        <f t="shared" si="12"/>
        <v>26100.000000000004</v>
      </c>
      <c r="F20" s="52">
        <f t="shared" si="12"/>
        <v>98600.000000000015</v>
      </c>
      <c r="G20" s="52">
        <f t="shared" si="12"/>
        <v>20300.000000000004</v>
      </c>
      <c r="H20" s="52">
        <f t="shared" si="12"/>
        <v>26100.000000000004</v>
      </c>
      <c r="I20" s="52">
        <f>SUM(C20:H20)</f>
        <v>290000.00000000006</v>
      </c>
      <c r="T20" s="50" t="s">
        <v>46</v>
      </c>
      <c r="AJ20" s="50" t="s">
        <v>47</v>
      </c>
      <c r="AK20" s="50" t="s">
        <v>46</v>
      </c>
    </row>
    <row r="21" spans="1:38">
      <c r="A21" s="164">
        <v>15</v>
      </c>
      <c r="B21" s="50" t="s">
        <v>48</v>
      </c>
      <c r="C21" s="57">
        <f>$I$21/$I$6*C6</f>
        <v>0</v>
      </c>
      <c r="D21" s="57">
        <f>$I$21/$I$6*D6</f>
        <v>0</v>
      </c>
      <c r="E21" s="57">
        <f>$I$21/$I$6*E6</f>
        <v>0</v>
      </c>
      <c r="F21" s="57">
        <f>$I$21/$I$6*F6</f>
        <v>0</v>
      </c>
      <c r="G21" s="57">
        <f>$I$21/$I$6*G6</f>
        <v>0</v>
      </c>
      <c r="H21" s="57">
        <f>$I$21/$I$6*H6</f>
        <v>0</v>
      </c>
      <c r="I21" s="52">
        <f>项目投资!D27</f>
        <v>0</v>
      </c>
      <c r="T21" s="50" t="s">
        <v>48</v>
      </c>
      <c r="AJ21" s="50"/>
      <c r="AK21" s="50"/>
    </row>
    <row r="22" spans="1:38">
      <c r="A22" s="164">
        <v>16</v>
      </c>
      <c r="B22" s="50" t="s">
        <v>49</v>
      </c>
      <c r="C22" s="52">
        <f>C6*C47</f>
        <v>72420</v>
      </c>
      <c r="D22" s="52">
        <f t="shared" ref="D22:H22" si="13">D6*D47</f>
        <v>14909.999999999998</v>
      </c>
      <c r="E22" s="52">
        <f t="shared" si="13"/>
        <v>19170</v>
      </c>
      <c r="F22" s="52">
        <f t="shared" si="13"/>
        <v>72420</v>
      </c>
      <c r="G22" s="52">
        <f t="shared" si="13"/>
        <v>14909.999999999998</v>
      </c>
      <c r="H22" s="52">
        <f t="shared" si="13"/>
        <v>19170</v>
      </c>
      <c r="I22" s="52">
        <f>SUM(C22:H22)</f>
        <v>213000</v>
      </c>
      <c r="T22" s="50" t="s">
        <v>49</v>
      </c>
      <c r="AJ22" s="50" t="s">
        <v>50</v>
      </c>
      <c r="AK22" s="50" t="s">
        <v>49</v>
      </c>
    </row>
    <row r="23" spans="1:38">
      <c r="A23" s="164">
        <v>17</v>
      </c>
      <c r="B23" s="53" t="s">
        <v>51</v>
      </c>
      <c r="C23" s="57">
        <f>+C22+C21+C20+C19+C17</f>
        <v>242420</v>
      </c>
      <c r="D23" s="57">
        <f t="shared" ref="D23:H23" si="14">+D22+D21+D20+D19+D17</f>
        <v>49910</v>
      </c>
      <c r="E23" s="57">
        <f t="shared" si="14"/>
        <v>64170</v>
      </c>
      <c r="F23" s="57">
        <f t="shared" si="14"/>
        <v>242420</v>
      </c>
      <c r="G23" s="57">
        <f t="shared" si="14"/>
        <v>49910</v>
      </c>
      <c r="H23" s="57">
        <f t="shared" si="14"/>
        <v>64170</v>
      </c>
      <c r="I23" s="57">
        <f t="shared" ref="I23" si="15">+I22+I21+I20+I19+I17</f>
        <v>713000</v>
      </c>
      <c r="T23" s="53" t="s">
        <v>51</v>
      </c>
      <c r="AJ23" s="50" t="s">
        <v>52</v>
      </c>
      <c r="AK23" s="53" t="s">
        <v>51</v>
      </c>
    </row>
    <row r="24" spans="1:38">
      <c r="A24" s="164">
        <v>18</v>
      </c>
      <c r="B24" s="58" t="s">
        <v>53</v>
      </c>
      <c r="C24" s="57">
        <f>+C15-C23</f>
        <v>448198.34606281901</v>
      </c>
      <c r="D24" s="57">
        <f t="shared" ref="D24:H24" si="16">+D15-D23</f>
        <v>106168.59318701713</v>
      </c>
      <c r="E24" s="57">
        <f t="shared" si="16"/>
        <v>144092.09178865084</v>
      </c>
      <c r="F24" s="57">
        <f t="shared" si="16"/>
        <v>448198.34606281901</v>
      </c>
      <c r="G24" s="57">
        <f t="shared" si="16"/>
        <v>106168.59318701713</v>
      </c>
      <c r="H24" s="57">
        <f t="shared" si="16"/>
        <v>144092.09178865084</v>
      </c>
      <c r="I24" s="57">
        <f t="shared" ref="I24" si="17">+I15-I23</f>
        <v>1396918.0620769737</v>
      </c>
      <c r="K24" s="69"/>
      <c r="T24" s="50" t="s">
        <v>53</v>
      </c>
      <c r="AJ24" s="50" t="s">
        <v>54</v>
      </c>
      <c r="AK24" s="50" t="s">
        <v>53</v>
      </c>
    </row>
    <row r="25" spans="1:38">
      <c r="A25" s="164">
        <v>19</v>
      </c>
      <c r="B25" s="50" t="s">
        <v>243</v>
      </c>
      <c r="C25" s="57">
        <f>IF(C24&lt;0,0,C24*0.15)</f>
        <v>67229.751909422848</v>
      </c>
      <c r="D25" s="57">
        <f t="shared" ref="D25:H25" si="18">IF(D24&lt;0,0,D24*0.15)</f>
        <v>15925.288978052569</v>
      </c>
      <c r="E25" s="57">
        <f t="shared" si="18"/>
        <v>21613.813768297627</v>
      </c>
      <c r="F25" s="57">
        <f t="shared" si="18"/>
        <v>67229.751909422848</v>
      </c>
      <c r="G25" s="57">
        <f t="shared" si="18"/>
        <v>15925.288978052569</v>
      </c>
      <c r="H25" s="57">
        <f t="shared" si="18"/>
        <v>21613.813768297627</v>
      </c>
      <c r="I25" s="57">
        <f>IF(I24&lt;0,0,I24*0.15)</f>
        <v>209537.70931154606</v>
      </c>
      <c r="J25" s="65"/>
      <c r="K25" s="65"/>
      <c r="L25" s="65"/>
      <c r="T25" s="50" t="s">
        <v>55</v>
      </c>
      <c r="AJ25" s="50" t="s">
        <v>56</v>
      </c>
      <c r="AK25" s="50" t="s">
        <v>55</v>
      </c>
    </row>
    <row r="26" spans="1:38">
      <c r="A26" s="164">
        <v>20</v>
      </c>
      <c r="B26" s="50" t="s">
        <v>57</v>
      </c>
      <c r="C26" s="57">
        <f t="shared" ref="C26:H26" si="19">C24-C25</f>
        <v>380968.59415339614</v>
      </c>
      <c r="D26" s="57">
        <f t="shared" si="19"/>
        <v>90243.304208964561</v>
      </c>
      <c r="E26" s="57">
        <f t="shared" si="19"/>
        <v>122478.27802035322</v>
      </c>
      <c r="F26" s="57">
        <f t="shared" si="19"/>
        <v>380968.59415339614</v>
      </c>
      <c r="G26" s="57">
        <f t="shared" si="19"/>
        <v>90243.304208964561</v>
      </c>
      <c r="H26" s="57">
        <f t="shared" si="19"/>
        <v>122478.27802035322</v>
      </c>
      <c r="I26" s="52">
        <f>I24-I25</f>
        <v>1187380.3527654277</v>
      </c>
      <c r="J26" s="65"/>
      <c r="K26" s="65"/>
      <c r="L26" s="65"/>
      <c r="T26" s="50" t="s">
        <v>57</v>
      </c>
      <c r="AJ26" s="50" t="s">
        <v>58</v>
      </c>
      <c r="AK26" s="50" t="s">
        <v>57</v>
      </c>
    </row>
    <row r="27" spans="1:38">
      <c r="A27" s="164">
        <v>21</v>
      </c>
      <c r="B27" s="50" t="s">
        <v>61</v>
      </c>
      <c r="C27" s="59">
        <f t="shared" ref="C27:I27" si="20">C26/C7</f>
        <v>0.11204958651570475</v>
      </c>
      <c r="D27" s="59">
        <f t="shared" ref="D27:H27" si="21">D26/D7</f>
        <v>0.12891900601280651</v>
      </c>
      <c r="E27" s="59">
        <f t="shared" si="21"/>
        <v>0.13608697557817023</v>
      </c>
      <c r="F27" s="59">
        <f t="shared" si="21"/>
        <v>0.11204958651570475</v>
      </c>
      <c r="G27" s="59">
        <f t="shared" si="21"/>
        <v>0.12891900601280651</v>
      </c>
      <c r="H27" s="59">
        <f t="shared" si="21"/>
        <v>0.13608697557817023</v>
      </c>
      <c r="I27" s="59">
        <f t="shared" si="20"/>
        <v>0.11873803527654277</v>
      </c>
      <c r="J27" s="65"/>
      <c r="K27" s="65"/>
      <c r="L27" s="65"/>
      <c r="T27" s="50" t="s">
        <v>61</v>
      </c>
      <c r="AJ27" s="50" t="s">
        <v>60</v>
      </c>
      <c r="AK27" s="50" t="s">
        <v>61</v>
      </c>
    </row>
    <row r="28" spans="1:38">
      <c r="J28" s="65"/>
      <c r="K28" s="65"/>
      <c r="L28" s="65"/>
      <c r="T28" s="50"/>
    </row>
    <row r="29" spans="1:38">
      <c r="A29" s="46" t="s">
        <v>62</v>
      </c>
      <c r="I29" s="47" t="s">
        <v>147</v>
      </c>
      <c r="J29" s="65"/>
      <c r="K29" s="65"/>
      <c r="L29" s="65"/>
      <c r="T29" s="50"/>
      <c r="AJ29" s="46" t="s">
        <v>62</v>
      </c>
    </row>
    <row r="30" spans="1:38">
      <c r="A30" s="50" t="s">
        <v>63</v>
      </c>
      <c r="B30" s="53" t="s">
        <v>64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64</v>
      </c>
      <c r="AJ30" s="50" t="s">
        <v>65</v>
      </c>
      <c r="AK30" s="53" t="s">
        <v>64</v>
      </c>
    </row>
    <row r="31" spans="1:38">
      <c r="A31" s="164">
        <v>1</v>
      </c>
      <c r="B31" s="55" t="s">
        <v>66</v>
      </c>
      <c r="C31" s="61">
        <f>销量!C8</f>
        <v>85</v>
      </c>
      <c r="D31" s="61">
        <f>销量!D8</f>
        <v>35</v>
      </c>
      <c r="E31" s="61">
        <f>销量!E8</f>
        <v>45</v>
      </c>
      <c r="F31" s="61">
        <f>销量!F8</f>
        <v>85</v>
      </c>
      <c r="G31" s="61">
        <f>销量!G8</f>
        <v>35</v>
      </c>
      <c r="H31" s="61">
        <f>销量!H8</f>
        <v>45</v>
      </c>
      <c r="I31" s="57"/>
      <c r="J31" s="65"/>
      <c r="K31" s="65"/>
      <c r="L31" s="65"/>
      <c r="N31" s="65"/>
      <c r="T31" s="50" t="s">
        <v>66</v>
      </c>
      <c r="AJ31" s="50" t="s">
        <v>20</v>
      </c>
      <c r="AK31" s="50" t="s">
        <v>66</v>
      </c>
    </row>
    <row r="32" spans="1:38">
      <c r="A32" s="164">
        <v>2</v>
      </c>
      <c r="B32" s="50" t="s">
        <v>148</v>
      </c>
      <c r="C32" s="52">
        <f>C9/C6</f>
        <v>82.475414999999998</v>
      </c>
      <c r="D32" s="52">
        <f t="shared" ref="D32:H32" si="22">D9/D6</f>
        <v>33.960464999999999</v>
      </c>
      <c r="E32" s="52">
        <f t="shared" si="22"/>
        <v>43.663454999999999</v>
      </c>
      <c r="F32" s="52">
        <f t="shared" si="22"/>
        <v>82.475414999999998</v>
      </c>
      <c r="G32" s="52">
        <f t="shared" si="22"/>
        <v>33.960464999999999</v>
      </c>
      <c r="H32" s="52">
        <f t="shared" si="22"/>
        <v>43.663454999999999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64">
        <v>3</v>
      </c>
      <c r="B33" s="55" t="s">
        <v>67</v>
      </c>
      <c r="C33" s="52">
        <f>材料成本!I19</f>
        <v>62.829956348429526</v>
      </c>
      <c r="D33" s="52">
        <f>材料成本!I20</f>
        <v>25.176535340649146</v>
      </c>
      <c r="E33" s="52">
        <f>材料成本!I21</f>
        <v>31.990350410567455</v>
      </c>
      <c r="F33" s="52">
        <f>材料成本!I22</f>
        <v>62.829956348429526</v>
      </c>
      <c r="G33" s="52">
        <f>材料成本!I23</f>
        <v>25.176535340649146</v>
      </c>
      <c r="H33" s="52">
        <f>材料成本!I24</f>
        <v>31.990350410567455</v>
      </c>
      <c r="I33" s="57"/>
      <c r="K33" s="65"/>
      <c r="L33" s="65"/>
      <c r="M33" s="65"/>
      <c r="N33" s="65"/>
      <c r="O33" s="65"/>
      <c r="P33" s="65"/>
      <c r="T33" s="50" t="s">
        <v>67</v>
      </c>
      <c r="AJ33" s="50" t="s">
        <v>22</v>
      </c>
      <c r="AK33" s="50" t="s">
        <v>67</v>
      </c>
    </row>
    <row r="34" spans="1:37" ht="17.25" customHeight="1">
      <c r="A34" s="164">
        <v>4</v>
      </c>
      <c r="B34" s="50" t="s">
        <v>69</v>
      </c>
      <c r="C34" s="62">
        <f>C32-C33</f>
        <v>19.645458651570472</v>
      </c>
      <c r="D34" s="62">
        <f t="shared" ref="D34:H34" si="23">D32-D33</f>
        <v>8.7839296593508536</v>
      </c>
      <c r="E34" s="62">
        <f t="shared" si="23"/>
        <v>11.673104589432544</v>
      </c>
      <c r="F34" s="62">
        <f t="shared" si="23"/>
        <v>19.645458651570472</v>
      </c>
      <c r="G34" s="62">
        <f t="shared" si="23"/>
        <v>8.7839296593508536</v>
      </c>
      <c r="H34" s="62">
        <f t="shared" si="23"/>
        <v>11.673104589432544</v>
      </c>
      <c r="I34" s="57"/>
      <c r="K34" s="65"/>
      <c r="L34" s="65"/>
      <c r="M34" s="65"/>
      <c r="N34" s="65"/>
      <c r="O34" s="65"/>
      <c r="P34" s="65"/>
      <c r="T34" s="50" t="s">
        <v>69</v>
      </c>
      <c r="AJ34" s="50" t="s">
        <v>68</v>
      </c>
      <c r="AK34" s="50" t="s">
        <v>69</v>
      </c>
    </row>
    <row r="35" spans="1:37">
      <c r="A35" s="50" t="s">
        <v>65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71</v>
      </c>
      <c r="AK35" s="53" t="s">
        <v>8</v>
      </c>
    </row>
    <row r="36" spans="1:37">
      <c r="A36" s="164">
        <v>1</v>
      </c>
      <c r="B36" s="50" t="s">
        <v>72</v>
      </c>
      <c r="C36" s="56">
        <f>'2023年'!C36</f>
        <v>0</v>
      </c>
      <c r="D36" s="56">
        <f>'2023年'!D36</f>
        <v>0</v>
      </c>
      <c r="E36" s="56">
        <f>'2023年'!H36</f>
        <v>0</v>
      </c>
      <c r="F36" s="56">
        <f>'2024年'!F36</f>
        <v>0</v>
      </c>
      <c r="G36" s="56">
        <f>'2024年'!G36</f>
        <v>0</v>
      </c>
      <c r="H36" s="56">
        <f>'2024年'!H36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72</v>
      </c>
      <c r="AJ36" s="50" t="s">
        <v>68</v>
      </c>
      <c r="AK36" s="50" t="s">
        <v>72</v>
      </c>
    </row>
    <row r="37" spans="1:37">
      <c r="A37" s="164">
        <v>2</v>
      </c>
      <c r="B37" s="50" t="s">
        <v>73</v>
      </c>
      <c r="C37" s="56">
        <f>'2023年'!C37</f>
        <v>0</v>
      </c>
      <c r="D37" s="56">
        <f>'2023年'!D37</f>
        <v>0</v>
      </c>
      <c r="E37" s="56">
        <f>'2023年'!H37</f>
        <v>0</v>
      </c>
      <c r="F37" s="56">
        <f>'2024年'!F37</f>
        <v>0</v>
      </c>
      <c r="G37" s="56">
        <f>'2024年'!G37</f>
        <v>0</v>
      </c>
      <c r="H37" s="56">
        <f>'2024年'!H37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73</v>
      </c>
      <c r="AJ37" s="50" t="s">
        <v>25</v>
      </c>
      <c r="AK37" s="50" t="s">
        <v>73</v>
      </c>
    </row>
    <row r="38" spans="1:37">
      <c r="A38" s="164">
        <v>3</v>
      </c>
      <c r="B38" s="50" t="s">
        <v>74</v>
      </c>
      <c r="C38" s="56">
        <f>'2023年'!C38</f>
        <v>2.38</v>
      </c>
      <c r="D38" s="56">
        <f>'2023年'!D38</f>
        <v>0.98</v>
      </c>
      <c r="E38" s="56">
        <f>'2023年'!H38</f>
        <v>1.26</v>
      </c>
      <c r="F38" s="56">
        <f>'2024年'!F38</f>
        <v>2.38</v>
      </c>
      <c r="G38" s="56">
        <f>'2024年'!G38</f>
        <v>0.98</v>
      </c>
      <c r="H38" s="56">
        <f>'2024年'!H38</f>
        <v>1.26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74</v>
      </c>
      <c r="AJ38" s="50" t="s">
        <v>31</v>
      </c>
      <c r="AK38" s="50" t="s">
        <v>74</v>
      </c>
    </row>
    <row r="39" spans="1:37">
      <c r="A39" s="50" t="s">
        <v>71</v>
      </c>
      <c r="B39" s="53" t="s">
        <v>76</v>
      </c>
      <c r="C39" s="57"/>
      <c r="D39" s="57"/>
      <c r="E39" s="57"/>
      <c r="F39" s="57"/>
      <c r="G39" s="57"/>
      <c r="H39" s="57"/>
      <c r="I39" s="57"/>
      <c r="T39" s="53" t="s">
        <v>76</v>
      </c>
      <c r="AJ39" s="50" t="s">
        <v>75</v>
      </c>
      <c r="AK39" s="53" t="s">
        <v>76</v>
      </c>
    </row>
    <row r="40" spans="1:37">
      <c r="A40" s="164">
        <v>1</v>
      </c>
      <c r="B40" s="50" t="s">
        <v>78</v>
      </c>
      <c r="C40" s="57">
        <f>C34-C36-C37-C38</f>
        <v>17.265458651570473</v>
      </c>
      <c r="D40" s="57">
        <f t="shared" ref="D40:H40" si="24">D34-D36-D37-D38</f>
        <v>7.8039296593508531</v>
      </c>
      <c r="E40" s="57">
        <f t="shared" si="24"/>
        <v>10.413104589432544</v>
      </c>
      <c r="F40" s="57">
        <f t="shared" si="24"/>
        <v>17.265458651570473</v>
      </c>
      <c r="G40" s="57">
        <f t="shared" si="24"/>
        <v>7.8039296593508531</v>
      </c>
      <c r="H40" s="57">
        <f t="shared" si="24"/>
        <v>10.413104589432544</v>
      </c>
      <c r="I40" s="57"/>
      <c r="T40" s="50" t="s">
        <v>78</v>
      </c>
      <c r="AJ40" s="50" t="s">
        <v>20</v>
      </c>
      <c r="AK40" s="50" t="s">
        <v>78</v>
      </c>
    </row>
    <row r="41" spans="1:37">
      <c r="A41" s="164">
        <v>2</v>
      </c>
      <c r="B41" s="50" t="s">
        <v>79</v>
      </c>
      <c r="C41" s="57"/>
      <c r="D41" s="57"/>
      <c r="E41" s="57"/>
      <c r="F41" s="57"/>
      <c r="G41" s="57"/>
      <c r="H41" s="57"/>
      <c r="I41" s="57"/>
      <c r="T41" s="50" t="s">
        <v>79</v>
      </c>
      <c r="AJ41" s="50" t="s">
        <v>22</v>
      </c>
      <c r="AK41" s="50" t="s">
        <v>79</v>
      </c>
    </row>
    <row r="42" spans="1:37">
      <c r="A42" s="50" t="s">
        <v>75</v>
      </c>
      <c r="B42" s="53" t="s">
        <v>81</v>
      </c>
      <c r="C42" s="57"/>
      <c r="D42" s="57"/>
      <c r="E42" s="57"/>
      <c r="F42" s="57"/>
      <c r="G42" s="57"/>
      <c r="H42" s="57"/>
      <c r="I42" s="57"/>
      <c r="T42" s="53" t="s">
        <v>81</v>
      </c>
      <c r="AJ42" s="50" t="s">
        <v>80</v>
      </c>
      <c r="AK42" s="53" t="s">
        <v>81</v>
      </c>
    </row>
    <row r="43" spans="1:37">
      <c r="A43" s="164">
        <v>1</v>
      </c>
      <c r="B43" s="58" t="s">
        <v>82</v>
      </c>
      <c r="C43" s="56">
        <f>'2023年'!C43</f>
        <v>0</v>
      </c>
      <c r="D43" s="56">
        <f>'2023年'!D43</f>
        <v>0</v>
      </c>
      <c r="E43" s="56">
        <f>'2023年'!H43</f>
        <v>0</v>
      </c>
      <c r="F43" s="56">
        <f>'2024年'!F43</f>
        <v>0</v>
      </c>
      <c r="G43" s="56">
        <f>'2024年'!G43</f>
        <v>0</v>
      </c>
      <c r="H43" s="56">
        <f>'2024年'!H43</f>
        <v>0</v>
      </c>
      <c r="I43" s="57"/>
      <c r="T43" s="50" t="s">
        <v>82</v>
      </c>
      <c r="AJ43" s="50" t="s">
        <v>20</v>
      </c>
      <c r="AK43" s="50" t="s">
        <v>82</v>
      </c>
    </row>
    <row r="44" spans="1:37">
      <c r="A44" s="164">
        <v>2</v>
      </c>
      <c r="B44" s="58" t="s">
        <v>83</v>
      </c>
      <c r="C44" s="56">
        <f>'2023年'!C44</f>
        <v>1.7850000000000001</v>
      </c>
      <c r="D44" s="56">
        <f>'2023年'!D44</f>
        <v>0.7350000000000001</v>
      </c>
      <c r="E44" s="56">
        <f>'2023年'!H44</f>
        <v>0.94500000000000006</v>
      </c>
      <c r="F44" s="56">
        <f>'2024年'!F44</f>
        <v>1.7850000000000001</v>
      </c>
      <c r="G44" s="56">
        <f>'2024年'!G44</f>
        <v>0.7350000000000001</v>
      </c>
      <c r="H44" s="56">
        <f>'2024年'!H44</f>
        <v>0.94500000000000006</v>
      </c>
      <c r="I44" s="57"/>
      <c r="T44" s="50" t="s">
        <v>83</v>
      </c>
      <c r="AJ44" s="50" t="s">
        <v>22</v>
      </c>
      <c r="AK44" s="50" t="s">
        <v>83</v>
      </c>
    </row>
    <row r="45" spans="1:37">
      <c r="A45" s="164">
        <v>3</v>
      </c>
      <c r="B45" s="58" t="s">
        <v>84</v>
      </c>
      <c r="C45" s="56">
        <f>'2023年'!C45</f>
        <v>2.4650000000000003</v>
      </c>
      <c r="D45" s="56">
        <f>'2023年'!D45</f>
        <v>1.0150000000000001</v>
      </c>
      <c r="E45" s="56">
        <f>'2023年'!H45</f>
        <v>1.3050000000000002</v>
      </c>
      <c r="F45" s="56">
        <f>'2024年'!F45</f>
        <v>2.4650000000000003</v>
      </c>
      <c r="G45" s="56">
        <f>'2024年'!G45</f>
        <v>1.0150000000000001</v>
      </c>
      <c r="H45" s="56">
        <f>'2024年'!H45</f>
        <v>1.3050000000000002</v>
      </c>
      <c r="I45" s="57"/>
      <c r="T45" s="50" t="s">
        <v>84</v>
      </c>
      <c r="AJ45" s="50" t="s">
        <v>68</v>
      </c>
      <c r="AK45" s="50" t="s">
        <v>84</v>
      </c>
    </row>
    <row r="46" spans="1:37" s="45" customFormat="1">
      <c r="A46" s="164">
        <v>4</v>
      </c>
      <c r="B46" s="58" t="s">
        <v>85</v>
      </c>
      <c r="C46" s="63">
        <f>C21/C6</f>
        <v>0</v>
      </c>
      <c r="D46" s="63">
        <f t="shared" ref="D46:H46" si="25">D21/D6</f>
        <v>0</v>
      </c>
      <c r="E46" s="63">
        <f t="shared" si="25"/>
        <v>0</v>
      </c>
      <c r="F46" s="63">
        <f t="shared" si="25"/>
        <v>0</v>
      </c>
      <c r="G46" s="63">
        <f t="shared" si="25"/>
        <v>0</v>
      </c>
      <c r="H46" s="63">
        <f t="shared" si="25"/>
        <v>0</v>
      </c>
      <c r="I46" s="63"/>
      <c r="T46" s="58" t="s">
        <v>87</v>
      </c>
      <c r="AJ46" s="58" t="s">
        <v>28</v>
      </c>
      <c r="AK46" s="58" t="s">
        <v>87</v>
      </c>
    </row>
    <row r="47" spans="1:37" s="45" customFormat="1">
      <c r="A47" s="164">
        <v>5</v>
      </c>
      <c r="B47" s="58" t="s">
        <v>87</v>
      </c>
      <c r="C47" s="63">
        <f>'2023年'!C47</f>
        <v>1.8105</v>
      </c>
      <c r="D47" s="63">
        <f>'2023年'!D47</f>
        <v>0.74549999999999994</v>
      </c>
      <c r="E47" s="63">
        <f>'2023年'!H47</f>
        <v>0.95850000000000002</v>
      </c>
      <c r="F47" s="63">
        <f>'2024年'!F47</f>
        <v>1.8105</v>
      </c>
      <c r="G47" s="63">
        <f>'2024年'!G47</f>
        <v>0.74549999999999994</v>
      </c>
      <c r="H47" s="63">
        <f>'2024年'!H47</f>
        <v>0.95850000000000002</v>
      </c>
      <c r="I47" s="63"/>
      <c r="T47" s="58" t="s">
        <v>87</v>
      </c>
      <c r="AJ47" s="58" t="s">
        <v>28</v>
      </c>
      <c r="AK47" s="58" t="s">
        <v>87</v>
      </c>
    </row>
    <row r="48" spans="1:37">
      <c r="A48" s="50" t="s">
        <v>80</v>
      </c>
      <c r="B48" s="53" t="s">
        <v>98</v>
      </c>
      <c r="C48" s="57">
        <f>C40-C43-C44-C45-C47-C46</f>
        <v>11.204958651570474</v>
      </c>
      <c r="D48" s="57">
        <f t="shared" ref="D48:H48" si="26">D40-D43-D44-D45-D47-D46</f>
        <v>5.3084296593508533</v>
      </c>
      <c r="E48" s="57">
        <f t="shared" si="26"/>
        <v>7.2046045894325443</v>
      </c>
      <c r="F48" s="57">
        <f t="shared" si="26"/>
        <v>11.204958651570474</v>
      </c>
      <c r="G48" s="57">
        <f t="shared" si="26"/>
        <v>5.3084296593508533</v>
      </c>
      <c r="H48" s="57">
        <f t="shared" si="26"/>
        <v>7.2046045894325443</v>
      </c>
      <c r="I48" s="57"/>
      <c r="T48" s="53" t="s">
        <v>98</v>
      </c>
      <c r="AJ48" s="50" t="s">
        <v>97</v>
      </c>
      <c r="AK48" s="53" t="s">
        <v>98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I19" sqref="I19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20" t="s">
        <v>138</v>
      </c>
      <c r="B1" s="220"/>
      <c r="C1" s="224" t="s">
        <v>238</v>
      </c>
      <c r="D1" s="225"/>
      <c r="E1" s="225"/>
      <c r="F1" s="225"/>
      <c r="G1" s="225"/>
      <c r="H1" s="225"/>
      <c r="I1" s="226"/>
    </row>
    <row r="2" spans="1:38">
      <c r="A2" s="220" t="s">
        <v>139</v>
      </c>
      <c r="B2" s="220"/>
      <c r="C2" s="227" t="str">
        <f>'2023年'!C2:I2</f>
        <v>北汽</v>
      </c>
      <c r="D2" s="227"/>
      <c r="E2" s="227"/>
      <c r="F2" s="227"/>
      <c r="G2" s="227"/>
      <c r="H2" s="227"/>
      <c r="I2" s="227"/>
    </row>
    <row r="3" spans="1:38" ht="42.75">
      <c r="A3" s="220" t="s">
        <v>140</v>
      </c>
      <c r="B3" s="220"/>
      <c r="C3" s="149" t="str">
        <f>'2023年'!C3</f>
        <v>左后盖 ABDECKUNG LI FHS2500 CHN</v>
      </c>
      <c r="D3" s="185" t="str">
        <f>'2023年'!D3</f>
        <v>左后盖装饰盖 ABDECKUNG UT LI CHN</v>
      </c>
      <c r="E3" s="185" t="str">
        <f>'2023年'!E3</f>
        <v>左后盖装饰盖 ABDECKUNG UT LI CHN</v>
      </c>
      <c r="F3" s="185" t="str">
        <f>'2023年'!F3</f>
        <v>右后盖 ABDECKUNG RE FHS2500 CHN</v>
      </c>
      <c r="G3" s="185" t="str">
        <f>'2023年'!G3</f>
        <v>右后盖装饰盖 ABDECKUNG UT RE CHN</v>
      </c>
      <c r="H3" s="185" t="str">
        <f>'2023年'!H3</f>
        <v>右后盖装饰盖 ABDECKUNG UT RE CHN</v>
      </c>
      <c r="I3" s="221" t="s">
        <v>16</v>
      </c>
    </row>
    <row r="4" spans="1:38">
      <c r="A4" s="220" t="s">
        <v>141</v>
      </c>
      <c r="B4" s="220"/>
      <c r="C4" s="149" t="str">
        <f>'2023年'!C4</f>
        <v>A9608118007-2</v>
      </c>
      <c r="D4" s="149" t="str">
        <f>'2023年'!D4</f>
        <v>A9608118207-2</v>
      </c>
      <c r="E4" s="149" t="str">
        <f>'2023年'!E4</f>
        <v>A9608118207-3</v>
      </c>
      <c r="F4" s="149" t="str">
        <f>'2023年'!F4</f>
        <v>A9608118107-2</v>
      </c>
      <c r="G4" s="149" t="str">
        <f>'2023年'!G4</f>
        <v>A9608118307-2</v>
      </c>
      <c r="H4" s="149" t="str">
        <f>'2023年'!H4</f>
        <v>A9608118307-3</v>
      </c>
      <c r="I4" s="222"/>
    </row>
    <row r="5" spans="1:38">
      <c r="A5" s="220" t="s">
        <v>142</v>
      </c>
      <c r="B5" s="220"/>
      <c r="C5" s="49"/>
      <c r="D5" s="182"/>
      <c r="E5" s="182"/>
      <c r="F5" s="182"/>
      <c r="G5" s="182"/>
      <c r="H5" s="182"/>
      <c r="I5" s="223"/>
      <c r="AL5" s="46" t="s">
        <v>17</v>
      </c>
    </row>
    <row r="6" spans="1:38" ht="17.25">
      <c r="A6" s="50" t="s">
        <v>15</v>
      </c>
      <c r="B6" s="51" t="s">
        <v>143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>SUM(C6:H6)</f>
        <v>0</v>
      </c>
      <c r="T6" s="51" t="s">
        <v>3</v>
      </c>
      <c r="AJ6" s="50" t="s">
        <v>15</v>
      </c>
      <c r="AK6" s="51" t="s">
        <v>3</v>
      </c>
      <c r="AL6" s="46" t="s">
        <v>18</v>
      </c>
    </row>
    <row r="7" spans="1:38">
      <c r="A7" s="148">
        <v>1</v>
      </c>
      <c r="B7" s="51" t="s">
        <v>19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>SUM(C7:H7)</f>
        <v>0</v>
      </c>
      <c r="J7" s="47"/>
      <c r="T7" s="51" t="s">
        <v>19</v>
      </c>
      <c r="AJ7" s="50" t="s">
        <v>20</v>
      </c>
      <c r="AK7" s="51" t="s">
        <v>19</v>
      </c>
      <c r="AL7" s="46" t="s">
        <v>18</v>
      </c>
    </row>
    <row r="8" spans="1:38">
      <c r="A8" s="148">
        <v>2</v>
      </c>
      <c r="B8" s="148" t="s">
        <v>21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>SUM(C8:H8)</f>
        <v>0</v>
      </c>
      <c r="J8" s="67"/>
      <c r="T8" s="148" t="s">
        <v>23</v>
      </c>
      <c r="AJ8" s="50" t="s">
        <v>22</v>
      </c>
      <c r="AK8" s="148" t="s">
        <v>23</v>
      </c>
      <c r="AL8" s="46" t="s">
        <v>18</v>
      </c>
    </row>
    <row r="9" spans="1:38">
      <c r="A9" s="148">
        <v>3</v>
      </c>
      <c r="B9" s="51" t="s">
        <v>24</v>
      </c>
      <c r="C9" s="52">
        <f>+C7-C8</f>
        <v>0</v>
      </c>
      <c r="D9" s="52">
        <f t="shared" ref="D9:H9" si="0">+D7-D8</f>
        <v>0</v>
      </c>
      <c r="E9" s="52">
        <f t="shared" si="0"/>
        <v>0</v>
      </c>
      <c r="F9" s="52">
        <f t="shared" si="0"/>
        <v>0</v>
      </c>
      <c r="G9" s="52">
        <f t="shared" si="0"/>
        <v>0</v>
      </c>
      <c r="H9" s="52">
        <f t="shared" si="0"/>
        <v>0</v>
      </c>
      <c r="I9" s="52">
        <f>SUM(C9:H9)</f>
        <v>0</v>
      </c>
      <c r="T9" s="51" t="s">
        <v>24</v>
      </c>
      <c r="AJ9" s="50" t="s">
        <v>25</v>
      </c>
      <c r="AK9" s="51" t="s">
        <v>24</v>
      </c>
      <c r="AL9" s="46" t="s">
        <v>26</v>
      </c>
    </row>
    <row r="10" spans="1:38">
      <c r="A10" s="148">
        <v>4</v>
      </c>
      <c r="B10" s="50" t="s">
        <v>27</v>
      </c>
      <c r="C10" s="52">
        <f>C6*C33</f>
        <v>0</v>
      </c>
      <c r="D10" s="52">
        <f t="shared" ref="D10:H10" si="1">D6*D33</f>
        <v>0</v>
      </c>
      <c r="E10" s="52">
        <f t="shared" si="1"/>
        <v>0</v>
      </c>
      <c r="F10" s="52">
        <f t="shared" si="1"/>
        <v>0</v>
      </c>
      <c r="G10" s="52">
        <f t="shared" si="1"/>
        <v>0</v>
      </c>
      <c r="H10" s="52">
        <f t="shared" si="1"/>
        <v>0</v>
      </c>
      <c r="I10" s="52">
        <f>SUM(C10:H10)</f>
        <v>0</v>
      </c>
      <c r="T10" s="50" t="s">
        <v>27</v>
      </c>
      <c r="AJ10" s="50" t="s">
        <v>28</v>
      </c>
      <c r="AK10" s="50" t="s">
        <v>27</v>
      </c>
      <c r="AL10" s="46" t="s">
        <v>29</v>
      </c>
    </row>
    <row r="11" spans="1:38">
      <c r="A11" s="148">
        <v>5</v>
      </c>
      <c r="B11" s="50" t="s">
        <v>30</v>
      </c>
      <c r="C11" s="52">
        <f>+C6*C36</f>
        <v>0</v>
      </c>
      <c r="D11" s="52">
        <f t="shared" ref="D11:H11" si="2">+D6*D36</f>
        <v>0</v>
      </c>
      <c r="E11" s="52">
        <f t="shared" si="2"/>
        <v>0</v>
      </c>
      <c r="F11" s="52">
        <f t="shared" si="2"/>
        <v>0</v>
      </c>
      <c r="G11" s="52">
        <f t="shared" si="2"/>
        <v>0</v>
      </c>
      <c r="H11" s="52">
        <f t="shared" si="2"/>
        <v>0</v>
      </c>
      <c r="I11" s="52">
        <f>SUM(C11:H11)</f>
        <v>0</v>
      </c>
      <c r="T11" s="50" t="s">
        <v>30</v>
      </c>
      <c r="AJ11" s="50" t="s">
        <v>31</v>
      </c>
      <c r="AK11" s="50" t="s">
        <v>30</v>
      </c>
    </row>
    <row r="12" spans="1:38">
      <c r="A12" s="148">
        <v>6</v>
      </c>
      <c r="B12" s="50" t="s">
        <v>32</v>
      </c>
      <c r="C12" s="52">
        <f>+C6*C37</f>
        <v>0</v>
      </c>
      <c r="D12" s="52">
        <f t="shared" ref="D12:H12" si="3">+D6*D37</f>
        <v>0</v>
      </c>
      <c r="E12" s="52">
        <f t="shared" si="3"/>
        <v>0</v>
      </c>
      <c r="F12" s="52">
        <f t="shared" si="3"/>
        <v>0</v>
      </c>
      <c r="G12" s="52">
        <f t="shared" si="3"/>
        <v>0</v>
      </c>
      <c r="H12" s="52">
        <f t="shared" si="3"/>
        <v>0</v>
      </c>
      <c r="I12" s="52">
        <f>SUM(C12:H12)</f>
        <v>0</v>
      </c>
      <c r="T12" s="50" t="s">
        <v>32</v>
      </c>
      <c r="AJ12" s="50" t="s">
        <v>33</v>
      </c>
      <c r="AK12" s="50" t="s">
        <v>32</v>
      </c>
    </row>
    <row r="13" spans="1:38">
      <c r="A13" s="148">
        <v>7</v>
      </c>
      <c r="B13" s="50" t="s">
        <v>34</v>
      </c>
      <c r="C13" s="52">
        <f>+C6*C38</f>
        <v>0</v>
      </c>
      <c r="D13" s="52">
        <f t="shared" ref="D13:H13" si="4">+D6*D38</f>
        <v>0</v>
      </c>
      <c r="E13" s="52">
        <f t="shared" si="4"/>
        <v>0</v>
      </c>
      <c r="F13" s="52">
        <f t="shared" si="4"/>
        <v>0</v>
      </c>
      <c r="G13" s="52">
        <f t="shared" si="4"/>
        <v>0</v>
      </c>
      <c r="H13" s="52">
        <f t="shared" si="4"/>
        <v>0</v>
      </c>
      <c r="I13" s="52">
        <f>SUM(C13:H13)</f>
        <v>0</v>
      </c>
      <c r="T13" s="50" t="s">
        <v>34</v>
      </c>
      <c r="AJ13" s="50" t="s">
        <v>35</v>
      </c>
      <c r="AK13" s="50" t="s">
        <v>34</v>
      </c>
      <c r="AL13" s="46" t="s">
        <v>18</v>
      </c>
    </row>
    <row r="14" spans="1:38">
      <c r="A14" s="148">
        <v>8</v>
      </c>
      <c r="B14" s="53" t="s">
        <v>36</v>
      </c>
      <c r="C14" s="52">
        <f>SUM(C11:C13)</f>
        <v>0</v>
      </c>
      <c r="D14" s="52">
        <f t="shared" ref="D14:H14" si="5">SUM(D11:D13)</f>
        <v>0</v>
      </c>
      <c r="E14" s="52">
        <f t="shared" si="5"/>
        <v>0</v>
      </c>
      <c r="F14" s="52">
        <f t="shared" si="5"/>
        <v>0</v>
      </c>
      <c r="G14" s="52">
        <f t="shared" si="5"/>
        <v>0</v>
      </c>
      <c r="H14" s="52">
        <f t="shared" si="5"/>
        <v>0</v>
      </c>
      <c r="I14" s="52">
        <f>SUM(C14:H14)</f>
        <v>0</v>
      </c>
      <c r="T14" s="53" t="s">
        <v>36</v>
      </c>
      <c r="AJ14" s="50" t="s">
        <v>37</v>
      </c>
      <c r="AK14" s="53" t="s">
        <v>36</v>
      </c>
    </row>
    <row r="15" spans="1:38">
      <c r="A15" s="148">
        <v>9</v>
      </c>
      <c r="B15" s="53" t="s">
        <v>38</v>
      </c>
      <c r="C15" s="52">
        <f>+C9-C10-C14</f>
        <v>0</v>
      </c>
      <c r="D15" s="52">
        <f t="shared" ref="D15:H15" si="6">+D9-D10-D14</f>
        <v>0</v>
      </c>
      <c r="E15" s="52">
        <f t="shared" si="6"/>
        <v>0</v>
      </c>
      <c r="F15" s="52">
        <f t="shared" si="6"/>
        <v>0</v>
      </c>
      <c r="G15" s="52">
        <f t="shared" si="6"/>
        <v>0</v>
      </c>
      <c r="H15" s="52">
        <f t="shared" si="6"/>
        <v>0</v>
      </c>
      <c r="I15" s="52">
        <f>SUM(C15:H15)</f>
        <v>0</v>
      </c>
      <c r="T15" s="53" t="s">
        <v>38</v>
      </c>
      <c r="AJ15" s="50" t="s">
        <v>39</v>
      </c>
      <c r="AK15" s="53" t="s">
        <v>38</v>
      </c>
    </row>
    <row r="16" spans="1:38">
      <c r="A16" s="148">
        <v>10</v>
      </c>
      <c r="B16" s="50" t="s">
        <v>40</v>
      </c>
      <c r="C16" s="54" t="e">
        <f>+C15/C9</f>
        <v>#DIV/0!</v>
      </c>
      <c r="D16" s="54" t="e">
        <f t="shared" ref="D16:I16" si="7">+D15/D9</f>
        <v>#DIV/0!</v>
      </c>
      <c r="E16" s="54" t="e">
        <f t="shared" si="7"/>
        <v>#DIV/0!</v>
      </c>
      <c r="F16" s="54" t="e">
        <f t="shared" si="7"/>
        <v>#DIV/0!</v>
      </c>
      <c r="G16" s="54" t="e">
        <f t="shared" si="7"/>
        <v>#DIV/0!</v>
      </c>
      <c r="H16" s="54" t="e">
        <f t="shared" si="7"/>
        <v>#DIV/0!</v>
      </c>
      <c r="I16" s="54" t="e">
        <f t="shared" si="7"/>
        <v>#DIV/0!</v>
      </c>
      <c r="T16" s="50" t="s">
        <v>40</v>
      </c>
      <c r="AJ16" s="50" t="s">
        <v>41</v>
      </c>
      <c r="AK16" s="50" t="s">
        <v>40</v>
      </c>
    </row>
    <row r="17" spans="1:38">
      <c r="A17" s="148">
        <v>11</v>
      </c>
      <c r="B17" s="50" t="s">
        <v>42</v>
      </c>
      <c r="C17" s="52" t="e">
        <f>C6*C43+C18</f>
        <v>#DIV/0!</v>
      </c>
      <c r="D17" s="52" t="e">
        <f t="shared" ref="D17:H17" si="8">D6*D43+D18</f>
        <v>#DIV/0!</v>
      </c>
      <c r="E17" s="52" t="e">
        <f t="shared" si="8"/>
        <v>#DIV/0!</v>
      </c>
      <c r="F17" s="52" t="e">
        <f t="shared" si="8"/>
        <v>#DIV/0!</v>
      </c>
      <c r="G17" s="52" t="e">
        <f t="shared" si="8"/>
        <v>#DIV/0!</v>
      </c>
      <c r="H17" s="52" t="e">
        <f t="shared" si="8"/>
        <v>#DIV/0!</v>
      </c>
      <c r="I17" s="52" t="e">
        <f>SUM(C17:H17)</f>
        <v>#DIV/0!</v>
      </c>
      <c r="J17" s="67"/>
      <c r="T17" s="50" t="s">
        <v>42</v>
      </c>
      <c r="AJ17" s="50" t="s">
        <v>43</v>
      </c>
      <c r="AK17" s="50" t="s">
        <v>42</v>
      </c>
    </row>
    <row r="18" spans="1:38" s="44" customFormat="1">
      <c r="A18" s="148">
        <v>12</v>
      </c>
      <c r="B18" s="55" t="s">
        <v>144</v>
      </c>
      <c r="C18" s="315" t="e">
        <f>$I$18/$I$9*C9</f>
        <v>#DIV/0!</v>
      </c>
      <c r="D18" s="315" t="e">
        <f t="shared" ref="D18:H18" si="9">$I$18/$I$9*D9</f>
        <v>#DIV/0!</v>
      </c>
      <c r="E18" s="315" t="e">
        <f t="shared" si="9"/>
        <v>#DIV/0!</v>
      </c>
      <c r="F18" s="315" t="e">
        <f t="shared" si="9"/>
        <v>#DIV/0!</v>
      </c>
      <c r="G18" s="315" t="e">
        <f t="shared" si="9"/>
        <v>#DIV/0!</v>
      </c>
      <c r="H18" s="315" t="e">
        <f t="shared" si="9"/>
        <v>#DIV/0!</v>
      </c>
      <c r="I18" s="56">
        <f>项目投资!I26</f>
        <v>0</v>
      </c>
      <c r="J18" s="68" t="s">
        <v>145</v>
      </c>
      <c r="K18" s="68"/>
      <c r="L18" s="68"/>
    </row>
    <row r="19" spans="1:38">
      <c r="A19" s="148">
        <v>13</v>
      </c>
      <c r="B19" s="50" t="s">
        <v>44</v>
      </c>
      <c r="C19" s="52">
        <f>C6*C44</f>
        <v>0</v>
      </c>
      <c r="D19" s="52">
        <f t="shared" ref="D19:H19" si="10">D6*D44</f>
        <v>0</v>
      </c>
      <c r="E19" s="52">
        <f t="shared" si="10"/>
        <v>0</v>
      </c>
      <c r="F19" s="52">
        <f t="shared" si="10"/>
        <v>0</v>
      </c>
      <c r="G19" s="52">
        <f t="shared" si="10"/>
        <v>0</v>
      </c>
      <c r="H19" s="52">
        <f t="shared" si="10"/>
        <v>0</v>
      </c>
      <c r="I19" s="52">
        <f>SUM(C19:H19)</f>
        <v>0</v>
      </c>
      <c r="J19" s="44"/>
      <c r="T19" s="50" t="s">
        <v>44</v>
      </c>
      <c r="AJ19" s="50" t="s">
        <v>45</v>
      </c>
      <c r="AK19" s="50" t="s">
        <v>44</v>
      </c>
      <c r="AL19" s="46" t="s">
        <v>18</v>
      </c>
    </row>
    <row r="20" spans="1:38">
      <c r="A20" s="148">
        <v>14</v>
      </c>
      <c r="B20" s="50" t="s">
        <v>46</v>
      </c>
      <c r="C20" s="52">
        <f>C6*C45</f>
        <v>0</v>
      </c>
      <c r="D20" s="52">
        <f t="shared" ref="D20:H20" si="11">D6*D45</f>
        <v>0</v>
      </c>
      <c r="E20" s="52">
        <f t="shared" si="11"/>
        <v>0</v>
      </c>
      <c r="F20" s="52">
        <f t="shared" si="11"/>
        <v>0</v>
      </c>
      <c r="G20" s="52">
        <f t="shared" si="11"/>
        <v>0</v>
      </c>
      <c r="H20" s="52">
        <f t="shared" si="11"/>
        <v>0</v>
      </c>
      <c r="I20" s="52">
        <f>SUM(C20:H20)</f>
        <v>0</v>
      </c>
      <c r="T20" s="50" t="s">
        <v>46</v>
      </c>
      <c r="AJ20" s="50" t="s">
        <v>47</v>
      </c>
      <c r="AK20" s="50" t="s">
        <v>46</v>
      </c>
    </row>
    <row r="21" spans="1:38">
      <c r="A21" s="148">
        <v>15</v>
      </c>
      <c r="B21" s="50" t="s">
        <v>48</v>
      </c>
      <c r="C21" s="57" t="e">
        <f>$I$21/$I$6*C6</f>
        <v>#DIV/0!</v>
      </c>
      <c r="D21" s="57" t="e">
        <f>$I$21/$I$6*D6</f>
        <v>#DIV/0!</v>
      </c>
      <c r="E21" s="57" t="e">
        <f>$I$21/$I$6*E6</f>
        <v>#DIV/0!</v>
      </c>
      <c r="F21" s="57" t="e">
        <f>$I$21/$I$6*F6</f>
        <v>#DIV/0!</v>
      </c>
      <c r="G21" s="57" t="e">
        <f>$I$21/$I$6*G6</f>
        <v>#DIV/0!</v>
      </c>
      <c r="H21" s="57" t="e">
        <f>$I$21/$I$6*H6</f>
        <v>#DIV/0!</v>
      </c>
      <c r="I21" s="52">
        <f>项目投资!D27</f>
        <v>0</v>
      </c>
      <c r="T21" s="50" t="s">
        <v>48</v>
      </c>
      <c r="AJ21" s="50"/>
      <c r="AK21" s="50"/>
    </row>
    <row r="22" spans="1:38">
      <c r="A22" s="148">
        <v>16</v>
      </c>
      <c r="B22" s="50" t="s">
        <v>49</v>
      </c>
      <c r="C22" s="52">
        <f>C6*C47</f>
        <v>0</v>
      </c>
      <c r="D22" s="52">
        <f t="shared" ref="D22:H22" si="12">D6*D47</f>
        <v>0</v>
      </c>
      <c r="E22" s="52">
        <f t="shared" si="12"/>
        <v>0</v>
      </c>
      <c r="F22" s="52">
        <f t="shared" si="12"/>
        <v>0</v>
      </c>
      <c r="G22" s="52">
        <f t="shared" si="12"/>
        <v>0</v>
      </c>
      <c r="H22" s="52">
        <f t="shared" si="12"/>
        <v>0</v>
      </c>
      <c r="I22" s="52">
        <f>SUM(C22:H22)</f>
        <v>0</v>
      </c>
      <c r="T22" s="50" t="s">
        <v>49</v>
      </c>
      <c r="AJ22" s="50" t="s">
        <v>50</v>
      </c>
      <c r="AK22" s="50" t="s">
        <v>49</v>
      </c>
    </row>
    <row r="23" spans="1:38">
      <c r="A23" s="148">
        <v>17</v>
      </c>
      <c r="B23" s="53" t="s">
        <v>51</v>
      </c>
      <c r="C23" s="57" t="e">
        <f>+C22+C21+C20+C19+C17</f>
        <v>#DIV/0!</v>
      </c>
      <c r="D23" s="57" t="e">
        <f t="shared" ref="D23:H23" si="13">+D22+D21+D20+D19+D17</f>
        <v>#DIV/0!</v>
      </c>
      <c r="E23" s="57" t="e">
        <f t="shared" si="13"/>
        <v>#DIV/0!</v>
      </c>
      <c r="F23" s="57" t="e">
        <f t="shared" si="13"/>
        <v>#DIV/0!</v>
      </c>
      <c r="G23" s="57" t="e">
        <f t="shared" si="13"/>
        <v>#DIV/0!</v>
      </c>
      <c r="H23" s="57" t="e">
        <f t="shared" si="13"/>
        <v>#DIV/0!</v>
      </c>
      <c r="I23" s="57" t="e">
        <f t="shared" ref="I23" si="14">+I22+I21+I20+I19+I17</f>
        <v>#DIV/0!</v>
      </c>
      <c r="T23" s="53" t="s">
        <v>51</v>
      </c>
      <c r="AJ23" s="50" t="s">
        <v>52</v>
      </c>
      <c r="AK23" s="53" t="s">
        <v>51</v>
      </c>
    </row>
    <row r="24" spans="1:38">
      <c r="A24" s="148">
        <v>18</v>
      </c>
      <c r="B24" s="58" t="s">
        <v>53</v>
      </c>
      <c r="C24" s="57" t="e">
        <f>+C15-C23</f>
        <v>#DIV/0!</v>
      </c>
      <c r="D24" s="57" t="e">
        <f t="shared" ref="D24:H24" si="15">+D15-D23</f>
        <v>#DIV/0!</v>
      </c>
      <c r="E24" s="57" t="e">
        <f t="shared" si="15"/>
        <v>#DIV/0!</v>
      </c>
      <c r="F24" s="57" t="e">
        <f t="shared" si="15"/>
        <v>#DIV/0!</v>
      </c>
      <c r="G24" s="57" t="e">
        <f t="shared" si="15"/>
        <v>#DIV/0!</v>
      </c>
      <c r="H24" s="57" t="e">
        <f t="shared" si="15"/>
        <v>#DIV/0!</v>
      </c>
      <c r="I24" s="57" t="e">
        <f t="shared" ref="I24" si="16">+I15-I23</f>
        <v>#DIV/0!</v>
      </c>
      <c r="K24" s="69"/>
      <c r="T24" s="50" t="s">
        <v>53</v>
      </c>
      <c r="AJ24" s="50" t="s">
        <v>54</v>
      </c>
      <c r="AK24" s="50" t="s">
        <v>53</v>
      </c>
    </row>
    <row r="25" spans="1:38">
      <c r="A25" s="148">
        <v>19</v>
      </c>
      <c r="B25" s="50" t="s">
        <v>244</v>
      </c>
      <c r="C25" s="57" t="e">
        <f>IF(C24&lt;0,0,C24*0.15)</f>
        <v>#DIV/0!</v>
      </c>
      <c r="D25" s="57" t="e">
        <f t="shared" ref="D25:H25" si="17">IF(D24&lt;0,0,D24*0.15)</f>
        <v>#DIV/0!</v>
      </c>
      <c r="E25" s="57" t="e">
        <f t="shared" si="17"/>
        <v>#DIV/0!</v>
      </c>
      <c r="F25" s="57" t="e">
        <f t="shared" si="17"/>
        <v>#DIV/0!</v>
      </c>
      <c r="G25" s="57" t="e">
        <f t="shared" si="17"/>
        <v>#DIV/0!</v>
      </c>
      <c r="H25" s="57" t="e">
        <f t="shared" si="17"/>
        <v>#DIV/0!</v>
      </c>
      <c r="I25" s="57" t="e">
        <f>IF(I24&lt;0,0,I24*0.15)</f>
        <v>#DIV/0!</v>
      </c>
      <c r="J25" s="65"/>
      <c r="K25" s="65"/>
      <c r="L25" s="65"/>
      <c r="T25" s="50" t="s">
        <v>55</v>
      </c>
      <c r="AJ25" s="50" t="s">
        <v>56</v>
      </c>
      <c r="AK25" s="50" t="s">
        <v>55</v>
      </c>
    </row>
    <row r="26" spans="1:38">
      <c r="A26" s="148">
        <v>20</v>
      </c>
      <c r="B26" s="50" t="s">
        <v>57</v>
      </c>
      <c r="C26" s="57" t="e">
        <f t="shared" ref="C26:H26" si="18">C24-C25</f>
        <v>#DIV/0!</v>
      </c>
      <c r="D26" s="57" t="e">
        <f t="shared" si="18"/>
        <v>#DIV/0!</v>
      </c>
      <c r="E26" s="57" t="e">
        <f t="shared" si="18"/>
        <v>#DIV/0!</v>
      </c>
      <c r="F26" s="57" t="e">
        <f t="shared" si="18"/>
        <v>#DIV/0!</v>
      </c>
      <c r="G26" s="57" t="e">
        <f t="shared" si="18"/>
        <v>#DIV/0!</v>
      </c>
      <c r="H26" s="57" t="e">
        <f t="shared" si="18"/>
        <v>#DIV/0!</v>
      </c>
      <c r="I26" s="52" t="e">
        <f>I24-I25</f>
        <v>#DIV/0!</v>
      </c>
      <c r="J26" s="65"/>
      <c r="K26" s="65"/>
      <c r="L26" s="65"/>
      <c r="T26" s="50" t="s">
        <v>57</v>
      </c>
      <c r="AJ26" s="50" t="s">
        <v>58</v>
      </c>
      <c r="AK26" s="50" t="s">
        <v>57</v>
      </c>
    </row>
    <row r="27" spans="1:38">
      <c r="A27" s="148">
        <v>21</v>
      </c>
      <c r="B27" s="50" t="s">
        <v>61</v>
      </c>
      <c r="C27" s="59" t="e">
        <f t="shared" ref="C27:I27" si="19">C26/C7</f>
        <v>#DIV/0!</v>
      </c>
      <c r="D27" s="59" t="e">
        <f t="shared" ref="D27:H27" si="20">D26/D7</f>
        <v>#DIV/0!</v>
      </c>
      <c r="E27" s="59" t="e">
        <f t="shared" si="20"/>
        <v>#DIV/0!</v>
      </c>
      <c r="F27" s="59" t="e">
        <f t="shared" si="20"/>
        <v>#DIV/0!</v>
      </c>
      <c r="G27" s="59" t="e">
        <f t="shared" si="20"/>
        <v>#DIV/0!</v>
      </c>
      <c r="H27" s="59" t="e">
        <f t="shared" si="20"/>
        <v>#DIV/0!</v>
      </c>
      <c r="I27" s="59" t="e">
        <f t="shared" si="19"/>
        <v>#DIV/0!</v>
      </c>
      <c r="J27" s="65"/>
      <c r="K27" s="65"/>
      <c r="L27" s="65"/>
      <c r="T27" s="50" t="s">
        <v>61</v>
      </c>
      <c r="AJ27" s="50" t="s">
        <v>60</v>
      </c>
      <c r="AK27" s="50" t="s">
        <v>61</v>
      </c>
    </row>
    <row r="28" spans="1:38">
      <c r="J28" s="65"/>
      <c r="K28" s="65"/>
      <c r="L28" s="65"/>
      <c r="T28" s="50"/>
    </row>
    <row r="29" spans="1:38">
      <c r="A29" s="46" t="s">
        <v>62</v>
      </c>
      <c r="I29" s="47" t="s">
        <v>147</v>
      </c>
      <c r="J29" s="65"/>
      <c r="K29" s="65"/>
      <c r="L29" s="65"/>
      <c r="T29" s="50"/>
      <c r="AJ29" s="46" t="s">
        <v>62</v>
      </c>
    </row>
    <row r="30" spans="1:38">
      <c r="A30" s="50" t="s">
        <v>63</v>
      </c>
      <c r="B30" s="53" t="s">
        <v>64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64</v>
      </c>
      <c r="AJ30" s="50" t="s">
        <v>65</v>
      </c>
      <c r="AK30" s="53" t="s">
        <v>64</v>
      </c>
    </row>
    <row r="31" spans="1:38">
      <c r="A31" s="148">
        <v>1</v>
      </c>
      <c r="B31" s="55" t="s">
        <v>66</v>
      </c>
      <c r="C31" s="61">
        <f>销量!C8</f>
        <v>85</v>
      </c>
      <c r="D31" s="61">
        <f>销量!D8</f>
        <v>35</v>
      </c>
      <c r="E31" s="61">
        <f>销量!E8</f>
        <v>45</v>
      </c>
      <c r="F31" s="61">
        <f>销量!F8</f>
        <v>85</v>
      </c>
      <c r="G31" s="61">
        <f>销量!G8</f>
        <v>35</v>
      </c>
      <c r="H31" s="61">
        <f>销量!H8</f>
        <v>45</v>
      </c>
      <c r="I31" s="57"/>
      <c r="J31" s="65"/>
      <c r="K31" s="65"/>
      <c r="L31" s="65"/>
      <c r="N31" s="65"/>
      <c r="T31" s="50" t="s">
        <v>66</v>
      </c>
      <c r="AJ31" s="50" t="s">
        <v>20</v>
      </c>
      <c r="AK31" s="50" t="s">
        <v>66</v>
      </c>
    </row>
    <row r="32" spans="1:38">
      <c r="A32" s="148">
        <v>2</v>
      </c>
      <c r="B32" s="50" t="s">
        <v>148</v>
      </c>
      <c r="C32" s="52" t="e">
        <f>C9/C6</f>
        <v>#DIV/0!</v>
      </c>
      <c r="D32" s="52" t="e">
        <f t="shared" ref="D32:H32" si="21">D9/D6</f>
        <v>#DIV/0!</v>
      </c>
      <c r="E32" s="52" t="e">
        <f t="shared" si="21"/>
        <v>#DIV/0!</v>
      </c>
      <c r="F32" s="52" t="e">
        <f t="shared" si="21"/>
        <v>#DIV/0!</v>
      </c>
      <c r="G32" s="52" t="e">
        <f t="shared" si="21"/>
        <v>#DIV/0!</v>
      </c>
      <c r="H32" s="52" t="e">
        <f t="shared" si="21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8">
        <v>3</v>
      </c>
      <c r="B33" s="55" t="s">
        <v>67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67</v>
      </c>
      <c r="AJ33" s="50" t="s">
        <v>22</v>
      </c>
      <c r="AK33" s="50" t="s">
        <v>67</v>
      </c>
    </row>
    <row r="34" spans="1:37" ht="17.25" customHeight="1">
      <c r="A34" s="148">
        <v>4</v>
      </c>
      <c r="B34" s="50" t="s">
        <v>69</v>
      </c>
      <c r="C34" s="62" t="e">
        <f>C32-C33</f>
        <v>#DIV/0!</v>
      </c>
      <c r="D34" s="62" t="e">
        <f t="shared" ref="D34:H34" si="22">D32-D33</f>
        <v>#DIV/0!</v>
      </c>
      <c r="E34" s="62" t="e">
        <f t="shared" si="22"/>
        <v>#DIV/0!</v>
      </c>
      <c r="F34" s="62" t="e">
        <f t="shared" si="22"/>
        <v>#DIV/0!</v>
      </c>
      <c r="G34" s="62" t="e">
        <f t="shared" si="22"/>
        <v>#DIV/0!</v>
      </c>
      <c r="H34" s="62" t="e">
        <f t="shared" si="22"/>
        <v>#DIV/0!</v>
      </c>
      <c r="I34" s="57"/>
      <c r="K34" s="65"/>
      <c r="L34" s="65"/>
      <c r="M34" s="65"/>
      <c r="N34" s="65"/>
      <c r="O34" s="65"/>
      <c r="P34" s="65"/>
      <c r="T34" s="50" t="s">
        <v>69</v>
      </c>
      <c r="AJ34" s="50" t="s">
        <v>68</v>
      </c>
      <c r="AK34" s="50" t="s">
        <v>69</v>
      </c>
    </row>
    <row r="35" spans="1:37">
      <c r="A35" s="50" t="s">
        <v>65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71</v>
      </c>
      <c r="AK35" s="53" t="s">
        <v>8</v>
      </c>
    </row>
    <row r="36" spans="1:37">
      <c r="A36" s="148">
        <v>1</v>
      </c>
      <c r="B36" s="50" t="s">
        <v>72</v>
      </c>
      <c r="C36" s="56">
        <f>'2023年'!C36</f>
        <v>0</v>
      </c>
      <c r="D36" s="56">
        <f>'2023年'!D36</f>
        <v>0</v>
      </c>
      <c r="E36" s="56">
        <f>'2023年'!H36</f>
        <v>0</v>
      </c>
      <c r="F36" s="56">
        <f>'2024年'!F36</f>
        <v>0</v>
      </c>
      <c r="G36" s="56">
        <f>'2024年'!G36</f>
        <v>0</v>
      </c>
      <c r="H36" s="56">
        <f>'2024年'!H36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72</v>
      </c>
      <c r="AJ36" s="50" t="s">
        <v>68</v>
      </c>
      <c r="AK36" s="50" t="s">
        <v>72</v>
      </c>
    </row>
    <row r="37" spans="1:37">
      <c r="A37" s="148">
        <v>2</v>
      </c>
      <c r="B37" s="50" t="s">
        <v>73</v>
      </c>
      <c r="C37" s="56">
        <f>'2023年'!C37</f>
        <v>0</v>
      </c>
      <c r="D37" s="56">
        <f>'2023年'!D37</f>
        <v>0</v>
      </c>
      <c r="E37" s="56">
        <f>'2023年'!H37</f>
        <v>0</v>
      </c>
      <c r="F37" s="56">
        <f>'2024年'!F37</f>
        <v>0</v>
      </c>
      <c r="G37" s="56">
        <f>'2024年'!G37</f>
        <v>0</v>
      </c>
      <c r="H37" s="56">
        <f>'2024年'!H37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73</v>
      </c>
      <c r="AJ37" s="50" t="s">
        <v>25</v>
      </c>
      <c r="AK37" s="50" t="s">
        <v>73</v>
      </c>
    </row>
    <row r="38" spans="1:37">
      <c r="A38" s="148">
        <v>3</v>
      </c>
      <c r="B38" s="50" t="s">
        <v>74</v>
      </c>
      <c r="C38" s="56">
        <f>'2023年'!C38</f>
        <v>2.38</v>
      </c>
      <c r="D38" s="56">
        <f>'2023年'!D38</f>
        <v>0.98</v>
      </c>
      <c r="E38" s="56">
        <f>'2023年'!H38</f>
        <v>1.26</v>
      </c>
      <c r="F38" s="56">
        <f>'2024年'!F38</f>
        <v>2.38</v>
      </c>
      <c r="G38" s="56">
        <f>'2024年'!G38</f>
        <v>0.98</v>
      </c>
      <c r="H38" s="56">
        <f>'2024年'!H38</f>
        <v>1.26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74</v>
      </c>
      <c r="AJ38" s="50" t="s">
        <v>31</v>
      </c>
      <c r="AK38" s="50" t="s">
        <v>74</v>
      </c>
    </row>
    <row r="39" spans="1:37">
      <c r="A39" s="50" t="s">
        <v>71</v>
      </c>
      <c r="B39" s="53" t="s">
        <v>76</v>
      </c>
      <c r="C39" s="57"/>
      <c r="D39" s="57"/>
      <c r="E39" s="57"/>
      <c r="F39" s="57"/>
      <c r="G39" s="57"/>
      <c r="H39" s="57"/>
      <c r="I39" s="57"/>
      <c r="T39" s="53" t="s">
        <v>76</v>
      </c>
      <c r="AJ39" s="50" t="s">
        <v>75</v>
      </c>
      <c r="AK39" s="53" t="s">
        <v>76</v>
      </c>
    </row>
    <row r="40" spans="1:37">
      <c r="A40" s="148">
        <v>1</v>
      </c>
      <c r="B40" s="50" t="s">
        <v>78</v>
      </c>
      <c r="C40" s="57" t="e">
        <f>C34-C36-C37-C38</f>
        <v>#DIV/0!</v>
      </c>
      <c r="D40" s="57" t="e">
        <f t="shared" ref="D40:H40" si="23">D34-D36-D37-D38</f>
        <v>#DIV/0!</v>
      </c>
      <c r="E40" s="57" t="e">
        <f t="shared" si="23"/>
        <v>#DIV/0!</v>
      </c>
      <c r="F40" s="57" t="e">
        <f t="shared" si="23"/>
        <v>#DIV/0!</v>
      </c>
      <c r="G40" s="57" t="e">
        <f t="shared" si="23"/>
        <v>#DIV/0!</v>
      </c>
      <c r="H40" s="57" t="e">
        <f t="shared" si="23"/>
        <v>#DIV/0!</v>
      </c>
      <c r="I40" s="57"/>
      <c r="T40" s="50" t="s">
        <v>78</v>
      </c>
      <c r="AJ40" s="50" t="s">
        <v>20</v>
      </c>
      <c r="AK40" s="50" t="s">
        <v>78</v>
      </c>
    </row>
    <row r="41" spans="1:37">
      <c r="A41" s="148">
        <v>2</v>
      </c>
      <c r="B41" s="50" t="s">
        <v>79</v>
      </c>
      <c r="C41" s="57"/>
      <c r="D41" s="57"/>
      <c r="E41" s="57"/>
      <c r="F41" s="57"/>
      <c r="G41" s="57"/>
      <c r="H41" s="57"/>
      <c r="I41" s="57"/>
      <c r="T41" s="50" t="s">
        <v>79</v>
      </c>
      <c r="AJ41" s="50" t="s">
        <v>22</v>
      </c>
      <c r="AK41" s="50" t="s">
        <v>79</v>
      </c>
    </row>
    <row r="42" spans="1:37">
      <c r="A42" s="50" t="s">
        <v>75</v>
      </c>
      <c r="B42" s="53" t="s">
        <v>81</v>
      </c>
      <c r="C42" s="57"/>
      <c r="D42" s="57"/>
      <c r="E42" s="57"/>
      <c r="F42" s="57"/>
      <c r="G42" s="57"/>
      <c r="H42" s="57"/>
      <c r="I42" s="57"/>
      <c r="T42" s="53" t="s">
        <v>81</v>
      </c>
      <c r="AJ42" s="50" t="s">
        <v>80</v>
      </c>
      <c r="AK42" s="53" t="s">
        <v>81</v>
      </c>
    </row>
    <row r="43" spans="1:37">
      <c r="A43" s="148">
        <v>1</v>
      </c>
      <c r="B43" s="58" t="s">
        <v>82</v>
      </c>
      <c r="C43" s="56">
        <f>'2023年'!C43</f>
        <v>0</v>
      </c>
      <c r="D43" s="56">
        <f>'2023年'!D43</f>
        <v>0</v>
      </c>
      <c r="E43" s="56">
        <f>'2023年'!H43</f>
        <v>0</v>
      </c>
      <c r="F43" s="56">
        <f>'2024年'!F43</f>
        <v>0</v>
      </c>
      <c r="G43" s="56">
        <f>'2024年'!G43</f>
        <v>0</v>
      </c>
      <c r="H43" s="56">
        <f>'2024年'!H43</f>
        <v>0</v>
      </c>
      <c r="I43" s="57"/>
      <c r="T43" s="50" t="s">
        <v>82</v>
      </c>
      <c r="AJ43" s="50" t="s">
        <v>20</v>
      </c>
      <c r="AK43" s="50" t="s">
        <v>82</v>
      </c>
    </row>
    <row r="44" spans="1:37">
      <c r="A44" s="148">
        <v>2</v>
      </c>
      <c r="B44" s="58" t="s">
        <v>83</v>
      </c>
      <c r="C44" s="56">
        <f>'2023年'!C44</f>
        <v>1.7850000000000001</v>
      </c>
      <c r="D44" s="56">
        <f>'2023年'!D44</f>
        <v>0.7350000000000001</v>
      </c>
      <c r="E44" s="56">
        <f>'2023年'!H44</f>
        <v>0.94500000000000006</v>
      </c>
      <c r="F44" s="56">
        <f>'2024年'!F44</f>
        <v>1.7850000000000001</v>
      </c>
      <c r="G44" s="56">
        <f>'2024年'!G44</f>
        <v>0.7350000000000001</v>
      </c>
      <c r="H44" s="56">
        <f>'2024年'!H44</f>
        <v>0.94500000000000006</v>
      </c>
      <c r="I44" s="57"/>
      <c r="T44" s="50" t="s">
        <v>83</v>
      </c>
      <c r="AJ44" s="50" t="s">
        <v>22</v>
      </c>
      <c r="AK44" s="50" t="s">
        <v>83</v>
      </c>
    </row>
    <row r="45" spans="1:37">
      <c r="A45" s="148">
        <v>3</v>
      </c>
      <c r="B45" s="58" t="s">
        <v>84</v>
      </c>
      <c r="C45" s="56">
        <f>'2023年'!C45</f>
        <v>2.4650000000000003</v>
      </c>
      <c r="D45" s="56">
        <f>'2023年'!D45</f>
        <v>1.0150000000000001</v>
      </c>
      <c r="E45" s="56">
        <f>'2023年'!H45</f>
        <v>1.3050000000000002</v>
      </c>
      <c r="F45" s="56">
        <f>'2024年'!F45</f>
        <v>2.4650000000000003</v>
      </c>
      <c r="G45" s="56">
        <f>'2024年'!G45</f>
        <v>1.0150000000000001</v>
      </c>
      <c r="H45" s="56">
        <f>'2024年'!H45</f>
        <v>1.3050000000000002</v>
      </c>
      <c r="I45" s="57"/>
      <c r="T45" s="50" t="s">
        <v>84</v>
      </c>
      <c r="AJ45" s="50" t="s">
        <v>68</v>
      </c>
      <c r="AK45" s="50" t="s">
        <v>84</v>
      </c>
    </row>
    <row r="46" spans="1:37" s="45" customFormat="1">
      <c r="A46" s="148">
        <v>4</v>
      </c>
      <c r="B46" s="58" t="s">
        <v>85</v>
      </c>
      <c r="C46" s="63" t="e">
        <f>C21/C6</f>
        <v>#DIV/0!</v>
      </c>
      <c r="D46" s="63" t="e">
        <f t="shared" ref="D46:H46" si="24">D21/D6</f>
        <v>#DIV/0!</v>
      </c>
      <c r="E46" s="63" t="e">
        <f t="shared" si="24"/>
        <v>#DIV/0!</v>
      </c>
      <c r="F46" s="63" t="e">
        <f t="shared" si="24"/>
        <v>#DIV/0!</v>
      </c>
      <c r="G46" s="63" t="e">
        <f t="shared" si="24"/>
        <v>#DIV/0!</v>
      </c>
      <c r="H46" s="63" t="e">
        <f t="shared" si="24"/>
        <v>#DIV/0!</v>
      </c>
      <c r="I46" s="63"/>
      <c r="T46" s="58" t="s">
        <v>87</v>
      </c>
      <c r="AJ46" s="58" t="s">
        <v>28</v>
      </c>
      <c r="AK46" s="58" t="s">
        <v>87</v>
      </c>
    </row>
    <row r="47" spans="1:37" s="45" customFormat="1">
      <c r="A47" s="148">
        <v>5</v>
      </c>
      <c r="B47" s="58" t="s">
        <v>87</v>
      </c>
      <c r="C47" s="63">
        <f>'2023年'!C47</f>
        <v>1.8105</v>
      </c>
      <c r="D47" s="63">
        <f>'2023年'!D47</f>
        <v>0.74549999999999994</v>
      </c>
      <c r="E47" s="63">
        <f>'2023年'!H47</f>
        <v>0.95850000000000002</v>
      </c>
      <c r="F47" s="63">
        <f>'2024年'!F47</f>
        <v>1.8105</v>
      </c>
      <c r="G47" s="63">
        <f>'2024年'!G47</f>
        <v>0.74549999999999994</v>
      </c>
      <c r="H47" s="63">
        <f>'2024年'!H47</f>
        <v>0.95850000000000002</v>
      </c>
      <c r="I47" s="63"/>
      <c r="T47" s="58" t="s">
        <v>87</v>
      </c>
      <c r="AJ47" s="58" t="s">
        <v>28</v>
      </c>
      <c r="AK47" s="58" t="s">
        <v>87</v>
      </c>
    </row>
    <row r="48" spans="1:37">
      <c r="A48" s="50" t="s">
        <v>80</v>
      </c>
      <c r="B48" s="53" t="s">
        <v>98</v>
      </c>
      <c r="C48" s="57" t="e">
        <f>C40-C43-C44-C45-C47-C46</f>
        <v>#DIV/0!</v>
      </c>
      <c r="D48" s="57" t="e">
        <f t="shared" ref="D48:H48" si="25">D40-D43-D44-D45-D47-D46</f>
        <v>#DIV/0!</v>
      </c>
      <c r="E48" s="57" t="e">
        <f t="shared" si="25"/>
        <v>#DIV/0!</v>
      </c>
      <c r="F48" s="57" t="e">
        <f t="shared" si="25"/>
        <v>#DIV/0!</v>
      </c>
      <c r="G48" s="57" t="e">
        <f t="shared" si="25"/>
        <v>#DIV/0!</v>
      </c>
      <c r="H48" s="57" t="e">
        <f t="shared" si="25"/>
        <v>#DIV/0!</v>
      </c>
      <c r="I48" s="57"/>
      <c r="T48" s="53" t="s">
        <v>98</v>
      </c>
      <c r="AJ48" s="50" t="s">
        <v>97</v>
      </c>
      <c r="AK48" s="53" t="s">
        <v>98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 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附加值</vt:lpstr>
      <vt:lpstr>'2023年'!Print_Area</vt:lpstr>
      <vt:lpstr>'2024年'!Print_Area</vt:lpstr>
      <vt:lpstr>'2025年'!Print_Area</vt:lpstr>
      <vt:lpstr>'2026年'!Print_Area</vt:lpstr>
      <vt:lpstr>'2027年 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2022-12-02T06:41:27Z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