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一汽领途新能源\"/>
    </mc:Choice>
  </mc:AlternateContent>
  <bookViews>
    <workbookView xWindow="0" yWindow="300" windowWidth="18525" windowHeight="6390" tabRatio="810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7" r:id="rId6"/>
    <sheet name="2026年" sheetId="58" r:id="rId7"/>
    <sheet name="2027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'2023年'!$A$1:$I$48</definedName>
    <definedName name="_xlnm.Print_Area" localSheetId="4">'2024年'!$A$1:$I$48</definedName>
    <definedName name="_xlnm.Print_Area" localSheetId="5">'2025年'!$A$1:$I$48</definedName>
    <definedName name="_xlnm.Print_Area" localSheetId="6">'2026年'!$A$1:$I$48</definedName>
    <definedName name="_xlnm.Print_Area" localSheetId="7">'2027年'!$A$1:$I$48</definedName>
    <definedName name="_xlnm.Print_Area" localSheetId="1">损益表!$A$1:$H$61</definedName>
    <definedName name="_xlnm.Print_Area" localSheetId="8">项目投资!$A$1:$C$35</definedName>
  </definedNames>
  <calcPr calcId="162913" concurrentCalc="0"/>
</workbook>
</file>

<file path=xl/calcChain.xml><?xml version="1.0" encoding="utf-8"?>
<calcChain xmlns="http://schemas.openxmlformats.org/spreadsheetml/2006/main">
  <c r="D18" i="55" l="1"/>
  <c r="E18" i="55"/>
  <c r="F18" i="55"/>
  <c r="G18" i="55"/>
  <c r="C17" i="55"/>
  <c r="C18" i="55"/>
  <c r="D17" i="55"/>
  <c r="E17" i="55"/>
  <c r="F17" i="55"/>
  <c r="G17" i="55"/>
  <c r="C16" i="55"/>
  <c r="D16" i="55"/>
  <c r="E16" i="55"/>
  <c r="F16" i="55"/>
  <c r="G16" i="55"/>
  <c r="I3" i="50"/>
  <c r="E4" i="50"/>
  <c r="C36" i="43"/>
  <c r="C36" i="59"/>
  <c r="I17" i="50"/>
  <c r="E18" i="50"/>
  <c r="D36" i="43"/>
  <c r="D36" i="59"/>
  <c r="I31" i="50"/>
  <c r="E32" i="50"/>
  <c r="E36" i="43"/>
  <c r="E36" i="59"/>
  <c r="I44" i="50"/>
  <c r="E45" i="50"/>
  <c r="F36" i="43"/>
  <c r="F36" i="59"/>
  <c r="I57" i="50"/>
  <c r="E58" i="50"/>
  <c r="G36" i="43"/>
  <c r="G36" i="59"/>
  <c r="E6" i="50"/>
  <c r="C37" i="43"/>
  <c r="C37" i="59"/>
  <c r="E20" i="50"/>
  <c r="D37" i="43"/>
  <c r="D37" i="59"/>
  <c r="E34" i="50"/>
  <c r="E37" i="43"/>
  <c r="E37" i="59"/>
  <c r="E47" i="50"/>
  <c r="F37" i="43"/>
  <c r="F37" i="59"/>
  <c r="E60" i="50"/>
  <c r="G37" i="43"/>
  <c r="G37" i="59"/>
  <c r="E10" i="50"/>
  <c r="C38" i="43"/>
  <c r="C38" i="59"/>
  <c r="E24" i="50"/>
  <c r="D38" i="43"/>
  <c r="D38" i="59"/>
  <c r="E38" i="50"/>
  <c r="E38" i="43"/>
  <c r="E38" i="59"/>
  <c r="E51" i="50"/>
  <c r="F38" i="43"/>
  <c r="F38" i="59"/>
  <c r="E64" i="50"/>
  <c r="G38" i="43"/>
  <c r="G38" i="59"/>
  <c r="C36" i="58"/>
  <c r="D36" i="58"/>
  <c r="E36" i="58"/>
  <c r="F36" i="58"/>
  <c r="G36" i="58"/>
  <c r="C37" i="58"/>
  <c r="D37" i="58"/>
  <c r="E37" i="58"/>
  <c r="F37" i="58"/>
  <c r="G37" i="58"/>
  <c r="C38" i="58"/>
  <c r="D38" i="58"/>
  <c r="E38" i="58"/>
  <c r="F38" i="58"/>
  <c r="G38" i="58"/>
  <c r="C36" i="57"/>
  <c r="D36" i="57"/>
  <c r="E36" i="57"/>
  <c r="F36" i="57"/>
  <c r="G36" i="57"/>
  <c r="C37" i="57"/>
  <c r="D37" i="57"/>
  <c r="E37" i="57"/>
  <c r="F37" i="57"/>
  <c r="G37" i="57"/>
  <c r="C38" i="57"/>
  <c r="D38" i="57"/>
  <c r="E38" i="57"/>
  <c r="F38" i="57"/>
  <c r="G38" i="57"/>
  <c r="C36" i="56"/>
  <c r="D36" i="56"/>
  <c r="E36" i="56"/>
  <c r="F36" i="56"/>
  <c r="G36" i="56"/>
  <c r="C37" i="56"/>
  <c r="D37" i="56"/>
  <c r="E37" i="56"/>
  <c r="F37" i="56"/>
  <c r="G37" i="56"/>
  <c r="C38" i="56"/>
  <c r="D38" i="56"/>
  <c r="E38" i="56"/>
  <c r="F38" i="56"/>
  <c r="G38" i="56"/>
  <c r="E11" i="50"/>
  <c r="C47" i="43"/>
  <c r="C47" i="59"/>
  <c r="E25" i="50"/>
  <c r="D47" i="43"/>
  <c r="D47" i="59"/>
  <c r="E39" i="50"/>
  <c r="E47" i="43"/>
  <c r="E47" i="59"/>
  <c r="E52" i="50"/>
  <c r="F47" i="43"/>
  <c r="F47" i="59"/>
  <c r="E65" i="50"/>
  <c r="G47" i="43"/>
  <c r="G47" i="59"/>
  <c r="E8" i="50"/>
  <c r="C45" i="43"/>
  <c r="C45" i="59"/>
  <c r="E22" i="50"/>
  <c r="D45" i="43"/>
  <c r="D45" i="59"/>
  <c r="E36" i="50"/>
  <c r="E45" i="43"/>
  <c r="E45" i="59"/>
  <c r="E49" i="50"/>
  <c r="F45" i="43"/>
  <c r="F45" i="59"/>
  <c r="E62" i="50"/>
  <c r="G45" i="43"/>
  <c r="G45" i="59"/>
  <c r="C47" i="58"/>
  <c r="D47" i="58"/>
  <c r="E47" i="58"/>
  <c r="F47" i="58"/>
  <c r="G47" i="58"/>
  <c r="C45" i="58"/>
  <c r="D45" i="58"/>
  <c r="E45" i="58"/>
  <c r="F45" i="58"/>
  <c r="G45" i="58"/>
  <c r="C47" i="57"/>
  <c r="D47" i="57"/>
  <c r="E47" i="57"/>
  <c r="F47" i="57"/>
  <c r="G47" i="57"/>
  <c r="C45" i="57"/>
  <c r="D45" i="57"/>
  <c r="E45" i="57"/>
  <c r="F45" i="57"/>
  <c r="G45" i="57"/>
  <c r="C47" i="56"/>
  <c r="D47" i="56"/>
  <c r="E47" i="56"/>
  <c r="F47" i="56"/>
  <c r="G47" i="56"/>
  <c r="C45" i="56"/>
  <c r="D45" i="56"/>
  <c r="E45" i="56"/>
  <c r="F45" i="56"/>
  <c r="G45" i="56"/>
  <c r="C6" i="58"/>
  <c r="E9" i="50"/>
  <c r="C44" i="43"/>
  <c r="C44" i="58"/>
  <c r="C19" i="58"/>
  <c r="D6" i="58"/>
  <c r="E23" i="50"/>
  <c r="D44" i="43"/>
  <c r="D44" i="58"/>
  <c r="D19" i="58"/>
  <c r="E6" i="58"/>
  <c r="E37" i="50"/>
  <c r="E44" i="43"/>
  <c r="E44" i="58"/>
  <c r="E19" i="58"/>
  <c r="F6" i="58"/>
  <c r="E50" i="50"/>
  <c r="F44" i="43"/>
  <c r="F44" i="58"/>
  <c r="F19" i="58"/>
  <c r="G6" i="58"/>
  <c r="E63" i="50"/>
  <c r="G44" i="43"/>
  <c r="G44" i="58"/>
  <c r="G19" i="58"/>
  <c r="H6" i="58"/>
  <c r="H19" i="58"/>
  <c r="I19" i="58"/>
  <c r="C6" i="57"/>
  <c r="C44" i="57"/>
  <c r="C19" i="57"/>
  <c r="D6" i="57"/>
  <c r="D44" i="57"/>
  <c r="D19" i="57"/>
  <c r="E6" i="57"/>
  <c r="E44" i="57"/>
  <c r="E19" i="57"/>
  <c r="F6" i="57"/>
  <c r="F44" i="57"/>
  <c r="F19" i="57"/>
  <c r="G6" i="57"/>
  <c r="G44" i="57"/>
  <c r="G19" i="57"/>
  <c r="I19" i="57"/>
  <c r="E5" i="50"/>
  <c r="C43" i="43"/>
  <c r="C43" i="59"/>
  <c r="E19" i="50"/>
  <c r="D43" i="43"/>
  <c r="D43" i="59"/>
  <c r="E33" i="50"/>
  <c r="E43" i="43"/>
  <c r="E43" i="59"/>
  <c r="E46" i="50"/>
  <c r="F43" i="43"/>
  <c r="F43" i="59"/>
  <c r="E59" i="50"/>
  <c r="G43" i="43"/>
  <c r="G43" i="59"/>
  <c r="C44" i="59"/>
  <c r="D44" i="59"/>
  <c r="E44" i="59"/>
  <c r="F44" i="59"/>
  <c r="G44" i="59"/>
  <c r="C43" i="58"/>
  <c r="D43" i="58"/>
  <c r="E43" i="58"/>
  <c r="F43" i="58"/>
  <c r="G43" i="58"/>
  <c r="C43" i="57"/>
  <c r="D43" i="57"/>
  <c r="E43" i="57"/>
  <c r="F43" i="57"/>
  <c r="G43" i="57"/>
  <c r="C43" i="56"/>
  <c r="D43" i="56"/>
  <c r="E43" i="56"/>
  <c r="F43" i="56"/>
  <c r="G43" i="56"/>
  <c r="C44" i="56"/>
  <c r="D44" i="56"/>
  <c r="E44" i="56"/>
  <c r="F44" i="56"/>
  <c r="G44" i="56"/>
  <c r="F8" i="55"/>
  <c r="E8" i="55"/>
  <c r="G8" i="55"/>
  <c r="G6" i="55"/>
  <c r="F6" i="55"/>
  <c r="E6" i="55"/>
  <c r="C6" i="55"/>
  <c r="D8" i="55"/>
  <c r="D6" i="55"/>
  <c r="E34" i="55"/>
  <c r="F34" i="55"/>
  <c r="G34" i="55"/>
  <c r="H34" i="55"/>
  <c r="I34" i="55"/>
  <c r="J34" i="55"/>
  <c r="K34" i="55"/>
  <c r="K33" i="55"/>
  <c r="K30" i="55"/>
  <c r="K29" i="55"/>
  <c r="K28" i="55"/>
  <c r="K27" i="55"/>
  <c r="K26" i="55"/>
  <c r="K25" i="55"/>
  <c r="K24" i="55"/>
  <c r="K23" i="55"/>
  <c r="K22" i="55"/>
  <c r="F77" i="50"/>
  <c r="F64" i="50"/>
  <c r="F10" i="50"/>
  <c r="F38" i="50"/>
  <c r="I70" i="50"/>
  <c r="I77" i="50"/>
  <c r="E77" i="50"/>
  <c r="I64" i="50"/>
  <c r="I38" i="50"/>
  <c r="I10" i="50"/>
  <c r="D12" i="53"/>
  <c r="F12" i="53"/>
  <c r="G12" i="53"/>
  <c r="H12" i="53"/>
  <c r="I12" i="53"/>
  <c r="F74" i="50"/>
  <c r="F61" i="50"/>
  <c r="F48" i="50"/>
  <c r="F35" i="50"/>
  <c r="F7" i="50"/>
  <c r="F21" i="50"/>
  <c r="D6" i="59"/>
  <c r="D7" i="59"/>
  <c r="E6" i="59"/>
  <c r="F6" i="59"/>
  <c r="F12" i="59"/>
  <c r="G6" i="59"/>
  <c r="H6" i="59"/>
  <c r="C6" i="59"/>
  <c r="I8" i="43"/>
  <c r="H75" i="50"/>
  <c r="I74" i="50"/>
  <c r="H74" i="50"/>
  <c r="H62" i="50"/>
  <c r="I61" i="50"/>
  <c r="H61" i="50"/>
  <c r="H49" i="50"/>
  <c r="I48" i="50"/>
  <c r="H48" i="50"/>
  <c r="H36" i="50"/>
  <c r="I35" i="50"/>
  <c r="H35" i="50"/>
  <c r="H22" i="50"/>
  <c r="I21" i="50"/>
  <c r="H21" i="50"/>
  <c r="D3" i="59"/>
  <c r="E3" i="59"/>
  <c r="F3" i="59"/>
  <c r="G3" i="59"/>
  <c r="H3" i="59"/>
  <c r="D4" i="59"/>
  <c r="E4" i="59"/>
  <c r="F4" i="59"/>
  <c r="G4" i="59"/>
  <c r="H4" i="59"/>
  <c r="H7" i="59"/>
  <c r="D31" i="59"/>
  <c r="E31" i="59"/>
  <c r="F31" i="59"/>
  <c r="G31" i="59"/>
  <c r="H31" i="59"/>
  <c r="D3" i="58"/>
  <c r="E3" i="58"/>
  <c r="F3" i="58"/>
  <c r="G3" i="58"/>
  <c r="H3" i="58"/>
  <c r="D4" i="58"/>
  <c r="E4" i="58"/>
  <c r="F4" i="58"/>
  <c r="G4" i="58"/>
  <c r="H4" i="58"/>
  <c r="D12" i="58"/>
  <c r="G13" i="58"/>
  <c r="D31" i="58"/>
  <c r="E31" i="58"/>
  <c r="F31" i="58"/>
  <c r="G31" i="58"/>
  <c r="H31" i="58"/>
  <c r="D3" i="57"/>
  <c r="E3" i="57"/>
  <c r="F3" i="57"/>
  <c r="G3" i="57"/>
  <c r="H3" i="57"/>
  <c r="D4" i="57"/>
  <c r="E4" i="57"/>
  <c r="F4" i="57"/>
  <c r="G4" i="57"/>
  <c r="H4" i="57"/>
  <c r="D7" i="57"/>
  <c r="E13" i="57"/>
  <c r="F12" i="57"/>
  <c r="G22" i="57"/>
  <c r="H6" i="57"/>
  <c r="E7" i="57"/>
  <c r="D31" i="57"/>
  <c r="E31" i="57"/>
  <c r="F31" i="57"/>
  <c r="G31" i="57"/>
  <c r="H31" i="57"/>
  <c r="D31" i="56"/>
  <c r="E31" i="56"/>
  <c r="F31" i="56"/>
  <c r="G31" i="56"/>
  <c r="H31" i="56"/>
  <c r="D3" i="56"/>
  <c r="E3" i="56"/>
  <c r="F3" i="56"/>
  <c r="G3" i="56"/>
  <c r="H3" i="56"/>
  <c r="D4" i="56"/>
  <c r="E4" i="56"/>
  <c r="F4" i="56"/>
  <c r="G4" i="56"/>
  <c r="H4" i="56"/>
  <c r="D6" i="56"/>
  <c r="D13" i="56"/>
  <c r="E6" i="56"/>
  <c r="E7" i="56"/>
  <c r="F6" i="56"/>
  <c r="F11" i="56"/>
  <c r="G6" i="56"/>
  <c r="H6" i="56"/>
  <c r="H13" i="56"/>
  <c r="I4" i="53"/>
  <c r="I5" i="53"/>
  <c r="E4" i="53"/>
  <c r="F4" i="53"/>
  <c r="G4" i="53"/>
  <c r="H4" i="53"/>
  <c r="E5" i="53"/>
  <c r="F5" i="53"/>
  <c r="G5" i="53"/>
  <c r="H5" i="53"/>
  <c r="D5" i="53"/>
  <c r="D4" i="53"/>
  <c r="E75" i="50"/>
  <c r="H45" i="43"/>
  <c r="E71" i="50"/>
  <c r="H36" i="43"/>
  <c r="E72" i="50"/>
  <c r="E76" i="50"/>
  <c r="E73" i="50"/>
  <c r="H37" i="43"/>
  <c r="H38" i="43"/>
  <c r="E74" i="50"/>
  <c r="E78" i="50"/>
  <c r="G22" i="59"/>
  <c r="E35" i="50"/>
  <c r="E48" i="50"/>
  <c r="E13" i="59"/>
  <c r="E7" i="59"/>
  <c r="E7" i="50"/>
  <c r="E61" i="50"/>
  <c r="E21" i="50"/>
  <c r="I6" i="59"/>
  <c r="F11" i="57"/>
  <c r="H47" i="43"/>
  <c r="F7" i="57"/>
  <c r="E7" i="58"/>
  <c r="F11" i="59"/>
  <c r="D22" i="58"/>
  <c r="H22" i="58"/>
  <c r="E22" i="59"/>
  <c r="H22" i="59"/>
  <c r="D22" i="59"/>
  <c r="H12" i="59"/>
  <c r="D12" i="59"/>
  <c r="E11" i="59"/>
  <c r="F22" i="57"/>
  <c r="G22" i="56"/>
  <c r="E19" i="59"/>
  <c r="G12" i="56"/>
  <c r="E11" i="57"/>
  <c r="H22" i="56"/>
  <c r="H19" i="57"/>
  <c r="H11" i="57"/>
  <c r="D11" i="57"/>
  <c r="G7" i="58"/>
  <c r="D13" i="57"/>
  <c r="G11" i="58"/>
  <c r="G7" i="56"/>
  <c r="H7" i="56"/>
  <c r="G22" i="58"/>
  <c r="H12" i="56"/>
  <c r="E12" i="57"/>
  <c r="F13" i="58"/>
  <c r="D22" i="56"/>
  <c r="H7" i="57"/>
  <c r="G13" i="56"/>
  <c r="D12" i="56"/>
  <c r="D7" i="56"/>
  <c r="E22" i="57"/>
  <c r="E13" i="58"/>
  <c r="F13" i="56"/>
  <c r="H13" i="59"/>
  <c r="D13" i="59"/>
  <c r="H19" i="59"/>
  <c r="D19" i="59"/>
  <c r="H11" i="59"/>
  <c r="D11" i="59"/>
  <c r="F19" i="59"/>
  <c r="F22" i="59"/>
  <c r="E12" i="59"/>
  <c r="F7" i="59"/>
  <c r="E19" i="56"/>
  <c r="F7" i="58"/>
  <c r="D19" i="56"/>
  <c r="F12" i="58"/>
  <c r="H11" i="56"/>
  <c r="D11" i="56"/>
  <c r="F22" i="56"/>
  <c r="G19" i="56"/>
  <c r="H13" i="57"/>
  <c r="E22" i="58"/>
  <c r="E12" i="58"/>
  <c r="F11" i="58"/>
  <c r="E13" i="56"/>
  <c r="F12" i="56"/>
  <c r="G11" i="56"/>
  <c r="F7" i="56"/>
  <c r="E11" i="56"/>
  <c r="H19" i="56"/>
  <c r="F22" i="58"/>
  <c r="E22" i="56"/>
  <c r="F19" i="56"/>
  <c r="H22" i="57"/>
  <c r="D22" i="57"/>
  <c r="H12" i="57"/>
  <c r="D12" i="57"/>
  <c r="E11" i="58"/>
  <c r="E12" i="56"/>
  <c r="H12" i="58"/>
  <c r="G7" i="59"/>
  <c r="G11" i="59"/>
  <c r="G19" i="59"/>
  <c r="G12" i="59"/>
  <c r="G13" i="59"/>
  <c r="F13" i="59"/>
  <c r="F14" i="59"/>
  <c r="D13" i="58"/>
  <c r="G12" i="58"/>
  <c r="H11" i="58"/>
  <c r="D11" i="58"/>
  <c r="H7" i="58"/>
  <c r="D7" i="58"/>
  <c r="H13" i="58"/>
  <c r="G7" i="57"/>
  <c r="G11" i="57"/>
  <c r="G12" i="57"/>
  <c r="G13" i="57"/>
  <c r="F13" i="57"/>
  <c r="F14" i="57"/>
  <c r="E14" i="58"/>
  <c r="D14" i="59"/>
  <c r="H14" i="59"/>
  <c r="E14" i="59"/>
  <c r="F14" i="58"/>
  <c r="E14" i="57"/>
  <c r="D14" i="57"/>
  <c r="H14" i="56"/>
  <c r="H14" i="57"/>
  <c r="G14" i="58"/>
  <c r="G14" i="56"/>
  <c r="F14" i="56"/>
  <c r="E14" i="56"/>
  <c r="D14" i="56"/>
  <c r="D14" i="58"/>
  <c r="H14" i="58"/>
  <c r="G14" i="59"/>
  <c r="G14" i="57"/>
  <c r="D31" i="43"/>
  <c r="D32" i="43"/>
  <c r="E31" i="43"/>
  <c r="E32" i="43"/>
  <c r="F31" i="43"/>
  <c r="F32" i="43"/>
  <c r="G31" i="43"/>
  <c r="G32" i="43"/>
  <c r="H31" i="43"/>
  <c r="H32" i="43"/>
  <c r="D6" i="43"/>
  <c r="E6" i="43"/>
  <c r="F6" i="43"/>
  <c r="G6" i="43"/>
  <c r="H6" i="43"/>
  <c r="E3" i="43"/>
  <c r="F3" i="43"/>
  <c r="G3" i="43"/>
  <c r="H3" i="43"/>
  <c r="E4" i="43"/>
  <c r="F4" i="43"/>
  <c r="G4" i="43"/>
  <c r="H4" i="43"/>
  <c r="D4" i="43"/>
  <c r="D3" i="43"/>
  <c r="K7" i="55"/>
  <c r="K8" i="55"/>
  <c r="I10" i="55"/>
  <c r="I11" i="55"/>
  <c r="I12" i="55"/>
  <c r="I13" i="55"/>
  <c r="I14" i="55"/>
  <c r="C15" i="55"/>
  <c r="D15" i="55"/>
  <c r="E15" i="55"/>
  <c r="F15" i="55"/>
  <c r="G15" i="55"/>
  <c r="H15" i="55"/>
  <c r="G11" i="43"/>
  <c r="G13" i="43"/>
  <c r="E12" i="43"/>
  <c r="E7" i="43"/>
  <c r="E9" i="43"/>
  <c r="G22" i="43"/>
  <c r="E22" i="43"/>
  <c r="E13" i="43"/>
  <c r="G19" i="43"/>
  <c r="G12" i="43"/>
  <c r="F19" i="43"/>
  <c r="F11" i="43"/>
  <c r="D22" i="43"/>
  <c r="D13" i="43"/>
  <c r="G7" i="43"/>
  <c r="G9" i="43"/>
  <c r="D19" i="43"/>
  <c r="D12" i="43"/>
  <c r="D11" i="43"/>
  <c r="D20" i="43"/>
  <c r="H22" i="43"/>
  <c r="F20" i="43"/>
  <c r="F7" i="43"/>
  <c r="F9" i="43"/>
  <c r="G20" i="43"/>
  <c r="H13" i="43"/>
  <c r="H12" i="43"/>
  <c r="H11" i="43"/>
  <c r="H20" i="43"/>
  <c r="F22" i="43"/>
  <c r="E19" i="43"/>
  <c r="H7" i="43"/>
  <c r="H9" i="43"/>
  <c r="D7" i="43"/>
  <c r="D9" i="43"/>
  <c r="H19" i="43"/>
  <c r="F13" i="43"/>
  <c r="F12" i="43"/>
  <c r="E11" i="43"/>
  <c r="E20" i="43"/>
  <c r="H34" i="43"/>
  <c r="H40" i="43"/>
  <c r="G14" i="43"/>
  <c r="E14" i="43"/>
  <c r="H14" i="43"/>
  <c r="H15" i="43"/>
  <c r="H16" i="43"/>
  <c r="F14" i="43"/>
  <c r="D14" i="43"/>
  <c r="C2" i="59"/>
  <c r="C2" i="58"/>
  <c r="C2" i="57"/>
  <c r="C2" i="56"/>
  <c r="H7" i="50"/>
  <c r="C4" i="59"/>
  <c r="C3" i="59"/>
  <c r="C4" i="58"/>
  <c r="C3" i="58"/>
  <c r="C4" i="57"/>
  <c r="C3" i="57"/>
  <c r="C3" i="56"/>
  <c r="C4" i="56"/>
  <c r="C3" i="43"/>
  <c r="C4" i="43"/>
  <c r="B9" i="51"/>
  <c r="L8" i="55"/>
  <c r="K9" i="55"/>
  <c r="L7" i="55"/>
  <c r="C31" i="59"/>
  <c r="C31" i="58"/>
  <c r="C31" i="57"/>
  <c r="C6" i="56"/>
  <c r="I6" i="56"/>
  <c r="C31" i="56"/>
  <c r="E8" i="56"/>
  <c r="E9" i="56"/>
  <c r="D8" i="56"/>
  <c r="D9" i="56"/>
  <c r="G8" i="56"/>
  <c r="G9" i="56"/>
  <c r="H8" i="56"/>
  <c r="H9" i="56"/>
  <c r="F8" i="56"/>
  <c r="F9" i="56"/>
  <c r="E8" i="57"/>
  <c r="E9" i="57"/>
  <c r="D8" i="57"/>
  <c r="D9" i="57"/>
  <c r="F8" i="57"/>
  <c r="F9" i="57"/>
  <c r="H8" i="57"/>
  <c r="H9" i="57"/>
  <c r="G8" i="57"/>
  <c r="G9" i="57"/>
  <c r="I6" i="57"/>
  <c r="E3" i="2"/>
  <c r="I6" i="58"/>
  <c r="D3" i="2"/>
  <c r="C7" i="56"/>
  <c r="C7" i="57"/>
  <c r="I7" i="57"/>
  <c r="C7" i="58"/>
  <c r="I7" i="58"/>
  <c r="C13" i="59"/>
  <c r="I13" i="59"/>
  <c r="C19" i="59"/>
  <c r="I19" i="59"/>
  <c r="C12" i="59"/>
  <c r="I12" i="59"/>
  <c r="C13" i="57"/>
  <c r="I13" i="57"/>
  <c r="L9" i="55"/>
  <c r="K10" i="55"/>
  <c r="L10" i="55"/>
  <c r="C22" i="59"/>
  <c r="I22" i="59"/>
  <c r="C7" i="59"/>
  <c r="I7" i="59"/>
  <c r="G3" i="2"/>
  <c r="C11" i="58"/>
  <c r="I11" i="58"/>
  <c r="C22" i="57"/>
  <c r="I22" i="57"/>
  <c r="C13" i="56"/>
  <c r="I13" i="56"/>
  <c r="C11" i="56"/>
  <c r="I11" i="56"/>
  <c r="E8" i="59"/>
  <c r="E9" i="59"/>
  <c r="H8" i="59"/>
  <c r="H9" i="59"/>
  <c r="D8" i="59"/>
  <c r="D9" i="59"/>
  <c r="F8" i="59"/>
  <c r="F9" i="59"/>
  <c r="G8" i="59"/>
  <c r="G9" i="59"/>
  <c r="H32" i="57"/>
  <c r="H15" i="57"/>
  <c r="H16" i="57"/>
  <c r="E32" i="57"/>
  <c r="G32" i="56"/>
  <c r="F8" i="58"/>
  <c r="F9" i="58"/>
  <c r="H8" i="58"/>
  <c r="H9" i="58"/>
  <c r="G8" i="58"/>
  <c r="G9" i="58"/>
  <c r="D8" i="58"/>
  <c r="D9" i="58"/>
  <c r="E8" i="58"/>
  <c r="E9" i="58"/>
  <c r="F32" i="57"/>
  <c r="F32" i="56"/>
  <c r="D32" i="56"/>
  <c r="G32" i="57"/>
  <c r="D32" i="57"/>
  <c r="H15" i="56"/>
  <c r="H16" i="56"/>
  <c r="H32" i="56"/>
  <c r="E32" i="56"/>
  <c r="C8" i="56"/>
  <c r="C9" i="56"/>
  <c r="I7" i="56"/>
  <c r="D4" i="2"/>
  <c r="E4" i="2"/>
  <c r="C8" i="57"/>
  <c r="C8" i="58"/>
  <c r="C22" i="58"/>
  <c r="I22" i="58"/>
  <c r="C11" i="57"/>
  <c r="D8" i="2"/>
  <c r="C13" i="58"/>
  <c r="I13" i="58"/>
  <c r="C11" i="59"/>
  <c r="C19" i="56"/>
  <c r="I19" i="56"/>
  <c r="C22" i="56"/>
  <c r="I22" i="56"/>
  <c r="C12" i="57"/>
  <c r="I12" i="57"/>
  <c r="C12" i="58"/>
  <c r="I12" i="58"/>
  <c r="C8" i="59"/>
  <c r="F3" i="2"/>
  <c r="E10" i="2"/>
  <c r="C12" i="56"/>
  <c r="G9" i="2"/>
  <c r="G35" i="2"/>
  <c r="G16" i="2"/>
  <c r="G42" i="2"/>
  <c r="G10" i="2"/>
  <c r="G4" i="2"/>
  <c r="G19" i="2"/>
  <c r="F4" i="2"/>
  <c r="D34" i="2"/>
  <c r="G36" i="2"/>
  <c r="E36" i="2"/>
  <c r="G20" i="57"/>
  <c r="F20" i="56"/>
  <c r="E32" i="58"/>
  <c r="H32" i="58"/>
  <c r="H15" i="58"/>
  <c r="H16" i="58"/>
  <c r="G20" i="56"/>
  <c r="F32" i="59"/>
  <c r="E32" i="59"/>
  <c r="I8" i="59"/>
  <c r="G5" i="2"/>
  <c r="I8" i="58"/>
  <c r="E20" i="56"/>
  <c r="D20" i="56"/>
  <c r="D32" i="58"/>
  <c r="F32" i="58"/>
  <c r="H20" i="57"/>
  <c r="H34" i="57"/>
  <c r="H40" i="57"/>
  <c r="D32" i="59"/>
  <c r="H34" i="56"/>
  <c r="H40" i="56"/>
  <c r="H20" i="56"/>
  <c r="D20" i="57"/>
  <c r="F20" i="57"/>
  <c r="G32" i="58"/>
  <c r="E20" i="57"/>
  <c r="G32" i="59"/>
  <c r="H32" i="59"/>
  <c r="H15" i="59"/>
  <c r="H16" i="59"/>
  <c r="C14" i="59"/>
  <c r="I14" i="59"/>
  <c r="G11" i="2"/>
  <c r="I11" i="59"/>
  <c r="G8" i="2"/>
  <c r="C32" i="56"/>
  <c r="C20" i="56"/>
  <c r="I9" i="56"/>
  <c r="D6" i="2"/>
  <c r="D29" i="2"/>
  <c r="C9" i="57"/>
  <c r="I8" i="57"/>
  <c r="E5" i="2"/>
  <c r="I11" i="57"/>
  <c r="E8" i="2"/>
  <c r="I8" i="56"/>
  <c r="D5" i="2"/>
  <c r="C14" i="56"/>
  <c r="I14" i="56"/>
  <c r="I12" i="56"/>
  <c r="C9" i="58"/>
  <c r="I9" i="58"/>
  <c r="E19" i="2"/>
  <c r="C14" i="57"/>
  <c r="I14" i="57"/>
  <c r="C14" i="58"/>
  <c r="I14" i="58"/>
  <c r="E16" i="2"/>
  <c r="E42" i="2"/>
  <c r="F5" i="2"/>
  <c r="F10" i="2"/>
  <c r="D10" i="2"/>
  <c r="D16" i="2"/>
  <c r="D42" i="2"/>
  <c r="C9" i="59"/>
  <c r="I9" i="59"/>
  <c r="F8" i="2"/>
  <c r="G34" i="2"/>
  <c r="D36" i="2"/>
  <c r="D47" i="2"/>
  <c r="F34" i="2"/>
  <c r="F36" i="2"/>
  <c r="E34" i="2"/>
  <c r="G20" i="59"/>
  <c r="D20" i="59"/>
  <c r="F20" i="59"/>
  <c r="E20" i="58"/>
  <c r="I20" i="56"/>
  <c r="D20" i="58"/>
  <c r="E20" i="59"/>
  <c r="H34" i="58"/>
  <c r="H40" i="58"/>
  <c r="H20" i="58"/>
  <c r="H34" i="59"/>
  <c r="H40" i="59"/>
  <c r="H20" i="59"/>
  <c r="G20" i="58"/>
  <c r="F20" i="58"/>
  <c r="C32" i="57"/>
  <c r="C20" i="57"/>
  <c r="I9" i="57"/>
  <c r="E6" i="2"/>
  <c r="E29" i="2"/>
  <c r="C32" i="58"/>
  <c r="C20" i="58"/>
  <c r="F6" i="2"/>
  <c r="F29" i="2"/>
  <c r="C32" i="59"/>
  <c r="G6" i="2"/>
  <c r="F19" i="2"/>
  <c r="E51" i="2"/>
  <c r="E47" i="2"/>
  <c r="F51" i="2"/>
  <c r="G29" i="2"/>
  <c r="G51" i="2"/>
  <c r="G47" i="2"/>
  <c r="I20" i="58"/>
  <c r="F17" i="2"/>
  <c r="I20" i="57"/>
  <c r="E17" i="2"/>
  <c r="D19" i="2"/>
  <c r="D51" i="2"/>
  <c r="F9" i="2"/>
  <c r="C20" i="59"/>
  <c r="I20" i="59"/>
  <c r="F11" i="2"/>
  <c r="D11" i="2"/>
  <c r="D9" i="2"/>
  <c r="E49" i="2"/>
  <c r="E43" i="2"/>
  <c r="F49" i="2"/>
  <c r="F43" i="2"/>
  <c r="D35" i="2"/>
  <c r="F35" i="2"/>
  <c r="E11" i="2"/>
  <c r="E9" i="2"/>
  <c r="F16" i="2"/>
  <c r="F42" i="2"/>
  <c r="F47" i="2"/>
  <c r="E35" i="2"/>
  <c r="D17" i="2"/>
  <c r="D43" i="2"/>
  <c r="D49" i="2"/>
  <c r="G17" i="2"/>
  <c r="B5" i="51"/>
  <c r="G49" i="2"/>
  <c r="G43" i="2"/>
  <c r="H8" i="50"/>
  <c r="I7" i="50"/>
  <c r="E22" i="53"/>
  <c r="F22" i="53"/>
  <c r="G22" i="53"/>
  <c r="H22" i="53"/>
  <c r="E21" i="53"/>
  <c r="F21" i="53"/>
  <c r="G21" i="53"/>
  <c r="H21" i="53"/>
  <c r="E20" i="53"/>
  <c r="F20" i="53"/>
  <c r="G20" i="53"/>
  <c r="H20" i="53"/>
  <c r="E12" i="53"/>
  <c r="E19" i="53"/>
  <c r="F19" i="53"/>
  <c r="G19" i="53"/>
  <c r="H19" i="53"/>
  <c r="E18" i="53"/>
  <c r="F18" i="53"/>
  <c r="G18" i="53"/>
  <c r="H18" i="53"/>
  <c r="I18" i="53"/>
  <c r="I9" i="55"/>
  <c r="G22" i="51"/>
  <c r="B27" i="51"/>
  <c r="C56" i="2"/>
  <c r="B8" i="51"/>
  <c r="B7" i="51"/>
  <c r="C31" i="43"/>
  <c r="C32" i="43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E10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K5" i="36"/>
  <c r="J6" i="36"/>
  <c r="I6" i="36"/>
  <c r="H6" i="36"/>
  <c r="G6" i="36"/>
  <c r="E6" i="36"/>
  <c r="E5" i="36"/>
  <c r="J5" i="36"/>
  <c r="I5" i="36"/>
  <c r="D5" i="36"/>
  <c r="C5" i="36"/>
  <c r="D4" i="36"/>
  <c r="E4" i="36"/>
  <c r="F4" i="36"/>
  <c r="G4" i="36"/>
  <c r="H4" i="36"/>
  <c r="I4" i="36"/>
  <c r="J4" i="36"/>
  <c r="K4" i="36"/>
  <c r="L4" i="36"/>
  <c r="C5" i="2"/>
  <c r="H5" i="2"/>
  <c r="I20" i="53"/>
  <c r="E33" i="58"/>
  <c r="C33" i="59"/>
  <c r="C10" i="59"/>
  <c r="I22" i="53"/>
  <c r="G33" i="58"/>
  <c r="G34" i="58"/>
  <c r="G40" i="58"/>
  <c r="I21" i="53"/>
  <c r="F33" i="58"/>
  <c r="F34" i="58"/>
  <c r="F40" i="58"/>
  <c r="I19" i="53"/>
  <c r="D33" i="58"/>
  <c r="E33" i="43"/>
  <c r="E10" i="43"/>
  <c r="K10" i="36"/>
  <c r="F33" i="43"/>
  <c r="F10" i="43"/>
  <c r="D33" i="43"/>
  <c r="D10" i="43"/>
  <c r="G33" i="43"/>
  <c r="G10" i="43"/>
  <c r="C22" i="43"/>
  <c r="I22" i="43"/>
  <c r="I6" i="43"/>
  <c r="C3" i="2"/>
  <c r="H3" i="2"/>
  <c r="C19" i="43"/>
  <c r="I19" i="43"/>
  <c r="C10" i="56"/>
  <c r="C33" i="43"/>
  <c r="C34" i="43"/>
  <c r="C40" i="43"/>
  <c r="C7" i="43"/>
  <c r="C10" i="43"/>
  <c r="B26" i="51"/>
  <c r="G5" i="36"/>
  <c r="M6" i="36"/>
  <c r="G10" i="36"/>
  <c r="J10" i="36"/>
  <c r="J17" i="36"/>
  <c r="J19" i="36"/>
  <c r="C10" i="36"/>
  <c r="M15" i="36"/>
  <c r="H5" i="36"/>
  <c r="B10" i="51"/>
  <c r="I15" i="55"/>
  <c r="C17" i="36"/>
  <c r="M7" i="36"/>
  <c r="M12" i="36"/>
  <c r="H10" i="36"/>
  <c r="D10" i="36"/>
  <c r="D17" i="36"/>
  <c r="M5" i="36"/>
  <c r="M11" i="36"/>
  <c r="F10" i="36"/>
  <c r="I10" i="36"/>
  <c r="I17" i="36"/>
  <c r="I19" i="36"/>
  <c r="L10" i="36"/>
  <c r="D27" i="51"/>
  <c r="I21" i="58"/>
  <c r="M13" i="36"/>
  <c r="E17" i="36"/>
  <c r="E19" i="36"/>
  <c r="K17" i="36"/>
  <c r="K19" i="36"/>
  <c r="M14" i="36"/>
  <c r="C11" i="43"/>
  <c r="I11" i="43"/>
  <c r="C12" i="43"/>
  <c r="I12" i="43"/>
  <c r="C13" i="43"/>
  <c r="I13" i="43"/>
  <c r="C20" i="43"/>
  <c r="I20" i="43"/>
  <c r="D26" i="51"/>
  <c r="I18" i="56"/>
  <c r="D60" i="2"/>
  <c r="C57" i="2"/>
  <c r="C55" i="2"/>
  <c r="G33" i="59"/>
  <c r="G34" i="59"/>
  <c r="G40" i="59"/>
  <c r="G10" i="59"/>
  <c r="E33" i="59"/>
  <c r="E34" i="59"/>
  <c r="E40" i="59"/>
  <c r="E10" i="59"/>
  <c r="F10" i="59"/>
  <c r="F33" i="59"/>
  <c r="F34" i="59"/>
  <c r="F40" i="59"/>
  <c r="D10" i="59"/>
  <c r="D33" i="59"/>
  <c r="D34" i="59"/>
  <c r="D40" i="59"/>
  <c r="G33" i="56"/>
  <c r="G34" i="56"/>
  <c r="G40" i="56"/>
  <c r="G10" i="56"/>
  <c r="G15" i="56"/>
  <c r="G16" i="56"/>
  <c r="F33" i="56"/>
  <c r="F34" i="56"/>
  <c r="F40" i="56"/>
  <c r="F10" i="56"/>
  <c r="F15" i="56"/>
  <c r="F16" i="56"/>
  <c r="I10" i="43"/>
  <c r="C7" i="2"/>
  <c r="C30" i="2"/>
  <c r="D33" i="56"/>
  <c r="D34" i="56"/>
  <c r="D40" i="56"/>
  <c r="D10" i="56"/>
  <c r="D15" i="56"/>
  <c r="D16" i="56"/>
  <c r="E33" i="56"/>
  <c r="E34" i="56"/>
  <c r="E40" i="56"/>
  <c r="E10" i="56"/>
  <c r="E15" i="56"/>
  <c r="E16" i="56"/>
  <c r="C9" i="43"/>
  <c r="I9" i="43"/>
  <c r="I7" i="43"/>
  <c r="C4" i="2"/>
  <c r="I18" i="58"/>
  <c r="F60" i="2"/>
  <c r="I18" i="43"/>
  <c r="E21" i="58"/>
  <c r="F21" i="58"/>
  <c r="G21" i="58"/>
  <c r="H21" i="58"/>
  <c r="D21" i="58"/>
  <c r="D34" i="43"/>
  <c r="D40" i="43"/>
  <c r="D15" i="43"/>
  <c r="C33" i="56"/>
  <c r="C34" i="56"/>
  <c r="C40" i="56"/>
  <c r="C14" i="43"/>
  <c r="I14" i="43"/>
  <c r="G17" i="36"/>
  <c r="G19" i="36"/>
  <c r="I18" i="59"/>
  <c r="G60" i="2"/>
  <c r="I18" i="57"/>
  <c r="E60" i="2"/>
  <c r="E26" i="51"/>
  <c r="F26" i="51"/>
  <c r="J26" i="51"/>
  <c r="E23" i="36"/>
  <c r="C18" i="36"/>
  <c r="D18" i="36"/>
  <c r="E18" i="36"/>
  <c r="C19" i="36"/>
  <c r="M10" i="36"/>
  <c r="D19" i="36"/>
  <c r="E22" i="36"/>
  <c r="H17" i="36"/>
  <c r="H19" i="36"/>
  <c r="I21" i="59"/>
  <c r="I21" i="56"/>
  <c r="I21" i="57"/>
  <c r="C17" i="2"/>
  <c r="C43" i="2"/>
  <c r="C9" i="2"/>
  <c r="C35" i="2"/>
  <c r="I21" i="43"/>
  <c r="E27" i="51"/>
  <c r="F27" i="51"/>
  <c r="G27" i="51"/>
  <c r="H27" i="51"/>
  <c r="D28" i="51"/>
  <c r="M17" i="36"/>
  <c r="C18" i="43"/>
  <c r="C60" i="2"/>
  <c r="M19" i="36"/>
  <c r="C33" i="57"/>
  <c r="C34" i="57"/>
  <c r="C40" i="57"/>
  <c r="C10" i="57"/>
  <c r="D15" i="59"/>
  <c r="D16" i="59"/>
  <c r="D10" i="58"/>
  <c r="D15" i="58"/>
  <c r="D16" i="58"/>
  <c r="D33" i="57"/>
  <c r="D34" i="57"/>
  <c r="D40" i="57"/>
  <c r="D10" i="57"/>
  <c r="D15" i="57"/>
  <c r="D16" i="57"/>
  <c r="H9" i="2"/>
  <c r="H35" i="2"/>
  <c r="I22" i="36"/>
  <c r="I10" i="56"/>
  <c r="D7" i="2"/>
  <c r="D30" i="2"/>
  <c r="D31" i="2"/>
  <c r="D32" i="2"/>
  <c r="E33" i="57"/>
  <c r="E34" i="57"/>
  <c r="E40" i="57"/>
  <c r="E10" i="57"/>
  <c r="E15" i="57"/>
  <c r="E16" i="57"/>
  <c r="H17" i="2"/>
  <c r="H43" i="2"/>
  <c r="F6" i="36"/>
  <c r="F5" i="36"/>
  <c r="F17" i="36"/>
  <c r="F19" i="36"/>
  <c r="H4" i="2"/>
  <c r="L6" i="36"/>
  <c r="L5" i="36"/>
  <c r="L17" i="36"/>
  <c r="L19" i="36"/>
  <c r="F33" i="57"/>
  <c r="F34" i="57"/>
  <c r="F40" i="57"/>
  <c r="F10" i="57"/>
  <c r="F15" i="57"/>
  <c r="F16" i="57"/>
  <c r="G33" i="57"/>
  <c r="G34" i="57"/>
  <c r="G40" i="57"/>
  <c r="G10" i="57"/>
  <c r="G15" i="57"/>
  <c r="G16" i="57"/>
  <c r="I23" i="36"/>
  <c r="F46" i="58"/>
  <c r="F48" i="58"/>
  <c r="H46" i="58"/>
  <c r="H48" i="58"/>
  <c r="D46" i="58"/>
  <c r="E46" i="58"/>
  <c r="G46" i="58"/>
  <c r="G48" i="58"/>
  <c r="E18" i="58"/>
  <c r="E17" i="58"/>
  <c r="E23" i="58"/>
  <c r="G18" i="58"/>
  <c r="G17" i="58"/>
  <c r="G23" i="58"/>
  <c r="H18" i="58"/>
  <c r="H17" i="58"/>
  <c r="H23" i="58"/>
  <c r="H24" i="58"/>
  <c r="H25" i="58"/>
  <c r="H26" i="58"/>
  <c r="H27" i="58"/>
  <c r="D18" i="58"/>
  <c r="D17" i="58"/>
  <c r="D23" i="58"/>
  <c r="F18" i="58"/>
  <c r="F17" i="58"/>
  <c r="F23" i="58"/>
  <c r="D21" i="56"/>
  <c r="H21" i="56"/>
  <c r="G21" i="56"/>
  <c r="E21" i="56"/>
  <c r="F21" i="56"/>
  <c r="C18" i="57"/>
  <c r="C17" i="57"/>
  <c r="E18" i="57"/>
  <c r="E17" i="57"/>
  <c r="H18" i="57"/>
  <c r="H17" i="57"/>
  <c r="D18" i="57"/>
  <c r="D17" i="57"/>
  <c r="G18" i="57"/>
  <c r="G17" i="57"/>
  <c r="F18" i="57"/>
  <c r="F17" i="57"/>
  <c r="C21" i="43"/>
  <c r="D21" i="43"/>
  <c r="D46" i="43"/>
  <c r="D48" i="43"/>
  <c r="H21" i="43"/>
  <c r="H46" i="43"/>
  <c r="H48" i="43"/>
  <c r="E21" i="43"/>
  <c r="E46" i="43"/>
  <c r="F21" i="43"/>
  <c r="F46" i="43"/>
  <c r="G21" i="43"/>
  <c r="G46" i="43"/>
  <c r="D21" i="59"/>
  <c r="H21" i="59"/>
  <c r="E21" i="59"/>
  <c r="G21" i="59"/>
  <c r="F21" i="59"/>
  <c r="C18" i="59"/>
  <c r="C17" i="59"/>
  <c r="G18" i="59"/>
  <c r="G17" i="59"/>
  <c r="E18" i="59"/>
  <c r="E17" i="59"/>
  <c r="F18" i="59"/>
  <c r="F17" i="59"/>
  <c r="D18" i="59"/>
  <c r="D17" i="59"/>
  <c r="H18" i="59"/>
  <c r="H17" i="59"/>
  <c r="H21" i="57"/>
  <c r="E21" i="57"/>
  <c r="D21" i="57"/>
  <c r="F21" i="57"/>
  <c r="G21" i="57"/>
  <c r="D16" i="43"/>
  <c r="E34" i="43"/>
  <c r="E40" i="43"/>
  <c r="E15" i="43"/>
  <c r="C6" i="2"/>
  <c r="C15" i="56"/>
  <c r="C18" i="58"/>
  <c r="C17" i="58"/>
  <c r="C20" i="36"/>
  <c r="D20" i="36"/>
  <c r="E20" i="36"/>
  <c r="C16" i="2"/>
  <c r="F18" i="2"/>
  <c r="F50" i="2"/>
  <c r="C21" i="58"/>
  <c r="C46" i="58"/>
  <c r="D18" i="2"/>
  <c r="D50" i="2"/>
  <c r="C21" i="56"/>
  <c r="C46" i="56"/>
  <c r="C48" i="56"/>
  <c r="E18" i="2"/>
  <c r="E50" i="2"/>
  <c r="C21" i="57"/>
  <c r="C46" i="57"/>
  <c r="G18" i="2"/>
  <c r="G50" i="2"/>
  <c r="C21" i="59"/>
  <c r="C46" i="59"/>
  <c r="C8" i="2"/>
  <c r="C34" i="2"/>
  <c r="C10" i="2"/>
  <c r="C36" i="2"/>
  <c r="C15" i="43"/>
  <c r="E28" i="51"/>
  <c r="I27" i="51"/>
  <c r="C19" i="2"/>
  <c r="H19" i="2"/>
  <c r="F28" i="51"/>
  <c r="G26" i="51"/>
  <c r="H26" i="51"/>
  <c r="C18" i="2"/>
  <c r="H16" i="2"/>
  <c r="H42" i="2"/>
  <c r="C42" i="2"/>
  <c r="C49" i="2"/>
  <c r="C29" i="2"/>
  <c r="C31" i="2"/>
  <c r="C32" i="2"/>
  <c r="C51" i="2"/>
  <c r="C50" i="2"/>
  <c r="C47" i="2"/>
  <c r="D24" i="58"/>
  <c r="F20" i="36"/>
  <c r="G20" i="36"/>
  <c r="H20" i="36"/>
  <c r="I24" i="36"/>
  <c r="I17" i="58"/>
  <c r="I23" i="58"/>
  <c r="H18" i="2"/>
  <c r="F18" i="36"/>
  <c r="G18" i="36"/>
  <c r="H18" i="36"/>
  <c r="E24" i="36"/>
  <c r="H10" i="2"/>
  <c r="I10" i="57"/>
  <c r="E7" i="2"/>
  <c r="E30" i="2"/>
  <c r="E31" i="2"/>
  <c r="E32" i="2"/>
  <c r="G15" i="59"/>
  <c r="G16" i="59"/>
  <c r="G10" i="58"/>
  <c r="G15" i="58"/>
  <c r="G16" i="58"/>
  <c r="F15" i="59"/>
  <c r="F16" i="59"/>
  <c r="F10" i="58"/>
  <c r="F15" i="58"/>
  <c r="F16" i="58"/>
  <c r="H8" i="2"/>
  <c r="H34" i="2"/>
  <c r="C10" i="58"/>
  <c r="H6" i="2"/>
  <c r="E15" i="59"/>
  <c r="E16" i="59"/>
  <c r="E10" i="58"/>
  <c r="E15" i="58"/>
  <c r="E16" i="58"/>
  <c r="I17" i="59"/>
  <c r="I23" i="59"/>
  <c r="I17" i="57"/>
  <c r="E14" i="2"/>
  <c r="E48" i="43"/>
  <c r="C16" i="43"/>
  <c r="D25" i="58"/>
  <c r="D26" i="58"/>
  <c r="D27" i="58"/>
  <c r="F46" i="57"/>
  <c r="F48" i="57"/>
  <c r="F23" i="57"/>
  <c r="F24" i="57"/>
  <c r="F25" i="57"/>
  <c r="E46" i="57"/>
  <c r="E48" i="57"/>
  <c r="E23" i="57"/>
  <c r="E24" i="57"/>
  <c r="E46" i="59"/>
  <c r="E48" i="59"/>
  <c r="E23" i="59"/>
  <c r="E46" i="56"/>
  <c r="E48" i="56"/>
  <c r="D46" i="59"/>
  <c r="D48" i="59"/>
  <c r="D23" i="59"/>
  <c r="D24" i="59"/>
  <c r="H46" i="56"/>
  <c r="H48" i="56"/>
  <c r="G46" i="57"/>
  <c r="G48" i="57"/>
  <c r="G23" i="57"/>
  <c r="G24" i="57"/>
  <c r="H46" i="57"/>
  <c r="H48" i="57"/>
  <c r="H23" i="57"/>
  <c r="H24" i="57"/>
  <c r="H25" i="57"/>
  <c r="H26" i="57"/>
  <c r="H27" i="57"/>
  <c r="H46" i="59"/>
  <c r="H48" i="59"/>
  <c r="H23" i="59"/>
  <c r="H24" i="59"/>
  <c r="H25" i="59"/>
  <c r="H26" i="59"/>
  <c r="H27" i="59"/>
  <c r="G46" i="56"/>
  <c r="G48" i="56"/>
  <c r="F46" i="59"/>
  <c r="F48" i="59"/>
  <c r="F23" i="59"/>
  <c r="D46" i="57"/>
  <c r="D48" i="57"/>
  <c r="D23" i="57"/>
  <c r="D24" i="57"/>
  <c r="G46" i="59"/>
  <c r="G48" i="59"/>
  <c r="G23" i="59"/>
  <c r="G24" i="59"/>
  <c r="F46" i="56"/>
  <c r="F48" i="56"/>
  <c r="D46" i="56"/>
  <c r="D48" i="56"/>
  <c r="C16" i="56"/>
  <c r="I15" i="56"/>
  <c r="I16" i="56"/>
  <c r="D13" i="2"/>
  <c r="E16" i="43"/>
  <c r="F34" i="43"/>
  <c r="F40" i="43"/>
  <c r="F48" i="43"/>
  <c r="F15" i="43"/>
  <c r="C48" i="57"/>
  <c r="C15" i="57"/>
  <c r="I15" i="57"/>
  <c r="C33" i="58"/>
  <c r="C34" i="58"/>
  <c r="C40" i="58"/>
  <c r="C48" i="58"/>
  <c r="C23" i="59"/>
  <c r="C23" i="58"/>
  <c r="C23" i="57"/>
  <c r="C11" i="2"/>
  <c r="H11" i="2"/>
  <c r="I20" i="36"/>
  <c r="J20" i="36"/>
  <c r="K20" i="36"/>
  <c r="L20" i="36"/>
  <c r="C46" i="43"/>
  <c r="C48" i="43"/>
  <c r="G28" i="51"/>
  <c r="F14" i="2"/>
  <c r="F41" i="2"/>
  <c r="E41" i="2"/>
  <c r="E48" i="2"/>
  <c r="D25" i="57"/>
  <c r="D26" i="57"/>
  <c r="D27" i="57"/>
  <c r="D25" i="59"/>
  <c r="D26" i="59"/>
  <c r="D27" i="59"/>
  <c r="I18" i="36"/>
  <c r="J18" i="36"/>
  <c r="K18" i="36"/>
  <c r="L18" i="36"/>
  <c r="G24" i="58"/>
  <c r="G25" i="58"/>
  <c r="G26" i="58"/>
  <c r="G27" i="58"/>
  <c r="F24" i="59"/>
  <c r="I10" i="58"/>
  <c r="F7" i="2"/>
  <c r="F30" i="2"/>
  <c r="F31" i="2"/>
  <c r="F32" i="2"/>
  <c r="H47" i="2"/>
  <c r="H36" i="2"/>
  <c r="E24" i="58"/>
  <c r="E25" i="58"/>
  <c r="E26" i="58"/>
  <c r="E27" i="58"/>
  <c r="F24" i="58"/>
  <c r="F25" i="58"/>
  <c r="F26" i="58"/>
  <c r="F27" i="58"/>
  <c r="E24" i="59"/>
  <c r="E25" i="59"/>
  <c r="E26" i="59"/>
  <c r="E27" i="59"/>
  <c r="D34" i="58"/>
  <c r="D40" i="58"/>
  <c r="D48" i="58"/>
  <c r="H29" i="2"/>
  <c r="I23" i="57"/>
  <c r="I24" i="57"/>
  <c r="I25" i="57"/>
  <c r="H51" i="2"/>
  <c r="H49" i="2"/>
  <c r="H50" i="2"/>
  <c r="E25" i="57"/>
  <c r="E26" i="57"/>
  <c r="E27" i="57"/>
  <c r="G25" i="59"/>
  <c r="G26" i="59"/>
  <c r="G27" i="59"/>
  <c r="G25" i="57"/>
  <c r="G26" i="57"/>
  <c r="G27" i="57"/>
  <c r="F26" i="57"/>
  <c r="F27" i="57"/>
  <c r="D12" i="2"/>
  <c r="D38" i="2"/>
  <c r="F16" i="43"/>
  <c r="G34" i="43"/>
  <c r="G40" i="43"/>
  <c r="G48" i="43"/>
  <c r="G15" i="43"/>
  <c r="I15" i="43"/>
  <c r="C16" i="57"/>
  <c r="C24" i="57"/>
  <c r="C25" i="57"/>
  <c r="C26" i="57"/>
  <c r="C15" i="58"/>
  <c r="I15" i="58"/>
  <c r="C34" i="59"/>
  <c r="C40" i="59"/>
  <c r="C48" i="59"/>
  <c r="G14" i="2"/>
  <c r="F20" i="2"/>
  <c r="G20" i="2"/>
  <c r="H28" i="51"/>
  <c r="I26" i="51"/>
  <c r="H60" i="2"/>
  <c r="F48" i="2"/>
  <c r="G41" i="2"/>
  <c r="G48" i="2"/>
  <c r="F25" i="59"/>
  <c r="F26" i="59"/>
  <c r="F27" i="59"/>
  <c r="C27" i="57"/>
  <c r="I26" i="57"/>
  <c r="I27" i="57"/>
  <c r="E24" i="2"/>
  <c r="E20" i="2"/>
  <c r="E34" i="58"/>
  <c r="E40" i="58"/>
  <c r="E48" i="58"/>
  <c r="I10" i="59"/>
  <c r="G7" i="2"/>
  <c r="G30" i="2"/>
  <c r="G31" i="2"/>
  <c r="G32" i="2"/>
  <c r="I16" i="43"/>
  <c r="C12" i="2"/>
  <c r="C38" i="2"/>
  <c r="I16" i="58"/>
  <c r="I24" i="58"/>
  <c r="I25" i="58"/>
  <c r="G16" i="43"/>
  <c r="C16" i="58"/>
  <c r="E12" i="2"/>
  <c r="E38" i="2"/>
  <c r="I16" i="57"/>
  <c r="E13" i="2"/>
  <c r="C24" i="58"/>
  <c r="C25" i="58"/>
  <c r="C26" i="58"/>
  <c r="E22" i="2"/>
  <c r="E21" i="2"/>
  <c r="E53" i="2"/>
  <c r="E39" i="2"/>
  <c r="I26" i="58"/>
  <c r="I27" i="58"/>
  <c r="C15" i="59"/>
  <c r="I15" i="59"/>
  <c r="H7" i="2"/>
  <c r="C13" i="2"/>
  <c r="F13" i="2"/>
  <c r="F12" i="2"/>
  <c r="F38" i="2"/>
  <c r="F39" i="2"/>
  <c r="C27" i="58"/>
  <c r="E23" i="2"/>
  <c r="E52" i="2"/>
  <c r="E59" i="2"/>
  <c r="E58" i="2"/>
  <c r="C24" i="59"/>
  <c r="C25" i="59"/>
  <c r="C26" i="59"/>
  <c r="I26" i="59"/>
  <c r="C16" i="59"/>
  <c r="H12" i="2"/>
  <c r="H30" i="2"/>
  <c r="H31" i="2"/>
  <c r="H32" i="2"/>
  <c r="F24" i="2"/>
  <c r="F23" i="2"/>
  <c r="G12" i="2"/>
  <c r="G38" i="2"/>
  <c r="G39" i="2"/>
  <c r="I16" i="59"/>
  <c r="G13" i="2"/>
  <c r="I24" i="59"/>
  <c r="I25" i="59"/>
  <c r="F21" i="2"/>
  <c r="F53" i="2"/>
  <c r="F22" i="2"/>
  <c r="F59" i="2"/>
  <c r="F58" i="2"/>
  <c r="F52" i="2"/>
  <c r="C27" i="59"/>
  <c r="H13" i="2"/>
  <c r="H38" i="2"/>
  <c r="G21" i="2"/>
  <c r="G53" i="2"/>
  <c r="G22" i="2"/>
  <c r="G23" i="2"/>
  <c r="I27" i="59"/>
  <c r="G24" i="2"/>
  <c r="G59" i="2"/>
  <c r="G58" i="2"/>
  <c r="G52" i="2"/>
  <c r="E18" i="43"/>
  <c r="E17" i="43"/>
  <c r="E23" i="43"/>
  <c r="E24" i="43"/>
  <c r="H18" i="43"/>
  <c r="H17" i="43"/>
  <c r="H23" i="43"/>
  <c r="H24" i="43"/>
  <c r="D18" i="43"/>
  <c r="D17" i="43"/>
  <c r="D23" i="43"/>
  <c r="D24" i="43"/>
  <c r="D25" i="43"/>
  <c r="F18" i="43"/>
  <c r="F17" i="43"/>
  <c r="F23" i="43"/>
  <c r="F24" i="43"/>
  <c r="F25" i="43"/>
  <c r="C17" i="43"/>
  <c r="G18" i="43"/>
  <c r="G17" i="43"/>
  <c r="G23" i="43"/>
  <c r="G24" i="43"/>
  <c r="I17" i="43"/>
  <c r="C23" i="43"/>
  <c r="C24" i="43"/>
  <c r="D26" i="43"/>
  <c r="D27" i="43"/>
  <c r="E25" i="43"/>
  <c r="E26" i="43"/>
  <c r="E27" i="43"/>
  <c r="G25" i="43"/>
  <c r="G26" i="43"/>
  <c r="G27" i="43"/>
  <c r="H25" i="43"/>
  <c r="H26" i="43"/>
  <c r="H27" i="43"/>
  <c r="F26" i="43"/>
  <c r="F27" i="43"/>
  <c r="I23" i="43"/>
  <c r="I24" i="43"/>
  <c r="I25" i="43"/>
  <c r="C14" i="2"/>
  <c r="C25" i="43"/>
  <c r="C26" i="43"/>
  <c r="I26" i="43"/>
  <c r="C41" i="2"/>
  <c r="C48" i="2"/>
  <c r="C27" i="43"/>
  <c r="I27" i="43"/>
  <c r="C20" i="2"/>
  <c r="C39" i="2"/>
  <c r="C21" i="2"/>
  <c r="C53" i="2"/>
  <c r="C22" i="2"/>
  <c r="C23" i="2"/>
  <c r="C59" i="2"/>
  <c r="C58" i="2"/>
  <c r="C52" i="2"/>
  <c r="C24" i="2"/>
  <c r="D18" i="56"/>
  <c r="D17" i="56"/>
  <c r="D23" i="56"/>
  <c r="D24" i="56"/>
  <c r="D25" i="56"/>
  <c r="G18" i="56"/>
  <c r="G17" i="56"/>
  <c r="G23" i="56"/>
  <c r="G24" i="56"/>
  <c r="E18" i="56"/>
  <c r="E17" i="56"/>
  <c r="E23" i="56"/>
  <c r="E24" i="56"/>
  <c r="F18" i="56"/>
  <c r="F17" i="56"/>
  <c r="F23" i="56"/>
  <c r="F24" i="56"/>
  <c r="F25" i="56"/>
  <c r="C18" i="56"/>
  <c r="C17" i="56"/>
  <c r="H18" i="56"/>
  <c r="H17" i="56"/>
  <c r="H23" i="56"/>
  <c r="H24" i="56"/>
  <c r="F26" i="56"/>
  <c r="F27" i="56"/>
  <c r="H25" i="56"/>
  <c r="H26" i="56"/>
  <c r="H27" i="56"/>
  <c r="E25" i="56"/>
  <c r="E26" i="56"/>
  <c r="E27" i="56"/>
  <c r="G25" i="56"/>
  <c r="G26" i="56"/>
  <c r="G27" i="56"/>
  <c r="C23" i="56"/>
  <c r="C24" i="56"/>
  <c r="I17" i="56"/>
  <c r="D26" i="56"/>
  <c r="D27" i="56"/>
  <c r="D14" i="2"/>
  <c r="I23" i="56"/>
  <c r="C25" i="56"/>
  <c r="C26" i="56"/>
  <c r="I26" i="56"/>
  <c r="D41" i="2"/>
  <c r="D48" i="2"/>
  <c r="C27" i="56"/>
  <c r="I24" i="56"/>
  <c r="I25" i="56"/>
  <c r="D20" i="2"/>
  <c r="H14" i="2"/>
  <c r="H20" i="2"/>
  <c r="D39" i="2"/>
  <c r="H41" i="2"/>
  <c r="H48" i="2"/>
  <c r="D23" i="2"/>
  <c r="I27" i="56"/>
  <c r="D24" i="2"/>
  <c r="D21" i="2"/>
  <c r="D53" i="2"/>
  <c r="D22" i="2"/>
  <c r="D59" i="2"/>
  <c r="D58" i="2"/>
  <c r="D52" i="2"/>
  <c r="H39" i="2"/>
  <c r="H21" i="2"/>
  <c r="H22" i="2"/>
  <c r="H23" i="2"/>
  <c r="H53" i="2"/>
  <c r="H24" i="2"/>
  <c r="H52" i="2"/>
  <c r="H59" i="2"/>
  <c r="H58" i="2"/>
</calcChain>
</file>

<file path=xl/comments1.xml><?xml version="1.0" encoding="utf-8"?>
<comments xmlns="http://schemas.openxmlformats.org/spreadsheetml/2006/main">
  <authors>
    <author>作者</author>
  </authors>
  <commentList>
    <comment ref="J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6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7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</commentList>
</comments>
</file>

<file path=xl/sharedStrings.xml><?xml version="1.0" encoding="utf-8"?>
<sst xmlns="http://schemas.openxmlformats.org/spreadsheetml/2006/main" count="1495" uniqueCount="307">
  <si>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</si>
  <si>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</si>
  <si>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</si>
  <si>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</si>
  <si>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</si>
  <si>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</si>
  <si>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</si>
  <si>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</si>
  <si>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单台材料成本为未税价格。</t>
  </si>
  <si>
    <t>变动费用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</si>
  <si>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</si>
  <si>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</si>
  <si>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</si>
  <si>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</si>
  <si>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</si>
  <si>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</si>
  <si>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</si>
  <si>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</si>
  <si>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</si>
  <si>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</si>
  <si>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</si>
  <si>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</si>
  <si>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</si>
  <si>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</si>
  <si>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</si>
  <si>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</si>
  <si>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</si>
  <si>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</si>
  <si>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</si>
  <si>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</si>
  <si>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</si>
  <si>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</si>
  <si>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</si>
  <si>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</si>
  <si>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</si>
  <si>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</si>
  <si>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</si>
  <si>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</si>
  <si>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</si>
  <si>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</si>
  <si>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</si>
  <si>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</si>
  <si>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</si>
  <si>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</si>
  <si>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</si>
  <si>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</si>
  <si>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</si>
  <si>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</si>
  <si>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</si>
  <si>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</si>
  <si>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</si>
  <si>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</si>
  <si>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</si>
  <si>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</si>
  <si>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</si>
  <si>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</si>
  <si>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</si>
  <si>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</si>
  <si>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</si>
  <si>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</si>
  <si>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</si>
  <si>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</si>
  <si>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</si>
  <si>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</si>
  <si>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</si>
  <si>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</si>
  <si>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</si>
  <si>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</si>
  <si>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</si>
  <si>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</si>
  <si>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</si>
  <si>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</si>
  <si>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</si>
  <si>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</si>
  <si>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</si>
  <si>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</si>
  <si>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</si>
  <si>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</si>
  <si>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</si>
  <si>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</si>
  <si>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</si>
  <si>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</si>
  <si>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</si>
  <si>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</si>
  <si>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</si>
  <si>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</si>
  <si>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</si>
  <si>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</si>
  <si>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</si>
  <si>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</si>
  <si>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</si>
  <si>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</si>
  <si>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</si>
  <si>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</si>
  <si>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</si>
  <si>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</si>
  <si>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</si>
  <si>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</si>
  <si>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</si>
  <si>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</si>
  <si>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</si>
  <si>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</si>
  <si>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</si>
  <si>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</si>
  <si>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</si>
  <si>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</si>
  <si>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</si>
  <si>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</si>
  <si>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</si>
  <si>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</si>
  <si>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</si>
  <si>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</si>
  <si>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</si>
  <si>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</si>
  <si>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</si>
  <si>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</si>
  <si>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</si>
  <si>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</si>
  <si>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</si>
  <si>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</si>
  <si>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</si>
  <si>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</si>
  <si>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</si>
  <si>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</si>
  <si>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</si>
  <si>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</si>
  <si>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</si>
  <si>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</si>
  <si>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</si>
  <si>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</si>
  <si>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</si>
  <si>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</si>
  <si>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</si>
  <si>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</si>
  <si>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</si>
  <si>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</si>
  <si>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</si>
  <si>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</si>
  <si>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</si>
  <si>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</si>
  <si>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</si>
  <si>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</si>
  <si>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</si>
  <si>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</si>
  <si>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</si>
  <si>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</si>
  <si>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</si>
  <si>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</si>
  <si>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</si>
  <si>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</si>
  <si>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</si>
  <si>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</si>
  <si>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</si>
  <si>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</si>
  <si>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</si>
  <si>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</si>
  <si>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</si>
  <si>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</si>
  <si>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</si>
  <si>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</si>
  <si>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</si>
  <si>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</si>
  <si>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</si>
  <si>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</si>
  <si>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</si>
  <si>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</si>
  <si>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</si>
  <si>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</si>
  <si>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</si>
  <si>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</si>
  <si>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</si>
  <si>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</si>
  <si>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</si>
  <si>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</si>
  <si>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</si>
  <si>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</si>
  <si>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</si>
  <si>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</si>
  <si>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</si>
  <si>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</si>
  <si>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</si>
  <si>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</si>
  <si>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</si>
  <si>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</si>
  <si>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</si>
  <si>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</si>
  <si>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</si>
  <si>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</si>
  <si>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</si>
  <si>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</si>
  <si>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</si>
  <si>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</si>
  <si>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</si>
  <si>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</si>
  <si>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</si>
  <si>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</si>
  <si>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</si>
  <si>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</si>
  <si>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</si>
  <si>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</si>
  <si>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</si>
  <si>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</si>
  <si>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</si>
  <si>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</si>
  <si>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</si>
  <si>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</si>
  <si>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</si>
  <si>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</si>
  <si>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</si>
  <si>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</si>
  <si>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</si>
  <si>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</si>
  <si>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</si>
  <si>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</si>
  <si>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</si>
  <si>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</si>
  <si>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</si>
  <si>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</si>
  <si>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</si>
  <si>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</si>
  <si>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</si>
  <si>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</si>
  <si>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</si>
  <si>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</si>
  <si>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</si>
  <si>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</si>
  <si>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</si>
  <si>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</si>
  <si>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</si>
  <si>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</si>
  <si>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</si>
  <si>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</si>
  <si>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</si>
  <si>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</si>
  <si>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</si>
  <si>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</si>
  <si>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</si>
  <si>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 xml:space="preserve">    年</t>
    <phoneticPr fontId="38" type="noConversion"/>
  </si>
  <si>
    <t>产品名称</t>
    <phoneticPr fontId="38" type="noConversion"/>
  </si>
  <si>
    <t>材料成本</t>
    <phoneticPr fontId="38" type="noConversion"/>
  </si>
  <si>
    <t>一汽解放</t>
    <phoneticPr fontId="38" type="noConversion"/>
  </si>
  <si>
    <t>驾驶员座椅总成</t>
  </si>
  <si>
    <t>2026年</t>
  </si>
  <si>
    <t>材料成本</t>
    <phoneticPr fontId="38" type="noConversion"/>
  </si>
  <si>
    <t xml:space="preserve">2022年  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</si>
  <si>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</si>
  <si>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</si>
  <si>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</si>
  <si>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</si>
  <si>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>材料成本年降汇总表5%</t>
    <phoneticPr fontId="38" type="noConversion"/>
  </si>
  <si>
    <t>变动费用参考河北工厂2021年实际及2022预算暂估。</t>
    <phoneticPr fontId="38" type="noConversion"/>
  </si>
  <si>
    <t>供应商年降：     5  年5%</t>
    <phoneticPr fontId="38" type="noConversion"/>
  </si>
  <si>
    <r>
      <t xml:space="preserve">一汽轻卡领途座椅项目可行性分析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</si>
  <si>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t xml:space="preserve">项目名称：               </t>
  </si>
  <si>
    <t>2027年</t>
  </si>
  <si>
    <t>驾驶员座总成</t>
  </si>
  <si>
    <t>6800010AH95-C00</t>
  </si>
  <si>
    <t>图纸变更明细见附件</t>
  </si>
  <si>
    <t>座垫总成</t>
  </si>
  <si>
    <t>6903010-H87-C00</t>
  </si>
  <si>
    <t>副靠背总成</t>
  </si>
  <si>
    <t>6905100-H87-C00</t>
  </si>
  <si>
    <t>主靠背总成</t>
  </si>
  <si>
    <t>6905020-H95-C00</t>
  </si>
  <si>
    <t>6800010-H95-C00</t>
  </si>
  <si>
    <t>6903010-H95-C00</t>
  </si>
  <si>
    <t>690510-H95-C00</t>
  </si>
  <si>
    <t>6800010DH26-C00</t>
  </si>
  <si>
    <t xml:space="preserve">    年 3-5   %</t>
  </si>
  <si>
    <t>6905020-H87-C00</t>
    <phoneticPr fontId="38" type="noConversion"/>
  </si>
  <si>
    <t>扶手+电加热+座靠通风，通风面料，织物面料</t>
    <phoneticPr fontId="38" type="noConversion"/>
  </si>
  <si>
    <t>副驾驶员座椅总成</t>
  </si>
  <si>
    <t>副驾驶员座椅总成</t>
    <phoneticPr fontId="38" type="noConversion"/>
  </si>
  <si>
    <t>减震+电加热+靠背通风+空气腰托</t>
  </si>
  <si>
    <t>减震+扶手</t>
    <phoneticPr fontId="38" type="noConversion"/>
  </si>
  <si>
    <t>2023年</t>
    <phoneticPr fontId="38" type="noConversion"/>
  </si>
  <si>
    <t>6903010-H87-C006905100-H87-C006905020-H87-C00</t>
  </si>
  <si>
    <t>6903010-H95-C00690510-H95-C006905020-H95-C00</t>
  </si>
  <si>
    <t>2023年</t>
    <phoneticPr fontId="38" type="noConversion"/>
  </si>
  <si>
    <t>备注</t>
    <phoneticPr fontId="38" type="noConversion"/>
  </si>
  <si>
    <t>汽运，围板周转箱</t>
  </si>
  <si>
    <t>河北工厂</t>
  </si>
  <si>
    <t>青岛即墨</t>
  </si>
  <si>
    <t>送货地点</t>
  </si>
  <si>
    <t>电子汇票</t>
  </si>
  <si>
    <t>现汇或承兑的比例</t>
  </si>
  <si>
    <t>无</t>
  </si>
  <si>
    <t>同现供气囊减震座椅产品服务模式</t>
  </si>
  <si>
    <t>同现供气囊减震座椅产品模式</t>
  </si>
  <si>
    <t>造型部负责</t>
  </si>
  <si>
    <t>包含所有的主、辅料</t>
  </si>
  <si>
    <t>开发费分摊情况</t>
  </si>
  <si>
    <t>产品应用场景</t>
  </si>
  <si>
    <t>城市物流</t>
  </si>
  <si>
    <t>三包周期</t>
  </si>
  <si>
    <t>同现供气囊减震座椅</t>
  </si>
  <si>
    <t>涂红色处为必填项</t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</si>
  <si>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</si>
  <si>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</si>
  <si>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</si>
  <si>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</si>
  <si>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</si>
  <si>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t xml:space="preserve">一汽轻卡领途座椅项目研发费用预算表 </t>
    <phoneticPr fontId="38" type="noConversion"/>
  </si>
  <si>
    <t>成本预估由项目提供差异件清单，按现有产品推算出来。供应商年度降价与销价降价幅度同步。</t>
    <phoneticPr fontId="38" type="noConversion"/>
  </si>
  <si>
    <t>成本</t>
    <phoneticPr fontId="38" type="noConversion"/>
  </si>
  <si>
    <t>附加值</t>
    <phoneticPr fontId="38" type="noConversion"/>
  </si>
  <si>
    <t>附加值率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</si>
</sst>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4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 readingOrder="1"/>
    </xf>
    <xf numFmtId="0" fontId="7" fillId="9" borderId="1" xfId="0" applyFont="1" applyFill="1" applyBorder="1" applyAlignment="1">
      <alignment horizontal="center" vertical="center" wrapText="1" readingOrder="1"/>
    </xf>
    <xf numFmtId="0" fontId="46" fillId="0" borderId="16" xfId="0" applyFont="1" applyBorder="1" applyAlignment="1">
      <alignment horizontal="center" vertical="center" wrapText="1" readingOrder="1"/>
    </xf>
    <xf numFmtId="9" fontId="16" fillId="0" borderId="7" xfId="3" applyFont="1" applyFill="1" applyBorder="1">
      <alignment vertical="center"/>
    </xf>
    <xf numFmtId="178" fontId="16" fillId="7" borderId="1" xfId="1" applyNumberFormat="1" applyFont="1" applyFill="1" applyBorder="1" applyAlignment="1">
      <alignment horizontal="center" vertical="center"/>
    </xf>
    <xf numFmtId="0" fontId="27" fillId="3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 readingOrder="1"/>
    </xf>
    <xf numFmtId="0" fontId="3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178" fontId="47" fillId="0" borderId="1" xfId="0" applyNumberFormat="1" applyFont="1" applyFill="1" applyBorder="1" applyAlignment="1">
      <alignment horizontal="center" wrapText="1" readingOrder="1"/>
    </xf>
    <xf numFmtId="0" fontId="4" fillId="0" borderId="13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5" fillId="9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7" fillId="9" borderId="5" xfId="0" applyFont="1" applyFill="1" applyBorder="1" applyAlignment="1">
      <alignment vertical="center" wrapText="1" readingOrder="1"/>
    </xf>
    <xf numFmtId="0" fontId="5" fillId="9" borderId="1" xfId="0" applyFont="1" applyFill="1" applyBorder="1">
      <alignment vertical="center"/>
    </xf>
    <xf numFmtId="43" fontId="5" fillId="9" borderId="1" xfId="1" applyFont="1" applyFill="1" applyBorder="1" applyAlignment="1" applyProtection="1">
      <alignment vertical="center"/>
    </xf>
    <xf numFmtId="0" fontId="7" fillId="9" borderId="2" xfId="0" applyFont="1" applyFill="1" applyBorder="1" applyAlignment="1">
      <alignment horizontal="center" vertical="center" wrapText="1" readingOrder="1"/>
    </xf>
    <xf numFmtId="0" fontId="7" fillId="9" borderId="3" xfId="0" applyFont="1" applyFill="1" applyBorder="1" applyAlignment="1">
      <alignment horizontal="center" vertical="center" wrapText="1" readingOrder="1"/>
    </xf>
    <xf numFmtId="178" fontId="7" fillId="9" borderId="1" xfId="1" applyNumberFormat="1" applyFont="1" applyFill="1" applyBorder="1" applyAlignment="1" applyProtection="1">
      <alignment horizontal="center" vertical="center" wrapText="1" readingOrder="1"/>
    </xf>
    <xf numFmtId="178" fontId="5" fillId="9" borderId="1" xfId="0" applyNumberFormat="1" applyFont="1" applyFill="1" applyBorder="1" applyAlignment="1">
      <alignment horizontal="center" wrapText="1" readingOrder="1"/>
    </xf>
    <xf numFmtId="0" fontId="5" fillId="9" borderId="10" xfId="0" applyFont="1" applyFill="1" applyBorder="1" applyAlignment="1">
      <alignment horizontal="left" wrapText="1" readingOrder="1"/>
    </xf>
    <xf numFmtId="0" fontId="5" fillId="9" borderId="0" xfId="0" applyFont="1" applyFill="1">
      <alignment vertical="center"/>
    </xf>
    <xf numFmtId="0" fontId="5" fillId="0" borderId="0" xfId="0" applyFont="1">
      <alignment vertical="center"/>
    </xf>
    <xf numFmtId="0" fontId="5" fillId="1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3" fontId="2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10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2" borderId="1" xfId="0" applyFont="1" applyFill="1" applyBorder="1" applyAlignment="1">
      <alignment horizontal="left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43" fontId="15" fillId="0" borderId="1" xfId="0" applyNumberFormat="1" applyFont="1" applyBorder="1">
      <alignment vertical="center"/>
    </xf>
    <xf numFmtId="43" fontId="15" fillId="0" borderId="1" xfId="1" applyFont="1" applyBorder="1">
      <alignment vertical="center"/>
    </xf>
    <xf numFmtId="180" fontId="2" fillId="0" borderId="0" xfId="3" applyNumberFormat="1" applyFont="1">
      <alignment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0</xdr:rowOff>
    </xdr:from>
    <xdr:to>
      <xdr:col>10</xdr:col>
      <xdr:colOff>581025</xdr:colOff>
      <xdr:row>98</xdr:row>
      <xdr:rowOff>47625</xdr:rowOff>
    </xdr:to>
    <xdr:pic>
      <xdr:nvPicPr>
        <xdr:cNvPr id="2" name="图片 1" descr="C:\Users\wangguangqun\AppData\Roaming\feiq\RichOle\3257692082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353925"/>
          <a:ext cx="11258550" cy="7591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2" sqref="C1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41" customFormat="1" ht="35.25" customHeight="1">
      <c r="A2" s="142" t="s">
        <v>0</v>
      </c>
      <c r="B2" s="142" t="s">
        <v>1</v>
      </c>
      <c r="C2" s="142" t="s">
        <v>2</v>
      </c>
      <c r="D2" s="143"/>
    </row>
    <row r="3" spans="1:4" s="141" customFormat="1" ht="33.75" customHeight="1">
      <c r="A3" s="144">
        <v>1</v>
      </c>
      <c r="B3" s="144" t="s">
        <v>3</v>
      </c>
      <c r="C3" s="145" t="s">
        <v>4</v>
      </c>
      <c r="D3" s="143"/>
    </row>
    <row r="4" spans="1:4" s="141" customFormat="1" ht="33.75" customHeight="1">
      <c r="A4" s="144">
        <v>2</v>
      </c>
      <c r="B4" s="144" t="s">
        <v>5</v>
      </c>
      <c r="C4" s="145" t="s">
        <v>6</v>
      </c>
    </row>
    <row r="5" spans="1:4" s="141" customFormat="1" ht="33.75" customHeight="1">
      <c r="A5" s="144">
        <v>3</v>
      </c>
      <c r="B5" s="194" t="s">
        <v>7</v>
      </c>
      <c r="C5" s="146" t="s">
        <v>303</v>
      </c>
    </row>
    <row r="6" spans="1:4" s="141" customFormat="1" ht="33.75" customHeight="1">
      <c r="A6" s="144">
        <v>4</v>
      </c>
      <c r="B6" s="195"/>
      <c r="C6" s="145" t="s">
        <v>8</v>
      </c>
    </row>
    <row r="7" spans="1:4" s="141" customFormat="1" ht="33.75" customHeight="1">
      <c r="A7" s="144">
        <v>5</v>
      </c>
      <c r="B7" s="147" t="s">
        <v>9</v>
      </c>
      <c r="C7" s="145" t="s">
        <v>250</v>
      </c>
    </row>
    <row r="8" spans="1:4" s="141" customFormat="1" ht="33.75" customHeight="1">
      <c r="A8" s="144">
        <v>6</v>
      </c>
      <c r="B8" s="194" t="s">
        <v>10</v>
      </c>
      <c r="C8" s="145" t="s">
        <v>11</v>
      </c>
    </row>
    <row r="9" spans="1:4" s="141" customFormat="1" ht="33.75" customHeight="1">
      <c r="A9" s="144">
        <v>7</v>
      </c>
      <c r="B9" s="195"/>
      <c r="C9" s="145" t="s">
        <v>12</v>
      </c>
    </row>
    <row r="10" spans="1:4" s="141" customFormat="1" ht="33.75" customHeight="1">
      <c r="A10" s="144">
        <v>8</v>
      </c>
      <c r="B10" s="195"/>
      <c r="C10" s="146" t="s">
        <v>13</v>
      </c>
    </row>
    <row r="11" spans="1:4" s="141" customFormat="1" ht="33.75" customHeight="1">
      <c r="A11" s="144">
        <v>9</v>
      </c>
      <c r="B11" s="195"/>
      <c r="C11" s="145" t="s">
        <v>14</v>
      </c>
    </row>
    <row r="12" spans="1:4" s="141" customFormat="1" ht="33.75" customHeight="1">
      <c r="A12" s="144">
        <v>10</v>
      </c>
      <c r="B12" s="147" t="s">
        <v>15</v>
      </c>
      <c r="C12" s="145" t="s">
        <v>16</v>
      </c>
    </row>
    <row r="13" spans="1:4" ht="33.75" customHeight="1"/>
    <row r="14" spans="1:4" ht="33.75" customHeight="1"/>
    <row r="15" spans="1:4" ht="33.75" customHeight="1">
      <c r="C15" s="148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="80" zoomScaleNormal="80" workbookViewId="0">
      <selection activeCell="F7" sqref="F7"/>
    </sheetView>
  </sheetViews>
  <sheetFormatPr defaultColWidth="9" defaultRowHeight="16.5"/>
  <cols>
    <col min="1" max="1" width="14" style="6" customWidth="1"/>
    <col min="2" max="2" width="14.125" style="6" customWidth="1"/>
    <col min="3" max="3" width="18.25" style="6" customWidth="1"/>
    <col min="4" max="4" width="26.25" style="6" customWidth="1"/>
    <col min="5" max="5" width="18.25" style="6" customWidth="1"/>
    <col min="6" max="6" width="26.125" style="6" customWidth="1"/>
    <col min="7" max="8" width="18.25" style="6" customWidth="1"/>
    <col min="9" max="9" width="11.625" style="6" customWidth="1"/>
    <col min="10" max="10" width="9.25" style="6" customWidth="1"/>
    <col min="11" max="11" width="9.125" style="6" customWidth="1"/>
    <col min="12" max="16384" width="9" style="6"/>
  </cols>
  <sheetData>
    <row r="1" spans="1:12" ht="29.25" customHeight="1">
      <c r="A1" s="16" t="s">
        <v>195</v>
      </c>
      <c r="E1" s="17"/>
      <c r="F1" s="17"/>
      <c r="G1" s="17"/>
      <c r="H1" s="17"/>
      <c r="I1" s="17"/>
    </row>
    <row r="2" spans="1:12" ht="24" customHeight="1">
      <c r="A2" s="18" t="s">
        <v>196</v>
      </c>
      <c r="E2" s="17"/>
      <c r="F2" s="17"/>
      <c r="G2" s="17"/>
      <c r="H2" s="17"/>
      <c r="I2" s="17"/>
    </row>
    <row r="3" spans="1:12">
      <c r="C3" s="6" t="s">
        <v>197</v>
      </c>
      <c r="D3" s="9" t="s">
        <v>237</v>
      </c>
      <c r="E3" s="167">
        <v>0.05</v>
      </c>
    </row>
    <row r="5" spans="1:12" ht="45" customHeight="1">
      <c r="A5" s="226" t="s">
        <v>198</v>
      </c>
      <c r="B5" s="8" t="s">
        <v>147</v>
      </c>
      <c r="C5" s="261" t="s">
        <v>255</v>
      </c>
      <c r="D5" s="193" t="s">
        <v>272</v>
      </c>
      <c r="E5" s="193" t="s">
        <v>241</v>
      </c>
      <c r="F5" s="193" t="s">
        <v>272</v>
      </c>
      <c r="G5" s="193" t="s">
        <v>241</v>
      </c>
      <c r="H5" s="193"/>
      <c r="I5" s="225" t="s">
        <v>19</v>
      </c>
    </row>
    <row r="6" spans="1:12" ht="45.75" customHeight="1">
      <c r="A6" s="226"/>
      <c r="B6" s="8" t="s">
        <v>148</v>
      </c>
      <c r="C6" s="262" t="str">
        <f>B22</f>
        <v>6800010AH95-C00</v>
      </c>
      <c r="D6" s="281" t="str">
        <f>B23&amp;B24&amp;B25</f>
        <v>6903010-H87-C006905100-H87-C006905020-H87-C00</v>
      </c>
      <c r="E6" s="15" t="str">
        <f>B26</f>
        <v>6800010-H95-C00</v>
      </c>
      <c r="F6" s="281" t="str">
        <f>B27&amp;B28&amp;B29</f>
        <v>6903010-H95-C00690510-H95-C006905020-H95-C00</v>
      </c>
      <c r="G6" s="15" t="str">
        <f>B30</f>
        <v>6800010DH26-C00</v>
      </c>
      <c r="H6" s="15"/>
      <c r="I6" s="225"/>
      <c r="K6" s="6">
        <v>100</v>
      </c>
    </row>
    <row r="7" spans="1:12" ht="33.75" customHeight="1">
      <c r="A7" s="226"/>
      <c r="B7" s="21" t="s">
        <v>199</v>
      </c>
      <c r="C7" s="20" t="s">
        <v>270</v>
      </c>
      <c r="D7" s="20"/>
      <c r="E7" s="20" t="s">
        <v>273</v>
      </c>
      <c r="F7" s="20"/>
      <c r="G7" s="20" t="s">
        <v>274</v>
      </c>
      <c r="H7" s="20"/>
      <c r="I7" s="225"/>
      <c r="K7" s="6">
        <f>K6*(1-$E$3)</f>
        <v>95</v>
      </c>
      <c r="L7" s="6">
        <f>K7/$K$6</f>
        <v>0.95</v>
      </c>
    </row>
    <row r="8" spans="1:12" ht="33">
      <c r="A8" s="226"/>
      <c r="B8" s="21" t="s">
        <v>200</v>
      </c>
      <c r="C8" s="20">
        <v>880</v>
      </c>
      <c r="D8" s="20">
        <f>D23+D24+D25</f>
        <v>384.4</v>
      </c>
      <c r="E8" s="20">
        <f>D26</f>
        <v>1450</v>
      </c>
      <c r="F8" s="20">
        <f>D27+D28+D29</f>
        <v>420.54</v>
      </c>
      <c r="G8" s="20">
        <f>D30</f>
        <v>1050</v>
      </c>
      <c r="H8" s="20"/>
      <c r="I8" s="225"/>
      <c r="K8" s="6">
        <f>K7*(1-$E$3)</f>
        <v>90.25</v>
      </c>
      <c r="L8" s="6">
        <f t="shared" ref="L8:L10" si="0">K8/$K$6</f>
        <v>0.90249999999999997</v>
      </c>
    </row>
    <row r="9" spans="1:12" ht="18.75">
      <c r="A9" s="226" t="s">
        <v>201</v>
      </c>
      <c r="B9" s="180" t="s">
        <v>275</v>
      </c>
      <c r="C9" s="187">
        <v>2000</v>
      </c>
      <c r="D9" s="187">
        <v>2000</v>
      </c>
      <c r="E9" s="187">
        <v>2000</v>
      </c>
      <c r="F9" s="187">
        <v>2000</v>
      </c>
      <c r="G9" s="187">
        <v>2000</v>
      </c>
      <c r="H9" s="189"/>
      <c r="I9" s="26">
        <f>SUM(C9:H9)</f>
        <v>10000</v>
      </c>
      <c r="K9" s="6">
        <f t="shared" ref="K9:K10" si="1">K8*(1-$E$3)</f>
        <v>85.737499999999997</v>
      </c>
      <c r="L9" s="6">
        <f t="shared" si="0"/>
        <v>0.857375</v>
      </c>
    </row>
    <row r="10" spans="1:12" ht="18.75">
      <c r="A10" s="226"/>
      <c r="B10" s="193" t="s">
        <v>191</v>
      </c>
      <c r="C10" s="187">
        <v>2000</v>
      </c>
      <c r="D10" s="187">
        <v>2000</v>
      </c>
      <c r="E10" s="187">
        <v>2000</v>
      </c>
      <c r="F10" s="187">
        <v>2000</v>
      </c>
      <c r="G10" s="187">
        <v>2000</v>
      </c>
      <c r="H10" s="189"/>
      <c r="I10" s="26">
        <f t="shared" ref="I10:I14" si="2">SUM(C10:H10)</f>
        <v>10000</v>
      </c>
      <c r="K10" s="6">
        <f t="shared" si="1"/>
        <v>81.450624999999988</v>
      </c>
      <c r="L10" s="6">
        <f t="shared" si="0"/>
        <v>0.81450624999999988</v>
      </c>
    </row>
    <row r="11" spans="1:12" ht="18.75">
      <c r="A11" s="226"/>
      <c r="B11" s="193" t="s">
        <v>192</v>
      </c>
      <c r="C11" s="187">
        <v>2000</v>
      </c>
      <c r="D11" s="187">
        <v>2000</v>
      </c>
      <c r="E11" s="187">
        <v>2000</v>
      </c>
      <c r="F11" s="187">
        <v>2000</v>
      </c>
      <c r="G11" s="187">
        <v>2000</v>
      </c>
      <c r="H11" s="189"/>
      <c r="I11" s="26">
        <f t="shared" si="2"/>
        <v>10000</v>
      </c>
    </row>
    <row r="12" spans="1:12" ht="18.75">
      <c r="A12" s="226"/>
      <c r="B12" s="193" t="s">
        <v>242</v>
      </c>
      <c r="C12" s="187">
        <v>2000</v>
      </c>
      <c r="D12" s="187">
        <v>2000</v>
      </c>
      <c r="E12" s="187">
        <v>2000</v>
      </c>
      <c r="F12" s="187">
        <v>2000</v>
      </c>
      <c r="G12" s="187">
        <v>2000</v>
      </c>
      <c r="H12" s="189"/>
      <c r="I12" s="26">
        <f t="shared" si="2"/>
        <v>10000</v>
      </c>
    </row>
    <row r="13" spans="1:12" ht="18.75">
      <c r="A13" s="226"/>
      <c r="B13" s="193" t="s">
        <v>254</v>
      </c>
      <c r="C13" s="187">
        <v>2000</v>
      </c>
      <c r="D13" s="187">
        <v>2000</v>
      </c>
      <c r="E13" s="187">
        <v>2000</v>
      </c>
      <c r="F13" s="187">
        <v>2000</v>
      </c>
      <c r="G13" s="187">
        <v>2000</v>
      </c>
      <c r="H13" s="189"/>
      <c r="I13" s="26">
        <f t="shared" si="2"/>
        <v>10000</v>
      </c>
    </row>
    <row r="14" spans="1:12" ht="17.25">
      <c r="A14" s="226"/>
      <c r="B14" s="180"/>
      <c r="C14" s="23"/>
      <c r="D14" s="23"/>
      <c r="E14" s="23"/>
      <c r="F14" s="23"/>
      <c r="G14" s="23"/>
      <c r="H14" s="23"/>
      <c r="I14" s="26">
        <f t="shared" si="2"/>
        <v>0</v>
      </c>
    </row>
    <row r="15" spans="1:12" ht="17.25">
      <c r="A15" s="225" t="s">
        <v>19</v>
      </c>
      <c r="B15" s="225"/>
      <c r="C15" s="24">
        <f t="shared" ref="C15:I15" si="3">SUM(C9:C14)</f>
        <v>10000</v>
      </c>
      <c r="D15" s="24">
        <f t="shared" si="3"/>
        <v>10000</v>
      </c>
      <c r="E15" s="24">
        <f t="shared" si="3"/>
        <v>10000</v>
      </c>
      <c r="F15" s="24">
        <f t="shared" si="3"/>
        <v>10000</v>
      </c>
      <c r="G15" s="24">
        <f t="shared" si="3"/>
        <v>10000</v>
      </c>
      <c r="H15" s="24">
        <f t="shared" si="3"/>
        <v>0</v>
      </c>
      <c r="I15" s="24">
        <f t="shared" si="3"/>
        <v>50000</v>
      </c>
    </row>
    <row r="16" spans="1:12">
      <c r="A16" s="25"/>
      <c r="B16" s="25" t="s">
        <v>304</v>
      </c>
      <c r="C16" s="25">
        <f>材料成本!D12</f>
        <v>774.34</v>
      </c>
      <c r="D16" s="168">
        <f>材料成本!E12</f>
        <v>304.35000000000002</v>
      </c>
      <c r="E16" s="168">
        <f>材料成本!F12</f>
        <v>1078</v>
      </c>
      <c r="F16" s="168">
        <f>材料成本!G12</f>
        <v>308.23</v>
      </c>
      <c r="G16" s="168">
        <f>材料成本!H12</f>
        <v>705</v>
      </c>
    </row>
    <row r="17" spans="1:12">
      <c r="A17" s="25"/>
      <c r="B17" s="25" t="s">
        <v>305</v>
      </c>
      <c r="C17" s="25">
        <f>C8-C16</f>
        <v>105.65999999999997</v>
      </c>
      <c r="D17" s="25">
        <f t="shared" ref="D17:G17" si="4">D8-D16</f>
        <v>80.049999999999955</v>
      </c>
      <c r="E17" s="25">
        <f t="shared" si="4"/>
        <v>372</v>
      </c>
      <c r="F17" s="25">
        <f t="shared" si="4"/>
        <v>112.31</v>
      </c>
      <c r="G17" s="25">
        <f t="shared" si="4"/>
        <v>345</v>
      </c>
    </row>
    <row r="18" spans="1:12">
      <c r="A18" s="25"/>
      <c r="B18" s="25" t="s">
        <v>306</v>
      </c>
      <c r="C18" s="294">
        <f>C17/C8</f>
        <v>0.12006818181818178</v>
      </c>
      <c r="D18" s="294">
        <f t="shared" ref="D18:G18" si="5">D17/D8</f>
        <v>0.20824661810613934</v>
      </c>
      <c r="E18" s="294">
        <f t="shared" si="5"/>
        <v>0.25655172413793104</v>
      </c>
      <c r="F18" s="294">
        <f t="shared" si="5"/>
        <v>0.2670613972511533</v>
      </c>
      <c r="G18" s="294">
        <f t="shared" si="5"/>
        <v>0.32857142857142857</v>
      </c>
    </row>
    <row r="20" spans="1:12">
      <c r="A20" s="256" t="s">
        <v>253</v>
      </c>
      <c r="B20" s="256"/>
      <c r="C20" s="256"/>
      <c r="D20" s="256"/>
      <c r="E20" s="257" t="s">
        <v>201</v>
      </c>
      <c r="F20" s="257"/>
      <c r="G20" s="257"/>
      <c r="H20" s="257"/>
      <c r="I20" s="257"/>
      <c r="J20" s="257"/>
      <c r="K20" s="258" t="s">
        <v>19</v>
      </c>
    </row>
    <row r="21" spans="1:12" ht="33">
      <c r="A21" s="259" t="s">
        <v>147</v>
      </c>
      <c r="B21" s="259" t="s">
        <v>148</v>
      </c>
      <c r="C21" s="260" t="s">
        <v>199</v>
      </c>
      <c r="D21" s="260" t="s">
        <v>200</v>
      </c>
      <c r="E21" s="188" t="s">
        <v>18</v>
      </c>
      <c r="F21" s="188" t="s">
        <v>190</v>
      </c>
      <c r="G21" s="188" t="s">
        <v>191</v>
      </c>
      <c r="H21" s="188" t="s">
        <v>192</v>
      </c>
      <c r="I21" s="188" t="s">
        <v>242</v>
      </c>
      <c r="J21" s="188" t="s">
        <v>254</v>
      </c>
      <c r="K21" s="258"/>
    </row>
    <row r="22" spans="1:12" ht="33">
      <c r="A22" s="261" t="s">
        <v>255</v>
      </c>
      <c r="B22" s="262" t="s">
        <v>256</v>
      </c>
      <c r="C22" s="262" t="s">
        <v>257</v>
      </c>
      <c r="D22" s="262">
        <v>750</v>
      </c>
      <c r="E22" s="187">
        <v>2000</v>
      </c>
      <c r="F22" s="187">
        <v>2000</v>
      </c>
      <c r="G22" s="187">
        <v>2000</v>
      </c>
      <c r="H22" s="187">
        <v>2000</v>
      </c>
      <c r="I22" s="187">
        <v>2000</v>
      </c>
      <c r="J22" s="187"/>
      <c r="K22" s="263">
        <f t="shared" ref="K22:K34" si="6">SUM(E22:J22)</f>
        <v>10000</v>
      </c>
    </row>
    <row r="23" spans="1:12" ht="33">
      <c r="A23" s="261" t="s">
        <v>258</v>
      </c>
      <c r="B23" s="262" t="s">
        <v>259</v>
      </c>
      <c r="C23" s="262" t="s">
        <v>257</v>
      </c>
      <c r="D23" s="262">
        <v>116.25</v>
      </c>
      <c r="E23" s="187">
        <v>2000</v>
      </c>
      <c r="F23" s="187">
        <v>2000</v>
      </c>
      <c r="G23" s="187">
        <v>2000</v>
      </c>
      <c r="H23" s="187">
        <v>2000</v>
      </c>
      <c r="I23" s="187">
        <v>2000</v>
      </c>
      <c r="J23" s="187"/>
      <c r="K23" s="263">
        <f t="shared" si="6"/>
        <v>10000</v>
      </c>
    </row>
    <row r="24" spans="1:12" ht="33">
      <c r="A24" s="261" t="s">
        <v>260</v>
      </c>
      <c r="B24" s="262" t="s">
        <v>261</v>
      </c>
      <c r="C24" s="262" t="s">
        <v>257</v>
      </c>
      <c r="D24" s="262">
        <v>108.59</v>
      </c>
      <c r="E24" s="187">
        <v>2000</v>
      </c>
      <c r="F24" s="187">
        <v>2000</v>
      </c>
      <c r="G24" s="187">
        <v>2000</v>
      </c>
      <c r="H24" s="187">
        <v>2000</v>
      </c>
      <c r="I24" s="187">
        <v>2000</v>
      </c>
      <c r="J24" s="187"/>
      <c r="K24" s="263">
        <f t="shared" si="6"/>
        <v>10000</v>
      </c>
    </row>
    <row r="25" spans="1:12" ht="33">
      <c r="A25" s="264" t="s">
        <v>262</v>
      </c>
      <c r="B25" s="265" t="s">
        <v>269</v>
      </c>
      <c r="C25" s="262" t="s">
        <v>257</v>
      </c>
      <c r="D25" s="265">
        <v>159.56</v>
      </c>
      <c r="E25" s="187">
        <v>2000</v>
      </c>
      <c r="F25" s="187">
        <v>2000</v>
      </c>
      <c r="G25" s="187">
        <v>2000</v>
      </c>
      <c r="H25" s="187">
        <v>2000</v>
      </c>
      <c r="I25" s="187">
        <v>2000</v>
      </c>
      <c r="J25" s="188"/>
      <c r="K25" s="263">
        <f t="shared" si="6"/>
        <v>10000</v>
      </c>
    </row>
    <row r="26" spans="1:12" ht="33">
      <c r="A26" s="261" t="s">
        <v>255</v>
      </c>
      <c r="B26" s="265" t="s">
        <v>264</v>
      </c>
      <c r="C26" s="262" t="s">
        <v>257</v>
      </c>
      <c r="D26" s="265">
        <v>1450</v>
      </c>
      <c r="E26" s="187">
        <v>2000</v>
      </c>
      <c r="F26" s="187">
        <v>2000</v>
      </c>
      <c r="G26" s="187">
        <v>2000</v>
      </c>
      <c r="H26" s="187">
        <v>2000</v>
      </c>
      <c r="I26" s="187">
        <v>2000</v>
      </c>
      <c r="J26" s="188"/>
      <c r="K26" s="263">
        <f t="shared" si="6"/>
        <v>10000</v>
      </c>
    </row>
    <row r="27" spans="1:12" ht="33">
      <c r="A27" s="261" t="s">
        <v>258</v>
      </c>
      <c r="B27" s="265" t="s">
        <v>265</v>
      </c>
      <c r="C27" s="262" t="s">
        <v>257</v>
      </c>
      <c r="D27" s="265">
        <v>107.69</v>
      </c>
      <c r="E27" s="187">
        <v>2000</v>
      </c>
      <c r="F27" s="187">
        <v>2000</v>
      </c>
      <c r="G27" s="187">
        <v>2000</v>
      </c>
      <c r="H27" s="187">
        <v>2000</v>
      </c>
      <c r="I27" s="187">
        <v>2000</v>
      </c>
      <c r="J27" s="188"/>
      <c r="K27" s="263">
        <f t="shared" si="6"/>
        <v>10000</v>
      </c>
    </row>
    <row r="28" spans="1:12" ht="33">
      <c r="A28" s="261" t="s">
        <v>260</v>
      </c>
      <c r="B28" s="265" t="s">
        <v>266</v>
      </c>
      <c r="C28" s="262" t="s">
        <v>257</v>
      </c>
      <c r="D28" s="265">
        <v>153.29</v>
      </c>
      <c r="E28" s="187">
        <v>2000</v>
      </c>
      <c r="F28" s="187">
        <v>2000</v>
      </c>
      <c r="G28" s="187">
        <v>2000</v>
      </c>
      <c r="H28" s="187">
        <v>2000</v>
      </c>
      <c r="I28" s="187">
        <v>2000</v>
      </c>
      <c r="J28" s="188"/>
      <c r="K28" s="263">
        <f t="shared" si="6"/>
        <v>10000</v>
      </c>
    </row>
    <row r="29" spans="1:12" ht="33">
      <c r="A29" s="264" t="s">
        <v>262</v>
      </c>
      <c r="B29" s="265" t="s">
        <v>263</v>
      </c>
      <c r="C29" s="262" t="s">
        <v>257</v>
      </c>
      <c r="D29" s="280">
        <v>159.56</v>
      </c>
      <c r="E29" s="187">
        <v>2000</v>
      </c>
      <c r="F29" s="187">
        <v>2000</v>
      </c>
      <c r="G29" s="187">
        <v>2000</v>
      </c>
      <c r="H29" s="187">
        <v>2000</v>
      </c>
      <c r="I29" s="187">
        <v>2000</v>
      </c>
      <c r="J29" s="188"/>
      <c r="K29" s="263">
        <f t="shared" si="6"/>
        <v>10000</v>
      </c>
      <c r="L29" s="265">
        <v>159.69</v>
      </c>
    </row>
    <row r="30" spans="1:12" ht="33">
      <c r="A30" s="266" t="s">
        <v>255</v>
      </c>
      <c r="B30" s="265" t="s">
        <v>267</v>
      </c>
      <c r="C30" s="262" t="s">
        <v>257</v>
      </c>
      <c r="D30" s="265">
        <v>1050</v>
      </c>
      <c r="E30" s="267">
        <v>2000</v>
      </c>
      <c r="F30" s="267">
        <v>2000</v>
      </c>
      <c r="G30" s="267">
        <v>2000</v>
      </c>
      <c r="H30" s="267">
        <v>2000</v>
      </c>
      <c r="I30" s="267">
        <v>2000</v>
      </c>
      <c r="J30" s="188"/>
      <c r="K30" s="263">
        <f t="shared" si="6"/>
        <v>10000</v>
      </c>
    </row>
    <row r="31" spans="1:12" ht="17.25">
      <c r="A31" s="266"/>
      <c r="B31" s="268"/>
      <c r="C31" s="268"/>
      <c r="D31" s="268"/>
      <c r="E31" s="188"/>
      <c r="F31" s="188"/>
      <c r="G31" s="188"/>
      <c r="H31" s="188"/>
      <c r="I31" s="188"/>
      <c r="J31" s="188"/>
      <c r="K31" s="263"/>
    </row>
    <row r="32" spans="1:12" ht="17.25">
      <c r="A32" s="266"/>
      <c r="B32" s="268"/>
      <c r="C32" s="268"/>
      <c r="D32" s="268"/>
      <c r="E32" s="188"/>
      <c r="F32" s="188"/>
      <c r="G32" s="188"/>
      <c r="H32" s="188"/>
      <c r="I32" s="188"/>
      <c r="J32" s="188"/>
      <c r="K32" s="263"/>
    </row>
    <row r="33" spans="1:11" ht="18.75">
      <c r="A33" s="269"/>
      <c r="B33" s="270"/>
      <c r="C33" s="270"/>
      <c r="D33" s="271"/>
      <c r="E33" s="189"/>
      <c r="F33" s="189"/>
      <c r="G33" s="189"/>
      <c r="H33" s="189"/>
      <c r="I33" s="189"/>
      <c r="J33" s="189"/>
      <c r="K33" s="263">
        <f t="shared" si="6"/>
        <v>0</v>
      </c>
    </row>
    <row r="34" spans="1:11" ht="17.25">
      <c r="A34" s="272" t="s">
        <v>19</v>
      </c>
      <c r="B34" s="272"/>
      <c r="C34" s="272"/>
      <c r="D34" s="273"/>
      <c r="E34" s="274">
        <f>SUM(E22:E33)</f>
        <v>18000</v>
      </c>
      <c r="F34" s="274">
        <f t="shared" ref="F34:J34" si="7">SUM(F22:F33)</f>
        <v>18000</v>
      </c>
      <c r="G34" s="274">
        <f t="shared" si="7"/>
        <v>18000</v>
      </c>
      <c r="H34" s="274">
        <f t="shared" si="7"/>
        <v>18000</v>
      </c>
      <c r="I34" s="274">
        <f t="shared" si="7"/>
        <v>18000</v>
      </c>
      <c r="J34" s="274">
        <f t="shared" si="7"/>
        <v>0</v>
      </c>
      <c r="K34" s="275">
        <f t="shared" si="6"/>
        <v>90000</v>
      </c>
    </row>
    <row r="35" spans="1:11">
      <c r="A35" s="276"/>
      <c r="B35" s="276"/>
      <c r="C35" s="276"/>
      <c r="D35" s="276"/>
      <c r="E35" s="276"/>
      <c r="F35" s="276"/>
      <c r="G35" s="276"/>
      <c r="H35" s="276"/>
      <c r="I35" s="276"/>
      <c r="J35" s="276"/>
      <c r="K35" s="277"/>
    </row>
    <row r="36" spans="1:11">
      <c r="A36" s="278"/>
      <c r="B36" s="278"/>
      <c r="C36" s="278" t="s">
        <v>197</v>
      </c>
      <c r="D36" s="279" t="s">
        <v>268</v>
      </c>
      <c r="E36" s="278"/>
      <c r="F36" s="278"/>
      <c r="G36" s="278"/>
      <c r="H36" s="278"/>
      <c r="I36" s="278"/>
      <c r="J36" s="278"/>
      <c r="K36" s="278"/>
    </row>
  </sheetData>
  <mergeCells count="9">
    <mergeCell ref="K20:K21"/>
    <mergeCell ref="A34:D34"/>
    <mergeCell ref="A35:J35"/>
    <mergeCell ref="A15:B15"/>
    <mergeCell ref="A5:A8"/>
    <mergeCell ref="A9:A14"/>
    <mergeCell ref="I5:I8"/>
    <mergeCell ref="A20:D20"/>
    <mergeCell ref="E20:J20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2"/>
  <sheetViews>
    <sheetView workbookViewId="0">
      <pane xSplit="3" ySplit="5" topLeftCell="D9" activePane="bottomRight" state="frozen"/>
      <selection pane="topRight"/>
      <selection pane="bottomLeft"/>
      <selection pane="bottomRight" activeCell="D13" sqref="D13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6.625" style="6" customWidth="1"/>
    <col min="5" max="5" width="13.875" style="6" bestFit="1" customWidth="1"/>
    <col min="6" max="6" width="12.125" style="6" customWidth="1"/>
    <col min="7" max="9" width="14.375" style="6" customWidth="1"/>
    <col min="10" max="10" width="17.375" style="6" customWidth="1"/>
    <col min="11" max="11" width="16" style="6" customWidth="1"/>
    <col min="12" max="16384" width="9" style="6"/>
  </cols>
  <sheetData>
    <row r="1" spans="1:12" s="5" customFormat="1" ht="28.5" customHeight="1">
      <c r="A1" s="230" t="s">
        <v>7</v>
      </c>
      <c r="B1" s="230"/>
      <c r="C1" s="7"/>
      <c r="K1" s="14"/>
    </row>
    <row r="2" spans="1:12">
      <c r="A2" s="231" t="s">
        <v>202</v>
      </c>
      <c r="B2" s="231"/>
      <c r="C2" s="232"/>
      <c r="D2" s="232"/>
      <c r="E2" s="233" t="s">
        <v>251</v>
      </c>
      <c r="F2" s="234"/>
      <c r="G2" s="234"/>
      <c r="H2" s="234"/>
      <c r="I2" s="234"/>
      <c r="J2" s="235"/>
    </row>
    <row r="3" spans="1:12">
      <c r="A3" s="245" t="s">
        <v>17</v>
      </c>
      <c r="B3" s="245" t="s">
        <v>203</v>
      </c>
      <c r="C3" s="8" t="s">
        <v>204</v>
      </c>
      <c r="D3" s="236"/>
      <c r="E3" s="236"/>
      <c r="F3" s="8" t="s">
        <v>205</v>
      </c>
      <c r="G3" s="227"/>
      <c r="H3" s="228"/>
      <c r="I3" s="229"/>
      <c r="J3" s="237" t="s">
        <v>158</v>
      </c>
    </row>
    <row r="4" spans="1:12">
      <c r="A4" s="245"/>
      <c r="B4" s="245"/>
      <c r="C4" s="8" t="s">
        <v>147</v>
      </c>
      <c r="D4" s="163" t="str">
        <f>销量!C5</f>
        <v>驾驶员座总成</v>
      </c>
      <c r="E4" s="163" t="str">
        <f>销量!D5</f>
        <v>副驾驶员座椅总成</v>
      </c>
      <c r="F4" s="163" t="str">
        <f>销量!E5</f>
        <v>驾驶员座椅总成</v>
      </c>
      <c r="G4" s="163" t="str">
        <f>销量!F5</f>
        <v>副驾驶员座椅总成</v>
      </c>
      <c r="H4" s="163" t="str">
        <f>销量!G5</f>
        <v>驾驶员座椅总成</v>
      </c>
      <c r="I4" s="163">
        <f>销量!H5</f>
        <v>0</v>
      </c>
      <c r="J4" s="238"/>
    </row>
    <row r="5" spans="1:12" ht="35.25" customHeight="1">
      <c r="A5" s="245"/>
      <c r="B5" s="245"/>
      <c r="C5" s="8" t="s">
        <v>148</v>
      </c>
      <c r="D5" s="163" t="str">
        <f>销量!C6</f>
        <v>6800010AH95-C00</v>
      </c>
      <c r="E5" s="163" t="str">
        <f>销量!D6</f>
        <v>6903010-H87-C006905100-H87-C006905020-H87-C00</v>
      </c>
      <c r="F5" s="163" t="str">
        <f>销量!E6</f>
        <v>6800010-H95-C00</v>
      </c>
      <c r="G5" s="163" t="str">
        <f>销量!F6</f>
        <v>6903010-H95-C00690510-H95-C006905020-H95-C00</v>
      </c>
      <c r="H5" s="163" t="str">
        <f>销量!G6</f>
        <v>6800010DH26-C00</v>
      </c>
      <c r="I5" s="163">
        <f>销量!H6</f>
        <v>0</v>
      </c>
      <c r="J5" s="239"/>
    </row>
    <row r="6" spans="1:12" ht="16.5" customHeight="1">
      <c r="A6" s="11">
        <v>1</v>
      </c>
      <c r="B6" s="240" t="s">
        <v>243</v>
      </c>
      <c r="C6" s="241"/>
      <c r="D6" s="12">
        <v>774.34</v>
      </c>
      <c r="E6" s="12">
        <v>304.35000000000002</v>
      </c>
      <c r="F6" s="12">
        <v>1078</v>
      </c>
      <c r="G6" s="12">
        <v>308.23</v>
      </c>
      <c r="H6" s="12">
        <v>705</v>
      </c>
      <c r="I6" s="12"/>
      <c r="J6" s="182"/>
    </row>
    <row r="7" spans="1:12" ht="16.5" customHeight="1">
      <c r="A7" s="11">
        <v>2</v>
      </c>
      <c r="B7" s="240"/>
      <c r="C7" s="241"/>
      <c r="D7" s="10"/>
      <c r="E7" s="10"/>
      <c r="F7" s="10"/>
      <c r="G7" s="10"/>
      <c r="H7" s="10"/>
      <c r="I7" s="10"/>
      <c r="J7" s="15"/>
    </row>
    <row r="8" spans="1:12" ht="16.5" customHeight="1">
      <c r="A8" s="11">
        <v>3</v>
      </c>
      <c r="B8" s="240"/>
      <c r="C8" s="241"/>
      <c r="D8" s="12"/>
      <c r="E8" s="10"/>
      <c r="F8" s="12"/>
      <c r="G8" s="10"/>
      <c r="H8" s="12"/>
      <c r="I8" s="12"/>
      <c r="J8" s="15"/>
    </row>
    <row r="9" spans="1:12">
      <c r="A9" s="11">
        <v>4</v>
      </c>
      <c r="B9" s="240"/>
      <c r="C9" s="241"/>
      <c r="D9" s="12"/>
      <c r="E9" s="10"/>
      <c r="F9" s="12"/>
      <c r="G9" s="10"/>
      <c r="H9" s="10"/>
      <c r="I9" s="10"/>
      <c r="J9" s="15"/>
    </row>
    <row r="10" spans="1:12" ht="16.5" customHeight="1">
      <c r="A10" s="11">
        <v>5</v>
      </c>
      <c r="B10" s="240"/>
      <c r="C10" s="241"/>
      <c r="D10" s="12"/>
      <c r="E10" s="10"/>
      <c r="F10" s="12"/>
      <c r="G10" s="10"/>
      <c r="H10" s="10"/>
      <c r="I10" s="10"/>
      <c r="J10" s="15"/>
      <c r="K10" s="246"/>
      <c r="L10" s="247"/>
    </row>
    <row r="11" spans="1:12" ht="16.5" customHeight="1">
      <c r="A11" s="11">
        <v>6</v>
      </c>
      <c r="B11" s="240"/>
      <c r="C11" s="241"/>
      <c r="D11" s="12"/>
      <c r="E11" s="10"/>
      <c r="F11" s="12"/>
      <c r="G11" s="10"/>
      <c r="H11" s="10"/>
      <c r="I11" s="10"/>
      <c r="J11" s="15"/>
      <c r="K11" s="246"/>
      <c r="L11" s="247"/>
    </row>
    <row r="12" spans="1:12" ht="31.5" customHeight="1">
      <c r="A12" s="242" t="s">
        <v>206</v>
      </c>
      <c r="B12" s="243"/>
      <c r="C12" s="244"/>
      <c r="D12" s="13">
        <f>SUM(D6:D11)</f>
        <v>774.34</v>
      </c>
      <c r="E12" s="13">
        <f>SUM(E6:E11)</f>
        <v>304.35000000000002</v>
      </c>
      <c r="F12" s="13">
        <f>SUM(F6:F11)</f>
        <v>1078</v>
      </c>
      <c r="G12" s="13">
        <f>SUM(G6:G11)</f>
        <v>308.23</v>
      </c>
      <c r="H12" s="13">
        <f>SUM(H6:H11)</f>
        <v>705</v>
      </c>
      <c r="I12" s="13">
        <f>SUM(I6:I11)</f>
        <v>0</v>
      </c>
      <c r="J12" s="15"/>
    </row>
    <row r="13" spans="1:12">
      <c r="D13" s="168"/>
      <c r="E13" s="168"/>
    </row>
    <row r="15" spans="1:12" ht="27.75" customHeight="1">
      <c r="C15" s="15"/>
      <c r="D15" s="226" t="s">
        <v>249</v>
      </c>
      <c r="E15" s="226"/>
      <c r="F15" s="226"/>
      <c r="G15" s="226"/>
      <c r="H15" s="226"/>
      <c r="I15" s="226"/>
      <c r="J15" s="226"/>
    </row>
    <row r="16" spans="1:12">
      <c r="C16" s="226" t="s">
        <v>238</v>
      </c>
      <c r="D16" s="226"/>
      <c r="E16" s="282" t="s">
        <v>239</v>
      </c>
      <c r="F16" s="282"/>
      <c r="G16" s="282"/>
      <c r="H16" s="282"/>
      <c r="I16" s="282"/>
      <c r="J16" s="282"/>
    </row>
    <row r="17" spans="3:10">
      <c r="C17" s="226"/>
      <c r="D17" s="226"/>
      <c r="E17" s="193" t="s">
        <v>278</v>
      </c>
      <c r="F17" s="193" t="s">
        <v>191</v>
      </c>
      <c r="G17" s="193" t="s">
        <v>192</v>
      </c>
      <c r="H17" s="193" t="s">
        <v>242</v>
      </c>
      <c r="I17" s="193" t="s">
        <v>254</v>
      </c>
      <c r="J17" s="193" t="s">
        <v>279</v>
      </c>
    </row>
    <row r="18" spans="3:10">
      <c r="C18" s="15" t="s">
        <v>255</v>
      </c>
      <c r="D18" s="15" t="s">
        <v>256</v>
      </c>
      <c r="E18" s="176">
        <f>D12</f>
        <v>774.34</v>
      </c>
      <c r="F18" s="176">
        <f t="shared" ref="F18:I22" si="0">E18*(1-0.05)</f>
        <v>735.62300000000005</v>
      </c>
      <c r="G18" s="176">
        <f t="shared" si="0"/>
        <v>698.84185000000002</v>
      </c>
      <c r="H18" s="176">
        <f t="shared" si="0"/>
        <v>663.89975749999996</v>
      </c>
      <c r="I18" s="176">
        <f t="shared" si="0"/>
        <v>630.70476962499993</v>
      </c>
      <c r="J18" s="176"/>
    </row>
    <row r="19" spans="3:10">
      <c r="C19" s="15" t="s">
        <v>271</v>
      </c>
      <c r="D19" s="15" t="s">
        <v>276</v>
      </c>
      <c r="E19" s="183">
        <f>E12</f>
        <v>304.35000000000002</v>
      </c>
      <c r="F19" s="176">
        <f t="shared" si="0"/>
        <v>289.13249999999999</v>
      </c>
      <c r="G19" s="176">
        <f t="shared" si="0"/>
        <v>274.67587499999996</v>
      </c>
      <c r="H19" s="176">
        <f t="shared" si="0"/>
        <v>260.94208124999994</v>
      </c>
      <c r="I19" s="176">
        <f t="shared" si="0"/>
        <v>247.89497718749993</v>
      </c>
      <c r="J19" s="176"/>
    </row>
    <row r="20" spans="3:10">
      <c r="C20" s="15" t="s">
        <v>241</v>
      </c>
      <c r="D20" s="15" t="s">
        <v>264</v>
      </c>
      <c r="E20" s="183">
        <f>F12</f>
        <v>1078</v>
      </c>
      <c r="F20" s="176">
        <f t="shared" si="0"/>
        <v>1024.0999999999999</v>
      </c>
      <c r="G20" s="176">
        <f t="shared" si="0"/>
        <v>972.89499999999987</v>
      </c>
      <c r="H20" s="176">
        <f t="shared" si="0"/>
        <v>924.25024999999982</v>
      </c>
      <c r="I20" s="176">
        <f t="shared" si="0"/>
        <v>878.03773749999982</v>
      </c>
      <c r="J20" s="176"/>
    </row>
    <row r="21" spans="3:10">
      <c r="C21" s="15" t="s">
        <v>271</v>
      </c>
      <c r="D21" s="15" t="s">
        <v>277</v>
      </c>
      <c r="E21" s="183">
        <f>G12</f>
        <v>308.23</v>
      </c>
      <c r="F21" s="176">
        <f t="shared" si="0"/>
        <v>292.81850000000003</v>
      </c>
      <c r="G21" s="176">
        <f t="shared" si="0"/>
        <v>278.17757499999999</v>
      </c>
      <c r="H21" s="176">
        <f t="shared" si="0"/>
        <v>264.26869625</v>
      </c>
      <c r="I21" s="176">
        <f t="shared" si="0"/>
        <v>251.05526143749998</v>
      </c>
      <c r="J21" s="176"/>
    </row>
    <row r="22" spans="3:10">
      <c r="C22" s="15" t="s">
        <v>241</v>
      </c>
      <c r="D22" s="15" t="s">
        <v>267</v>
      </c>
      <c r="E22" s="183">
        <f>H12</f>
        <v>705</v>
      </c>
      <c r="F22" s="176">
        <f t="shared" si="0"/>
        <v>669.75</v>
      </c>
      <c r="G22" s="176">
        <f t="shared" si="0"/>
        <v>636.26249999999993</v>
      </c>
      <c r="H22" s="176">
        <f t="shared" si="0"/>
        <v>604.44937499999992</v>
      </c>
      <c r="I22" s="176">
        <f t="shared" si="0"/>
        <v>574.22690624999984</v>
      </c>
      <c r="J22" s="176"/>
    </row>
  </sheetData>
  <mergeCells count="20">
    <mergeCell ref="C16:D17"/>
    <mergeCell ref="K10:L10"/>
    <mergeCell ref="K11:L11"/>
    <mergeCell ref="A12:C12"/>
    <mergeCell ref="A3:A5"/>
    <mergeCell ref="B3:B5"/>
    <mergeCell ref="B11:C11"/>
    <mergeCell ref="G3:I3"/>
    <mergeCell ref="D15:J15"/>
    <mergeCell ref="E16:J16"/>
    <mergeCell ref="A1:B1"/>
    <mergeCell ref="A2:D2"/>
    <mergeCell ref="E2:J2"/>
    <mergeCell ref="D3:E3"/>
    <mergeCell ref="J3:J5"/>
    <mergeCell ref="B6:C6"/>
    <mergeCell ref="B7:C7"/>
    <mergeCell ref="B8:C8"/>
    <mergeCell ref="B9:C9"/>
    <mergeCell ref="B10:C10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2" activePane="bottomRight" state="frozen"/>
      <selection pane="topRight"/>
      <selection pane="bottomLeft"/>
      <selection pane="bottomRight" activeCell="C2" sqref="C2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16384" width="9" style="4"/>
  </cols>
  <sheetData>
    <row r="1" spans="1:5" ht="27" customHeight="1">
      <c r="A1" s="283" t="s">
        <v>17</v>
      </c>
      <c r="B1" s="283" t="s">
        <v>207</v>
      </c>
      <c r="C1" s="283" t="s">
        <v>208</v>
      </c>
      <c r="D1" s="283" t="s">
        <v>209</v>
      </c>
    </row>
    <row r="2" spans="1:5" ht="19.5" customHeight="1">
      <c r="A2" s="283">
        <v>1</v>
      </c>
      <c r="B2" s="284" t="s">
        <v>210</v>
      </c>
      <c r="C2" s="285" t="s">
        <v>281</v>
      </c>
      <c r="D2" s="283"/>
    </row>
    <row r="3" spans="1:5" ht="19.5" customHeight="1">
      <c r="A3" s="283">
        <v>2</v>
      </c>
      <c r="B3" s="284" t="s">
        <v>211</v>
      </c>
      <c r="C3" s="286" t="s">
        <v>282</v>
      </c>
      <c r="D3" s="283" t="s">
        <v>283</v>
      </c>
    </row>
    <row r="4" spans="1:5" ht="19.5" customHeight="1">
      <c r="A4" s="283">
        <v>3</v>
      </c>
      <c r="B4" s="284" t="s">
        <v>212</v>
      </c>
      <c r="C4" s="285" t="s">
        <v>284</v>
      </c>
      <c r="D4" s="283" t="s">
        <v>285</v>
      </c>
    </row>
    <row r="5" spans="1:5" ht="19.5" customHeight="1">
      <c r="A5" s="287">
        <v>4</v>
      </c>
      <c r="B5" s="284" t="s">
        <v>213</v>
      </c>
      <c r="C5" s="285" t="s">
        <v>286</v>
      </c>
      <c r="D5" s="283"/>
    </row>
    <row r="6" spans="1:5" ht="35.25" customHeight="1">
      <c r="A6" s="287">
        <v>5</v>
      </c>
      <c r="B6" s="284" t="s">
        <v>214</v>
      </c>
      <c r="C6" s="285" t="s">
        <v>286</v>
      </c>
      <c r="D6" s="283"/>
    </row>
    <row r="7" spans="1:5" ht="37.5" customHeight="1">
      <c r="A7" s="283">
        <v>6</v>
      </c>
      <c r="B7" s="283" t="s">
        <v>215</v>
      </c>
      <c r="C7" s="286" t="s">
        <v>280</v>
      </c>
      <c r="D7" s="283"/>
    </row>
    <row r="8" spans="1:5" ht="42.75" customHeight="1">
      <c r="A8" s="283">
        <v>7</v>
      </c>
      <c r="B8" s="284" t="s">
        <v>216</v>
      </c>
      <c r="C8" s="289" t="s">
        <v>287</v>
      </c>
      <c r="D8" s="283"/>
    </row>
    <row r="9" spans="1:5" ht="39" customHeight="1">
      <c r="A9" s="283">
        <v>8</v>
      </c>
      <c r="B9" s="283" t="s">
        <v>217</v>
      </c>
      <c r="C9" s="290" t="s">
        <v>288</v>
      </c>
      <c r="D9" s="283"/>
    </row>
    <row r="10" spans="1:5" ht="36" customHeight="1">
      <c r="A10" s="283">
        <v>9</v>
      </c>
      <c r="B10" s="283" t="s">
        <v>218</v>
      </c>
      <c r="C10" s="291" t="s">
        <v>286</v>
      </c>
      <c r="D10" s="283"/>
    </row>
    <row r="11" spans="1:5" ht="35.25" customHeight="1">
      <c r="A11" s="283">
        <v>10</v>
      </c>
      <c r="B11" s="283" t="s">
        <v>219</v>
      </c>
      <c r="C11" s="291" t="s">
        <v>289</v>
      </c>
      <c r="D11" s="283" t="s">
        <v>290</v>
      </c>
      <c r="E11" s="166"/>
    </row>
    <row r="12" spans="1:5" ht="19.5" customHeight="1">
      <c r="A12" s="283">
        <v>11</v>
      </c>
      <c r="B12" s="283" t="s">
        <v>220</v>
      </c>
      <c r="C12" s="291" t="s">
        <v>286</v>
      </c>
      <c r="D12" s="283"/>
    </row>
    <row r="13" spans="1:5" ht="19.5" customHeight="1">
      <c r="A13" s="283">
        <v>12</v>
      </c>
      <c r="B13" s="284" t="s">
        <v>291</v>
      </c>
      <c r="C13" s="291" t="s">
        <v>286</v>
      </c>
      <c r="D13" s="283"/>
    </row>
    <row r="14" spans="1:5">
      <c r="A14" s="283">
        <v>13</v>
      </c>
      <c r="B14" s="284" t="s">
        <v>292</v>
      </c>
      <c r="C14" s="291" t="s">
        <v>293</v>
      </c>
      <c r="D14" s="283"/>
    </row>
    <row r="15" spans="1:5">
      <c r="A15" s="283">
        <v>14</v>
      </c>
      <c r="B15" s="284" t="s">
        <v>294</v>
      </c>
      <c r="C15" s="291" t="s">
        <v>295</v>
      </c>
      <c r="D15" s="283"/>
    </row>
    <row r="16" spans="1:5">
      <c r="A16" s="283">
        <v>15</v>
      </c>
      <c r="B16" s="283" t="s">
        <v>133</v>
      </c>
      <c r="C16" s="283"/>
      <c r="D16" s="283"/>
    </row>
    <row r="17" spans="1:4" ht="16.5">
      <c r="A17" s="288"/>
      <c r="B17" s="279" t="s">
        <v>296</v>
      </c>
      <c r="C17" s="288"/>
      <c r="D17" s="288"/>
    </row>
  </sheetData>
  <phoneticPr fontId="3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78"/>
  <sheetViews>
    <sheetView workbookViewId="0">
      <selection activeCell="E10" sqref="E10"/>
    </sheetView>
  </sheetViews>
  <sheetFormatPr defaultColWidth="9" defaultRowHeight="13.5"/>
  <cols>
    <col min="1" max="2" width="9" style="69"/>
    <col min="3" max="5" width="15.75" style="69" customWidth="1"/>
    <col min="6" max="8" width="11.125" style="69" customWidth="1"/>
    <col min="9" max="9" width="12.875" style="152" customWidth="1"/>
    <col min="10" max="16384" width="9" style="69"/>
  </cols>
  <sheetData>
    <row r="1" spans="1:12" s="149" customFormat="1" ht="18.75" customHeight="1">
      <c r="G1" s="253" t="s">
        <v>221</v>
      </c>
      <c r="H1" s="253"/>
      <c r="I1" s="150"/>
    </row>
    <row r="2" spans="1:12" ht="39" customHeight="1">
      <c r="A2" s="254" t="s">
        <v>222</v>
      </c>
      <c r="B2" s="254"/>
      <c r="C2" s="248" t="s">
        <v>223</v>
      </c>
      <c r="D2" s="255"/>
      <c r="E2" s="255"/>
      <c r="F2" s="255"/>
      <c r="G2" s="255"/>
      <c r="H2" s="249"/>
      <c r="I2" s="151" t="s">
        <v>230</v>
      </c>
      <c r="K2" s="171"/>
      <c r="L2" s="171"/>
    </row>
    <row r="3" spans="1:12" ht="34.5" customHeight="1">
      <c r="A3" s="254"/>
      <c r="B3" s="254"/>
      <c r="C3" s="160" t="s">
        <v>232</v>
      </c>
      <c r="D3" s="160" t="s">
        <v>233</v>
      </c>
      <c r="E3" s="160" t="s">
        <v>231</v>
      </c>
      <c r="F3" s="161" t="s">
        <v>236</v>
      </c>
      <c r="G3" s="161" t="s">
        <v>235</v>
      </c>
      <c r="H3" s="161" t="s">
        <v>234</v>
      </c>
      <c r="I3" s="165">
        <f>销量!C8</f>
        <v>880</v>
      </c>
    </row>
    <row r="4" spans="1:12" ht="24" customHeight="1">
      <c r="A4" s="250" t="s">
        <v>224</v>
      </c>
      <c r="B4" s="250"/>
      <c r="C4" s="3"/>
      <c r="D4" s="153"/>
      <c r="E4" s="154">
        <f>$I$3*F4</f>
        <v>49.473588007760711</v>
      </c>
      <c r="F4" s="185">
        <v>5.6219986372455351E-2</v>
      </c>
      <c r="G4" s="154"/>
      <c r="H4" s="155">
        <v>4.48E-2</v>
      </c>
      <c r="I4" s="152">
        <v>4.3099999999999999E-2</v>
      </c>
      <c r="J4" s="169"/>
      <c r="K4" s="70"/>
      <c r="L4" s="70"/>
    </row>
    <row r="5" spans="1:12" ht="24" customHeight="1">
      <c r="A5" s="250" t="s">
        <v>225</v>
      </c>
      <c r="B5" s="156" t="s">
        <v>226</v>
      </c>
      <c r="C5" s="3"/>
      <c r="D5" s="153"/>
      <c r="E5" s="154">
        <f t="shared" ref="E5:E6" si="0">$I$3*F5</f>
        <v>39.6</v>
      </c>
      <c r="F5" s="155">
        <v>4.4999999999999998E-2</v>
      </c>
      <c r="G5" s="155"/>
      <c r="H5" s="155">
        <v>4.0399999999999998E-2</v>
      </c>
      <c r="J5" s="170"/>
      <c r="K5" s="70"/>
      <c r="L5" s="70"/>
    </row>
    <row r="6" spans="1:12" ht="24" customHeight="1">
      <c r="A6" s="250"/>
      <c r="B6" s="156" t="s">
        <v>227</v>
      </c>
      <c r="C6" s="3"/>
      <c r="D6" s="153"/>
      <c r="E6" s="154">
        <f t="shared" si="0"/>
        <v>13.266870848947413</v>
      </c>
      <c r="F6" s="185">
        <v>1.5075989601076605E-2</v>
      </c>
      <c r="G6" s="154"/>
      <c r="H6" s="155">
        <v>1.66E-2</v>
      </c>
      <c r="I6" s="152">
        <v>2.1700000000000001E-2</v>
      </c>
      <c r="J6" s="169"/>
      <c r="K6" s="70"/>
      <c r="L6" s="70"/>
    </row>
    <row r="7" spans="1:12" ht="24" customHeight="1">
      <c r="A7" s="248" t="s">
        <v>228</v>
      </c>
      <c r="B7" s="249"/>
      <c r="C7" s="157"/>
      <c r="D7" s="158"/>
      <c r="E7" s="154">
        <f>$I$3*F7</f>
        <v>102.34045885670812</v>
      </c>
      <c r="F7" s="184">
        <f>SUM(F4:F6)</f>
        <v>0.11629597597353196</v>
      </c>
      <c r="G7" s="154"/>
      <c r="H7" s="159">
        <f>SUM(H4:H6)</f>
        <v>0.1018</v>
      </c>
      <c r="I7" s="152">
        <f>SUM(I4:I6)</f>
        <v>6.4799999999999996E-2</v>
      </c>
      <c r="J7" s="169"/>
      <c r="K7" s="70"/>
      <c r="L7" s="70"/>
    </row>
    <row r="8" spans="1:12" ht="24" customHeight="1">
      <c r="A8" s="250" t="s">
        <v>49</v>
      </c>
      <c r="B8" s="250"/>
      <c r="C8" s="3"/>
      <c r="D8" s="153"/>
      <c r="E8" s="154">
        <f>$I$3*F8</f>
        <v>26.4</v>
      </c>
      <c r="F8" s="186">
        <v>0.03</v>
      </c>
      <c r="G8" s="154"/>
      <c r="H8" s="155">
        <f>1.97%+0.75%</f>
        <v>2.7199999999999998E-2</v>
      </c>
      <c r="J8" s="170"/>
      <c r="K8" s="70"/>
      <c r="L8" s="70"/>
    </row>
    <row r="9" spans="1:12" ht="24" customHeight="1">
      <c r="A9" s="251" t="s">
        <v>229</v>
      </c>
      <c r="B9" s="156" t="s">
        <v>226</v>
      </c>
      <c r="C9" s="3"/>
      <c r="D9" s="153"/>
      <c r="E9" s="154">
        <f>$I$3*F9</f>
        <v>6.16</v>
      </c>
      <c r="F9" s="155">
        <v>7.0000000000000001E-3</v>
      </c>
      <c r="G9" s="154"/>
      <c r="H9" s="155">
        <v>5.3E-3</v>
      </c>
      <c r="J9" s="152"/>
      <c r="K9" s="70"/>
      <c r="L9" s="70"/>
    </row>
    <row r="10" spans="1:12" ht="24" customHeight="1">
      <c r="A10" s="252"/>
      <c r="B10" s="156" t="s">
        <v>227</v>
      </c>
      <c r="C10" s="3"/>
      <c r="D10" s="153"/>
      <c r="E10" s="154">
        <f>$I$3*I10</f>
        <v>35.199999999999996</v>
      </c>
      <c r="F10" s="152">
        <f>2.8%+1.2%</f>
        <v>3.9999999999999994E-2</v>
      </c>
      <c r="G10" s="154"/>
      <c r="H10" s="155">
        <v>3.4099999999999998E-2</v>
      </c>
      <c r="I10" s="152">
        <f>2.8%+1.2%</f>
        <v>3.9999999999999994E-2</v>
      </c>
      <c r="J10" s="152"/>
      <c r="K10" s="70"/>
      <c r="L10" s="70"/>
    </row>
    <row r="11" spans="1:12" ht="24" customHeight="1">
      <c r="A11" s="250" t="s">
        <v>52</v>
      </c>
      <c r="B11" s="250"/>
      <c r="C11" s="3"/>
      <c r="D11" s="153"/>
      <c r="E11" s="154">
        <f t="shared" ref="E11" si="1">$I$3*F11</f>
        <v>35.200000000000003</v>
      </c>
      <c r="F11" s="155">
        <v>0.04</v>
      </c>
      <c r="G11" s="154"/>
      <c r="H11" s="155">
        <v>1.0999999999999999E-2</v>
      </c>
      <c r="I11" s="152">
        <v>0.03</v>
      </c>
      <c r="J11" s="152"/>
      <c r="K11" s="70"/>
      <c r="L11" s="70"/>
    </row>
    <row r="15" spans="1:12">
      <c r="A15" s="149"/>
      <c r="B15" s="149"/>
      <c r="C15" s="149"/>
      <c r="D15" s="149"/>
      <c r="E15" s="149"/>
      <c r="F15" s="149"/>
      <c r="G15" s="253" t="s">
        <v>221</v>
      </c>
      <c r="H15" s="253"/>
      <c r="I15" s="150"/>
    </row>
    <row r="16" spans="1:12">
      <c r="A16" s="254" t="s">
        <v>222</v>
      </c>
      <c r="B16" s="254"/>
      <c r="C16" s="248" t="s">
        <v>223</v>
      </c>
      <c r="D16" s="255"/>
      <c r="E16" s="255"/>
      <c r="F16" s="255"/>
      <c r="G16" s="255"/>
      <c r="H16" s="249"/>
      <c r="I16" s="151" t="s">
        <v>230</v>
      </c>
    </row>
    <row r="17" spans="1:9" ht="27">
      <c r="A17" s="254"/>
      <c r="B17" s="254"/>
      <c r="C17" s="160" t="s">
        <v>232</v>
      </c>
      <c r="D17" s="160" t="s">
        <v>233</v>
      </c>
      <c r="E17" s="160" t="s">
        <v>231</v>
      </c>
      <c r="F17" s="161" t="s">
        <v>236</v>
      </c>
      <c r="G17" s="161" t="s">
        <v>235</v>
      </c>
      <c r="H17" s="161" t="s">
        <v>234</v>
      </c>
      <c r="I17" s="165">
        <f>销量!D8</f>
        <v>384.4</v>
      </c>
    </row>
    <row r="18" spans="1:9">
      <c r="A18" s="250" t="s">
        <v>224</v>
      </c>
      <c r="B18" s="250"/>
      <c r="C18" s="3"/>
      <c r="D18" s="153"/>
      <c r="E18" s="154">
        <f>$I$17*F18</f>
        <v>21.610962761571834</v>
      </c>
      <c r="F18" s="185">
        <v>5.6219986372455351E-2</v>
      </c>
      <c r="G18" s="154"/>
      <c r="H18" s="155">
        <v>4.48E-2</v>
      </c>
      <c r="I18" s="152">
        <v>4.3099999999999999E-2</v>
      </c>
    </row>
    <row r="19" spans="1:9">
      <c r="A19" s="250" t="s">
        <v>225</v>
      </c>
      <c r="B19" s="181" t="s">
        <v>226</v>
      </c>
      <c r="C19" s="3"/>
      <c r="D19" s="153"/>
      <c r="E19" s="154">
        <f t="shared" ref="E19:E25" si="2">$I$17*F19</f>
        <v>17.297999999999998</v>
      </c>
      <c r="F19" s="155">
        <v>4.4999999999999998E-2</v>
      </c>
      <c r="G19" s="154"/>
      <c r="H19" s="155">
        <v>4.0399999999999998E-2</v>
      </c>
    </row>
    <row r="20" spans="1:9">
      <c r="A20" s="250"/>
      <c r="B20" s="181" t="s">
        <v>227</v>
      </c>
      <c r="C20" s="3"/>
      <c r="D20" s="153"/>
      <c r="E20" s="154">
        <f t="shared" si="2"/>
        <v>5.7952104026538462</v>
      </c>
      <c r="F20" s="185">
        <v>1.5075989601076605E-2</v>
      </c>
      <c r="G20" s="154"/>
      <c r="H20" s="155">
        <v>1.66E-2</v>
      </c>
      <c r="I20" s="152">
        <v>2.1700000000000001E-2</v>
      </c>
    </row>
    <row r="21" spans="1:9">
      <c r="A21" s="248" t="s">
        <v>228</v>
      </c>
      <c r="B21" s="249"/>
      <c r="C21" s="157"/>
      <c r="D21" s="158"/>
      <c r="E21" s="154">
        <f t="shared" si="2"/>
        <v>44.704173164225679</v>
      </c>
      <c r="F21" s="184">
        <f>SUM(F18:F20)</f>
        <v>0.11629597597353196</v>
      </c>
      <c r="G21" s="154"/>
      <c r="H21" s="159">
        <f>SUM(H18:H20)</f>
        <v>0.1018</v>
      </c>
      <c r="I21" s="152">
        <f>SUM(I18:I20)</f>
        <v>6.4799999999999996E-2</v>
      </c>
    </row>
    <row r="22" spans="1:9">
      <c r="A22" s="250" t="s">
        <v>49</v>
      </c>
      <c r="B22" s="250"/>
      <c r="C22" s="3"/>
      <c r="D22" s="153"/>
      <c r="E22" s="154">
        <f t="shared" si="2"/>
        <v>11.531999999999998</v>
      </c>
      <c r="F22" s="186">
        <v>0.03</v>
      </c>
      <c r="G22" s="154"/>
      <c r="H22" s="155">
        <f>1.97%+0.75%</f>
        <v>2.7199999999999998E-2</v>
      </c>
    </row>
    <row r="23" spans="1:9">
      <c r="A23" s="251" t="s">
        <v>229</v>
      </c>
      <c r="B23" s="181" t="s">
        <v>226</v>
      </c>
      <c r="C23" s="3"/>
      <c r="D23" s="153"/>
      <c r="E23" s="154">
        <f t="shared" si="2"/>
        <v>2.6907999999999999</v>
      </c>
      <c r="F23" s="155">
        <v>7.0000000000000001E-3</v>
      </c>
      <c r="G23" s="154"/>
      <c r="H23" s="155">
        <v>5.3E-3</v>
      </c>
    </row>
    <row r="24" spans="1:9">
      <c r="A24" s="252"/>
      <c r="B24" s="181" t="s">
        <v>227</v>
      </c>
      <c r="C24" s="3"/>
      <c r="D24" s="153"/>
      <c r="E24" s="154">
        <f>$I$17*I24</f>
        <v>36.518000000000001</v>
      </c>
      <c r="F24" s="152">
        <v>9.5000000000000001E-2</v>
      </c>
      <c r="G24" s="154"/>
      <c r="H24" s="155">
        <v>3.4099999999999998E-2</v>
      </c>
      <c r="I24" s="152">
        <v>9.5000000000000001E-2</v>
      </c>
    </row>
    <row r="25" spans="1:9">
      <c r="A25" s="250" t="s">
        <v>52</v>
      </c>
      <c r="B25" s="250"/>
      <c r="C25" s="3"/>
      <c r="D25" s="153"/>
      <c r="E25" s="154">
        <f t="shared" si="2"/>
        <v>15.375999999999999</v>
      </c>
      <c r="F25" s="155">
        <v>0.04</v>
      </c>
      <c r="G25" s="154"/>
      <c r="H25" s="155">
        <v>1.0999999999999999E-2</v>
      </c>
      <c r="I25" s="152">
        <v>0.03</v>
      </c>
    </row>
    <row r="29" spans="1:9">
      <c r="A29" s="149"/>
      <c r="B29" s="149"/>
      <c r="C29" s="149"/>
      <c r="D29" s="149"/>
      <c r="E29" s="149"/>
      <c r="F29" s="149"/>
      <c r="G29" s="253" t="s">
        <v>221</v>
      </c>
      <c r="H29" s="253"/>
      <c r="I29" s="150"/>
    </row>
    <row r="30" spans="1:9">
      <c r="A30" s="254" t="s">
        <v>222</v>
      </c>
      <c r="B30" s="254"/>
      <c r="C30" s="248" t="s">
        <v>223</v>
      </c>
      <c r="D30" s="255"/>
      <c r="E30" s="255"/>
      <c r="F30" s="255"/>
      <c r="G30" s="255"/>
      <c r="H30" s="249"/>
      <c r="I30" s="151" t="s">
        <v>230</v>
      </c>
    </row>
    <row r="31" spans="1:9" ht="27">
      <c r="A31" s="254"/>
      <c r="B31" s="254"/>
      <c r="C31" s="160" t="s">
        <v>232</v>
      </c>
      <c r="D31" s="160" t="s">
        <v>233</v>
      </c>
      <c r="E31" s="160" t="s">
        <v>231</v>
      </c>
      <c r="F31" s="161" t="s">
        <v>236</v>
      </c>
      <c r="G31" s="161" t="s">
        <v>235</v>
      </c>
      <c r="H31" s="161" t="s">
        <v>234</v>
      </c>
      <c r="I31" s="165">
        <f>销量!E8</f>
        <v>1450</v>
      </c>
    </row>
    <row r="32" spans="1:9">
      <c r="A32" s="250" t="s">
        <v>224</v>
      </c>
      <c r="B32" s="250"/>
      <c r="C32" s="3"/>
      <c r="D32" s="153"/>
      <c r="E32" s="154">
        <f>$I$31*F32</f>
        <v>81.518980240060259</v>
      </c>
      <c r="F32" s="185">
        <v>5.6219986372455351E-2</v>
      </c>
      <c r="G32" s="154"/>
      <c r="H32" s="155">
        <v>4.48E-2</v>
      </c>
      <c r="I32" s="152">
        <v>4.3099999999999999E-2</v>
      </c>
    </row>
    <row r="33" spans="1:9">
      <c r="A33" s="250" t="s">
        <v>225</v>
      </c>
      <c r="B33" s="181" t="s">
        <v>226</v>
      </c>
      <c r="C33" s="3"/>
      <c r="D33" s="153"/>
      <c r="E33" s="154">
        <f t="shared" ref="E33:E39" si="3">$I$31*F33</f>
        <v>114.55</v>
      </c>
      <c r="F33" s="155">
        <v>7.9000000000000001E-2</v>
      </c>
      <c r="G33" s="154"/>
      <c r="H33" s="155">
        <v>4.0399999999999998E-2</v>
      </c>
    </row>
    <row r="34" spans="1:9">
      <c r="A34" s="250"/>
      <c r="B34" s="181" t="s">
        <v>227</v>
      </c>
      <c r="C34" s="3"/>
      <c r="D34" s="153"/>
      <c r="E34" s="154">
        <f t="shared" si="3"/>
        <v>21.860184921561078</v>
      </c>
      <c r="F34" s="185">
        <v>1.5075989601076605E-2</v>
      </c>
      <c r="G34" s="154"/>
      <c r="H34" s="155">
        <v>1.66E-2</v>
      </c>
      <c r="I34" s="152">
        <v>2.1700000000000001E-2</v>
      </c>
    </row>
    <row r="35" spans="1:9">
      <c r="A35" s="248" t="s">
        <v>228</v>
      </c>
      <c r="B35" s="249"/>
      <c r="C35" s="157"/>
      <c r="D35" s="158"/>
      <c r="E35" s="154">
        <f t="shared" si="3"/>
        <v>217.92916516162137</v>
      </c>
      <c r="F35" s="159">
        <f t="shared" ref="F35" si="4">SUM(F32:F34)</f>
        <v>0.15029597597353198</v>
      </c>
      <c r="G35" s="159"/>
      <c r="H35" s="159">
        <f>SUM(H32:H34)</f>
        <v>0.1018</v>
      </c>
      <c r="I35" s="152">
        <f>SUM(I32:I34)</f>
        <v>6.4799999999999996E-2</v>
      </c>
    </row>
    <row r="36" spans="1:9">
      <c r="A36" s="250" t="s">
        <v>49</v>
      </c>
      <c r="B36" s="250"/>
      <c r="C36" s="3"/>
      <c r="D36" s="153"/>
      <c r="E36" s="154">
        <f t="shared" si="3"/>
        <v>43.5</v>
      </c>
      <c r="F36" s="186">
        <v>0.03</v>
      </c>
      <c r="G36" s="154"/>
      <c r="H36" s="155">
        <f>1.97%+0.75%</f>
        <v>2.7199999999999998E-2</v>
      </c>
    </row>
    <row r="37" spans="1:9">
      <c r="A37" s="251" t="s">
        <v>229</v>
      </c>
      <c r="B37" s="181" t="s">
        <v>226</v>
      </c>
      <c r="C37" s="3"/>
      <c r="D37" s="153"/>
      <c r="E37" s="154">
        <f t="shared" si="3"/>
        <v>10.15</v>
      </c>
      <c r="F37" s="155">
        <v>7.0000000000000001E-3</v>
      </c>
      <c r="G37" s="154"/>
      <c r="H37" s="155">
        <v>5.3E-3</v>
      </c>
    </row>
    <row r="38" spans="1:9">
      <c r="A38" s="252"/>
      <c r="B38" s="181" t="s">
        <v>227</v>
      </c>
      <c r="C38" s="3"/>
      <c r="D38" s="153"/>
      <c r="E38" s="154">
        <f>$I$31*I38</f>
        <v>57.999999999999993</v>
      </c>
      <c r="F38" s="152">
        <f>2.8%+1.2%</f>
        <v>3.9999999999999994E-2</v>
      </c>
      <c r="G38" s="154"/>
      <c r="H38" s="155">
        <v>3.4099999999999998E-2</v>
      </c>
      <c r="I38" s="152">
        <f>2.8%+1.2%</f>
        <v>3.9999999999999994E-2</v>
      </c>
    </row>
    <row r="39" spans="1:9">
      <c r="A39" s="250" t="s">
        <v>52</v>
      </c>
      <c r="B39" s="250"/>
      <c r="C39" s="3"/>
      <c r="D39" s="153"/>
      <c r="E39" s="154">
        <f t="shared" si="3"/>
        <v>58</v>
      </c>
      <c r="F39" s="155">
        <v>0.04</v>
      </c>
      <c r="G39" s="154"/>
      <c r="H39" s="155">
        <v>1.0999999999999999E-2</v>
      </c>
      <c r="I39" s="152">
        <v>0.03</v>
      </c>
    </row>
    <row r="42" spans="1:9">
      <c r="A42" s="149"/>
      <c r="B42" s="149"/>
      <c r="C42" s="149"/>
      <c r="D42" s="149"/>
      <c r="E42" s="149"/>
      <c r="F42" s="149"/>
      <c r="G42" s="253" t="s">
        <v>221</v>
      </c>
      <c r="H42" s="253"/>
      <c r="I42" s="150"/>
    </row>
    <row r="43" spans="1:9">
      <c r="A43" s="254" t="s">
        <v>222</v>
      </c>
      <c r="B43" s="254"/>
      <c r="C43" s="248" t="s">
        <v>223</v>
      </c>
      <c r="D43" s="255"/>
      <c r="E43" s="255"/>
      <c r="F43" s="255"/>
      <c r="G43" s="255"/>
      <c r="H43" s="249"/>
      <c r="I43" s="151" t="s">
        <v>230</v>
      </c>
    </row>
    <row r="44" spans="1:9" ht="27">
      <c r="A44" s="254"/>
      <c r="B44" s="254"/>
      <c r="C44" s="160" t="s">
        <v>232</v>
      </c>
      <c r="D44" s="160" t="s">
        <v>233</v>
      </c>
      <c r="E44" s="160" t="s">
        <v>231</v>
      </c>
      <c r="F44" s="161" t="s">
        <v>236</v>
      </c>
      <c r="G44" s="161" t="s">
        <v>235</v>
      </c>
      <c r="H44" s="161" t="s">
        <v>234</v>
      </c>
      <c r="I44" s="165">
        <f>销量!F8</f>
        <v>420.54</v>
      </c>
    </row>
    <row r="45" spans="1:9">
      <c r="A45" s="250" t="s">
        <v>224</v>
      </c>
      <c r="B45" s="250"/>
      <c r="C45" s="3"/>
      <c r="D45" s="153"/>
      <c r="E45" s="154">
        <f>$I$44*F45</f>
        <v>23.642753069072374</v>
      </c>
      <c r="F45" s="185">
        <v>5.6219986372455351E-2</v>
      </c>
      <c r="G45" s="154"/>
      <c r="H45" s="155">
        <v>4.48E-2</v>
      </c>
      <c r="I45" s="152">
        <v>4.3099999999999999E-2</v>
      </c>
    </row>
    <row r="46" spans="1:9">
      <c r="A46" s="250" t="s">
        <v>225</v>
      </c>
      <c r="B46" s="181" t="s">
        <v>226</v>
      </c>
      <c r="C46" s="3"/>
      <c r="D46" s="153"/>
      <c r="E46" s="154">
        <f t="shared" ref="E46:E52" si="5">$I$44*F46</f>
        <v>18.924299999999999</v>
      </c>
      <c r="F46" s="155">
        <v>4.4999999999999998E-2</v>
      </c>
      <c r="G46" s="154"/>
      <c r="H46" s="155">
        <v>4.0399999999999998E-2</v>
      </c>
    </row>
    <row r="47" spans="1:9">
      <c r="A47" s="250"/>
      <c r="B47" s="181" t="s">
        <v>227</v>
      </c>
      <c r="C47" s="3"/>
      <c r="D47" s="153"/>
      <c r="E47" s="154">
        <f t="shared" si="5"/>
        <v>6.3400566668367553</v>
      </c>
      <c r="F47" s="185">
        <v>1.5075989601076605E-2</v>
      </c>
      <c r="G47" s="154"/>
      <c r="H47" s="155">
        <v>1.66E-2</v>
      </c>
      <c r="I47" s="152">
        <v>2.1700000000000001E-2</v>
      </c>
    </row>
    <row r="48" spans="1:9">
      <c r="A48" s="248" t="s">
        <v>228</v>
      </c>
      <c r="B48" s="249"/>
      <c r="C48" s="157"/>
      <c r="D48" s="158"/>
      <c r="E48" s="154">
        <f t="shared" si="5"/>
        <v>48.907109735909131</v>
      </c>
      <c r="F48" s="159">
        <f t="shared" ref="F48" si="6">SUM(F45:F47)</f>
        <v>0.11629597597353196</v>
      </c>
      <c r="G48" s="159"/>
      <c r="H48" s="159">
        <f>SUM(H45:H47)</f>
        <v>0.1018</v>
      </c>
      <c r="I48" s="152">
        <f>SUM(I45:I47)</f>
        <v>6.4799999999999996E-2</v>
      </c>
    </row>
    <row r="49" spans="1:9">
      <c r="A49" s="250" t="s">
        <v>49</v>
      </c>
      <c r="B49" s="250"/>
      <c r="C49" s="3"/>
      <c r="D49" s="153"/>
      <c r="E49" s="154">
        <f t="shared" si="5"/>
        <v>12.616200000000001</v>
      </c>
      <c r="F49" s="186">
        <v>0.03</v>
      </c>
      <c r="G49" s="154"/>
      <c r="H49" s="155">
        <f>1.97%+0.75%</f>
        <v>2.7199999999999998E-2</v>
      </c>
    </row>
    <row r="50" spans="1:9">
      <c r="A50" s="251" t="s">
        <v>229</v>
      </c>
      <c r="B50" s="181" t="s">
        <v>226</v>
      </c>
      <c r="C50" s="3"/>
      <c r="D50" s="153"/>
      <c r="E50" s="154">
        <f t="shared" si="5"/>
        <v>2.9437800000000003</v>
      </c>
      <c r="F50" s="155">
        <v>7.0000000000000001E-3</v>
      </c>
      <c r="G50" s="154"/>
      <c r="H50" s="155">
        <v>5.3E-3</v>
      </c>
    </row>
    <row r="51" spans="1:9">
      <c r="A51" s="252"/>
      <c r="B51" s="181" t="s">
        <v>227</v>
      </c>
      <c r="C51" s="3"/>
      <c r="D51" s="153"/>
      <c r="E51" s="154">
        <f>$I$44*I51</f>
        <v>39.951300000000003</v>
      </c>
      <c r="F51" s="152">
        <v>9.5000000000000001E-2</v>
      </c>
      <c r="G51" s="154"/>
      <c r="H51" s="155">
        <v>3.4099999999999998E-2</v>
      </c>
      <c r="I51" s="152">
        <v>9.5000000000000001E-2</v>
      </c>
    </row>
    <row r="52" spans="1:9">
      <c r="A52" s="250" t="s">
        <v>52</v>
      </c>
      <c r="B52" s="250"/>
      <c r="C52" s="3"/>
      <c r="D52" s="153"/>
      <c r="E52" s="154">
        <f t="shared" si="5"/>
        <v>16.8216</v>
      </c>
      <c r="F52" s="155">
        <v>0.04</v>
      </c>
      <c r="G52" s="154"/>
      <c r="H52" s="155">
        <v>1.0999999999999999E-2</v>
      </c>
      <c r="I52" s="152">
        <v>0.03</v>
      </c>
    </row>
    <row r="55" spans="1:9">
      <c r="A55" s="149"/>
      <c r="B55" s="149"/>
      <c r="C55" s="149"/>
      <c r="D55" s="149"/>
      <c r="E55" s="149"/>
      <c r="F55" s="149"/>
      <c r="G55" s="253" t="s">
        <v>221</v>
      </c>
      <c r="H55" s="253"/>
      <c r="I55" s="150"/>
    </row>
    <row r="56" spans="1:9">
      <c r="A56" s="254" t="s">
        <v>222</v>
      </c>
      <c r="B56" s="254"/>
      <c r="C56" s="248" t="s">
        <v>223</v>
      </c>
      <c r="D56" s="255"/>
      <c r="E56" s="255"/>
      <c r="F56" s="255"/>
      <c r="G56" s="255"/>
      <c r="H56" s="249"/>
      <c r="I56" s="151" t="s">
        <v>230</v>
      </c>
    </row>
    <row r="57" spans="1:9" ht="27">
      <c r="A57" s="254"/>
      <c r="B57" s="254"/>
      <c r="C57" s="160" t="s">
        <v>232</v>
      </c>
      <c r="D57" s="160" t="s">
        <v>233</v>
      </c>
      <c r="E57" s="160" t="s">
        <v>231</v>
      </c>
      <c r="F57" s="161" t="s">
        <v>236</v>
      </c>
      <c r="G57" s="161" t="s">
        <v>235</v>
      </c>
      <c r="H57" s="161" t="s">
        <v>234</v>
      </c>
      <c r="I57" s="165">
        <f>销量!G8</f>
        <v>1050</v>
      </c>
    </row>
    <row r="58" spans="1:9">
      <c r="A58" s="250" t="s">
        <v>224</v>
      </c>
      <c r="B58" s="250"/>
      <c r="C58" s="3"/>
      <c r="D58" s="153"/>
      <c r="E58" s="154">
        <f>$I$57*F58</f>
        <v>59.030985691078115</v>
      </c>
      <c r="F58" s="185">
        <v>5.6219986372455351E-2</v>
      </c>
      <c r="G58" s="154"/>
      <c r="H58" s="155">
        <v>4.48E-2</v>
      </c>
      <c r="I58" s="152">
        <v>4.3099999999999999E-2</v>
      </c>
    </row>
    <row r="59" spans="1:9">
      <c r="A59" s="250" t="s">
        <v>225</v>
      </c>
      <c r="B59" s="181" t="s">
        <v>226</v>
      </c>
      <c r="C59" s="3"/>
      <c r="D59" s="153"/>
      <c r="E59" s="154">
        <f t="shared" ref="E59:E65" si="7">$I$57*F59</f>
        <v>47.25</v>
      </c>
      <c r="F59" s="155">
        <v>4.4999999999999998E-2</v>
      </c>
      <c r="G59" s="154"/>
      <c r="H59" s="155">
        <v>4.0399999999999998E-2</v>
      </c>
    </row>
    <row r="60" spans="1:9">
      <c r="A60" s="250"/>
      <c r="B60" s="181" t="s">
        <v>227</v>
      </c>
      <c r="C60" s="3"/>
      <c r="D60" s="153"/>
      <c r="E60" s="154">
        <f t="shared" si="7"/>
        <v>15.829789081130436</v>
      </c>
      <c r="F60" s="185">
        <v>1.5075989601076605E-2</v>
      </c>
      <c r="G60" s="154"/>
      <c r="H60" s="155">
        <v>1.66E-2</v>
      </c>
      <c r="I60" s="152">
        <v>2.1700000000000001E-2</v>
      </c>
    </row>
    <row r="61" spans="1:9">
      <c r="A61" s="248" t="s">
        <v>228</v>
      </c>
      <c r="B61" s="249"/>
      <c r="C61" s="157"/>
      <c r="D61" s="158"/>
      <c r="E61" s="154">
        <f t="shared" si="7"/>
        <v>122.11077477220856</v>
      </c>
      <c r="F61" s="159">
        <f t="shared" ref="F61" si="8">SUM(F58:F60)</f>
        <v>0.11629597597353196</v>
      </c>
      <c r="G61" s="159"/>
      <c r="H61" s="159">
        <f>SUM(H58:H60)</f>
        <v>0.1018</v>
      </c>
      <c r="I61" s="152">
        <f>SUM(I58:I60)</f>
        <v>6.4799999999999996E-2</v>
      </c>
    </row>
    <row r="62" spans="1:9">
      <c r="A62" s="250" t="s">
        <v>49</v>
      </c>
      <c r="B62" s="250"/>
      <c r="C62" s="3"/>
      <c r="D62" s="153"/>
      <c r="E62" s="154">
        <f t="shared" si="7"/>
        <v>31.5</v>
      </c>
      <c r="F62" s="186">
        <v>0.03</v>
      </c>
      <c r="G62" s="154"/>
      <c r="H62" s="155">
        <f>1.97%+0.75%</f>
        <v>2.7199999999999998E-2</v>
      </c>
    </row>
    <row r="63" spans="1:9">
      <c r="A63" s="251" t="s">
        <v>229</v>
      </c>
      <c r="B63" s="181" t="s">
        <v>226</v>
      </c>
      <c r="C63" s="3"/>
      <c r="D63" s="153"/>
      <c r="E63" s="154">
        <f t="shared" si="7"/>
        <v>7.3500000000000005</v>
      </c>
      <c r="F63" s="155">
        <v>7.0000000000000001E-3</v>
      </c>
      <c r="G63" s="154"/>
      <c r="H63" s="155">
        <v>5.3E-3</v>
      </c>
    </row>
    <row r="64" spans="1:9">
      <c r="A64" s="252"/>
      <c r="B64" s="181" t="s">
        <v>227</v>
      </c>
      <c r="C64" s="3"/>
      <c r="D64" s="153"/>
      <c r="E64" s="154">
        <f>$I$57*I64</f>
        <v>41.999999999999993</v>
      </c>
      <c r="F64" s="152">
        <f>2.8%+1.2%</f>
        <v>3.9999999999999994E-2</v>
      </c>
      <c r="G64" s="154"/>
      <c r="H64" s="155">
        <v>3.4099999999999998E-2</v>
      </c>
      <c r="I64" s="152">
        <f>2.8%+1.2%</f>
        <v>3.9999999999999994E-2</v>
      </c>
    </row>
    <row r="65" spans="1:9">
      <c r="A65" s="250" t="s">
        <v>52</v>
      </c>
      <c r="B65" s="250"/>
      <c r="C65" s="3"/>
      <c r="D65" s="153"/>
      <c r="E65" s="154">
        <f t="shared" si="7"/>
        <v>42</v>
      </c>
      <c r="F65" s="155">
        <v>0.04</v>
      </c>
      <c r="G65" s="154"/>
      <c r="H65" s="155">
        <v>1.0999999999999999E-2</v>
      </c>
      <c r="I65" s="152">
        <v>0.03</v>
      </c>
    </row>
    <row r="68" spans="1:9">
      <c r="A68" s="149"/>
      <c r="B68" s="149"/>
      <c r="C68" s="149"/>
      <c r="D68" s="149"/>
      <c r="E68" s="149"/>
      <c r="F68" s="149"/>
      <c r="G68" s="253" t="s">
        <v>221</v>
      </c>
      <c r="H68" s="253"/>
      <c r="I68" s="150"/>
    </row>
    <row r="69" spans="1:9">
      <c r="A69" s="254" t="s">
        <v>222</v>
      </c>
      <c r="B69" s="254"/>
      <c r="C69" s="248" t="s">
        <v>223</v>
      </c>
      <c r="D69" s="255"/>
      <c r="E69" s="255"/>
      <c r="F69" s="255"/>
      <c r="G69" s="255"/>
      <c r="H69" s="249"/>
      <c r="I69" s="151" t="s">
        <v>230</v>
      </c>
    </row>
    <row r="70" spans="1:9" ht="27">
      <c r="A70" s="254"/>
      <c r="B70" s="254"/>
      <c r="C70" s="160" t="s">
        <v>232</v>
      </c>
      <c r="D70" s="160" t="s">
        <v>233</v>
      </c>
      <c r="E70" s="160" t="s">
        <v>231</v>
      </c>
      <c r="F70" s="161" t="s">
        <v>236</v>
      </c>
      <c r="G70" s="161" t="s">
        <v>235</v>
      </c>
      <c r="H70" s="161" t="s">
        <v>234</v>
      </c>
      <c r="I70" s="165">
        <f>销量!H8</f>
        <v>0</v>
      </c>
    </row>
    <row r="71" spans="1:9">
      <c r="A71" s="250" t="s">
        <v>224</v>
      </c>
      <c r="B71" s="250"/>
      <c r="C71" s="3"/>
      <c r="D71" s="153"/>
      <c r="E71" s="154">
        <f>$I$70*F71</f>
        <v>0</v>
      </c>
      <c r="F71" s="185">
        <v>5.6219986372455351E-2</v>
      </c>
      <c r="G71" s="154"/>
      <c r="H71" s="155">
        <v>4.48E-2</v>
      </c>
      <c r="I71" s="152">
        <v>4.3099999999999999E-2</v>
      </c>
    </row>
    <row r="72" spans="1:9">
      <c r="A72" s="250" t="s">
        <v>225</v>
      </c>
      <c r="B72" s="181" t="s">
        <v>226</v>
      </c>
      <c r="C72" s="3"/>
      <c r="D72" s="153"/>
      <c r="E72" s="154">
        <f t="shared" ref="E72:E78" si="9">$I$70*F72</f>
        <v>0</v>
      </c>
      <c r="F72" s="155">
        <v>4.4999999999999998E-2</v>
      </c>
      <c r="G72" s="154"/>
      <c r="H72" s="155">
        <v>4.0399999999999998E-2</v>
      </c>
    </row>
    <row r="73" spans="1:9">
      <c r="A73" s="250"/>
      <c r="B73" s="181" t="s">
        <v>227</v>
      </c>
      <c r="C73" s="3"/>
      <c r="D73" s="153"/>
      <c r="E73" s="154">
        <f t="shared" si="9"/>
        <v>0</v>
      </c>
      <c r="F73" s="185">
        <v>1.5075989601076605E-2</v>
      </c>
      <c r="G73" s="154"/>
      <c r="H73" s="155">
        <v>1.66E-2</v>
      </c>
      <c r="I73" s="152">
        <v>2.1700000000000001E-2</v>
      </c>
    </row>
    <row r="74" spans="1:9">
      <c r="A74" s="248" t="s">
        <v>228</v>
      </c>
      <c r="B74" s="249"/>
      <c r="C74" s="157"/>
      <c r="D74" s="158"/>
      <c r="E74" s="154">
        <f t="shared" si="9"/>
        <v>0</v>
      </c>
      <c r="F74" s="159">
        <f t="shared" ref="F74" si="10">SUM(F71:F73)</f>
        <v>0.11629597597353196</v>
      </c>
      <c r="G74" s="159"/>
      <c r="H74" s="159">
        <f>SUM(H71:H73)</f>
        <v>0.1018</v>
      </c>
      <c r="I74" s="152">
        <f>SUM(I71:I73)</f>
        <v>6.4799999999999996E-2</v>
      </c>
    </row>
    <row r="75" spans="1:9">
      <c r="A75" s="250" t="s">
        <v>49</v>
      </c>
      <c r="B75" s="250"/>
      <c r="C75" s="3"/>
      <c r="D75" s="153"/>
      <c r="E75" s="154">
        <f t="shared" si="9"/>
        <v>0</v>
      </c>
      <c r="F75" s="186">
        <v>0.03</v>
      </c>
      <c r="G75" s="154"/>
      <c r="H75" s="155">
        <f>1.97%+0.75%</f>
        <v>2.7199999999999998E-2</v>
      </c>
    </row>
    <row r="76" spans="1:9">
      <c r="A76" s="251" t="s">
        <v>229</v>
      </c>
      <c r="B76" s="181" t="s">
        <v>226</v>
      </c>
      <c r="C76" s="3"/>
      <c r="D76" s="153"/>
      <c r="E76" s="154">
        <f t="shared" si="9"/>
        <v>0</v>
      </c>
      <c r="F76" s="155">
        <v>7.0000000000000001E-3</v>
      </c>
      <c r="G76" s="154"/>
      <c r="H76" s="155">
        <v>5.3E-3</v>
      </c>
    </row>
    <row r="77" spans="1:9">
      <c r="A77" s="252"/>
      <c r="B77" s="181" t="s">
        <v>227</v>
      </c>
      <c r="C77" s="3"/>
      <c r="D77" s="153"/>
      <c r="E77" s="154">
        <f>$I$70*I77</f>
        <v>0</v>
      </c>
      <c r="F77" s="152">
        <f>2.8%+1.2%</f>
        <v>3.9999999999999994E-2</v>
      </c>
      <c r="G77" s="154"/>
      <c r="H77" s="155">
        <v>3.4099999999999998E-2</v>
      </c>
      <c r="I77" s="152">
        <f>2.8%+1.2%</f>
        <v>3.9999999999999994E-2</v>
      </c>
    </row>
    <row r="78" spans="1:9">
      <c r="A78" s="250" t="s">
        <v>52</v>
      </c>
      <c r="B78" s="250"/>
      <c r="C78" s="3"/>
      <c r="D78" s="153"/>
      <c r="E78" s="154">
        <f t="shared" si="9"/>
        <v>0</v>
      </c>
      <c r="F78" s="155">
        <v>0.04</v>
      </c>
      <c r="G78" s="154"/>
      <c r="H78" s="155">
        <v>1.0999999999999999E-2</v>
      </c>
      <c r="I78" s="152">
        <v>0.03</v>
      </c>
    </row>
  </sheetData>
  <mergeCells count="54">
    <mergeCell ref="G1:H1"/>
    <mergeCell ref="A4:B4"/>
    <mergeCell ref="A7:B7"/>
    <mergeCell ref="A8:B8"/>
    <mergeCell ref="A11:B11"/>
    <mergeCell ref="A5:A6"/>
    <mergeCell ref="A9:A10"/>
    <mergeCell ref="A2:B3"/>
    <mergeCell ref="C2:H2"/>
    <mergeCell ref="G15:H15"/>
    <mergeCell ref="A16:B17"/>
    <mergeCell ref="C16:H16"/>
    <mergeCell ref="A18:B18"/>
    <mergeCell ref="A19:A20"/>
    <mergeCell ref="A21:B21"/>
    <mergeCell ref="A22:B22"/>
    <mergeCell ref="A23:A24"/>
    <mergeCell ref="A25:B25"/>
    <mergeCell ref="G29:H29"/>
    <mergeCell ref="A30:B31"/>
    <mergeCell ref="C30:H30"/>
    <mergeCell ref="A32:B32"/>
    <mergeCell ref="A33:A34"/>
    <mergeCell ref="A35:B35"/>
    <mergeCell ref="A36:B36"/>
    <mergeCell ref="A37:A38"/>
    <mergeCell ref="A39:B39"/>
    <mergeCell ref="G42:H42"/>
    <mergeCell ref="A43:B44"/>
    <mergeCell ref="C43:H43"/>
    <mergeCell ref="A45:B45"/>
    <mergeCell ref="A46:A47"/>
    <mergeCell ref="A48:B48"/>
    <mergeCell ref="A49:B49"/>
    <mergeCell ref="A50:A51"/>
    <mergeCell ref="A52:B52"/>
    <mergeCell ref="G55:H55"/>
    <mergeCell ref="A56:B57"/>
    <mergeCell ref="C56:H56"/>
    <mergeCell ref="A58:B58"/>
    <mergeCell ref="A59:A60"/>
    <mergeCell ref="A61:B61"/>
    <mergeCell ref="A62:B62"/>
    <mergeCell ref="A63:A64"/>
    <mergeCell ref="A65:B65"/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workbookViewId="0">
      <pane xSplit="3" ySplit="6" topLeftCell="D13" activePane="bottomRight" state="frozen"/>
      <selection pane="topRight"/>
      <selection pane="bottomLeft"/>
      <selection pane="bottomRight" activeCell="F15" sqref="F15"/>
    </sheetView>
  </sheetViews>
  <sheetFormatPr defaultColWidth="9" defaultRowHeight="16.5"/>
  <cols>
    <col min="1" max="1" width="5.125" style="112" customWidth="1"/>
    <col min="2" max="2" width="32.625" style="112" bestFit="1" customWidth="1"/>
    <col min="3" max="3" width="14.5" style="113" customWidth="1"/>
    <col min="4" max="7" width="13" style="113" customWidth="1"/>
    <col min="8" max="8" width="16.5" style="113" customWidth="1"/>
    <col min="9" max="9" width="15.5" style="112" customWidth="1"/>
    <col min="10" max="35" width="9" style="112"/>
    <col min="36" max="36" width="4.375" style="112" customWidth="1"/>
    <col min="37" max="37" width="13.875" style="112" customWidth="1"/>
    <col min="38" max="16384" width="9" style="112"/>
  </cols>
  <sheetData>
    <row r="1" spans="1:38" ht="27" customHeight="1">
      <c r="A1" s="196" t="s">
        <v>252</v>
      </c>
      <c r="B1" s="196"/>
      <c r="C1" s="196"/>
      <c r="D1" s="196"/>
      <c r="E1" s="196"/>
      <c r="F1" s="196"/>
      <c r="G1" s="196"/>
      <c r="H1" s="196"/>
    </row>
    <row r="2" spans="1:38" ht="15.75" customHeight="1">
      <c r="A2" s="197" t="s">
        <v>17</v>
      </c>
      <c r="B2" s="114" t="s">
        <v>1</v>
      </c>
      <c r="C2" s="114" t="s">
        <v>297</v>
      </c>
      <c r="D2" s="114" t="s">
        <v>298</v>
      </c>
      <c r="E2" s="114" t="s">
        <v>299</v>
      </c>
      <c r="F2" s="114" t="s">
        <v>300</v>
      </c>
      <c r="G2" s="114" t="s">
        <v>301</v>
      </c>
      <c r="H2" s="53" t="s">
        <v>19</v>
      </c>
      <c r="AL2" s="112" t="s">
        <v>20</v>
      </c>
    </row>
    <row r="3" spans="1:38" s="50" customFormat="1" ht="15.75" customHeight="1">
      <c r="A3" s="198"/>
      <c r="B3" s="55" t="s">
        <v>3</v>
      </c>
      <c r="C3" s="115">
        <f>'2023年'!I6</f>
        <v>10000</v>
      </c>
      <c r="D3" s="115">
        <f>'2024年'!I6</f>
        <v>10000</v>
      </c>
      <c r="E3" s="115">
        <f>'2025年'!I6</f>
        <v>10000</v>
      </c>
      <c r="F3" s="115">
        <f>'2026年'!I6</f>
        <v>10000</v>
      </c>
      <c r="G3" s="115">
        <f>'2027年'!I6</f>
        <v>10000</v>
      </c>
      <c r="H3" s="115">
        <f>SUM(C3:G3)</f>
        <v>50000</v>
      </c>
      <c r="I3" s="71"/>
      <c r="AJ3" s="54" t="s">
        <v>17</v>
      </c>
      <c r="AK3" s="55" t="s">
        <v>3</v>
      </c>
      <c r="AL3" s="50" t="s">
        <v>21</v>
      </c>
    </row>
    <row r="4" spans="1:38" s="50" customFormat="1" ht="15.75" customHeight="1">
      <c r="A4" s="64">
        <v>1</v>
      </c>
      <c r="B4" s="55" t="s">
        <v>22</v>
      </c>
      <c r="C4" s="115">
        <f>'2023年'!I7</f>
        <v>8369880</v>
      </c>
      <c r="D4" s="115">
        <f>'2024年'!I7</f>
        <v>8369880</v>
      </c>
      <c r="E4" s="115">
        <f>'2025年'!I7</f>
        <v>8369880</v>
      </c>
      <c r="F4" s="115">
        <f>'2026年'!I7</f>
        <v>8369880</v>
      </c>
      <c r="G4" s="115">
        <f>'2027年'!I7</f>
        <v>8369880</v>
      </c>
      <c r="H4" s="115">
        <f t="shared" ref="H4:H10" si="0">SUM(C4:G4)</f>
        <v>41849400</v>
      </c>
      <c r="I4" s="71"/>
      <c r="AJ4" s="54" t="s">
        <v>23</v>
      </c>
      <c r="AK4" s="55" t="s">
        <v>22</v>
      </c>
      <c r="AL4" s="50" t="s">
        <v>21</v>
      </c>
    </row>
    <row r="5" spans="1:38" s="50" customFormat="1" ht="15.75" customHeight="1">
      <c r="A5" s="64">
        <v>2</v>
      </c>
      <c r="B5" s="52" t="s">
        <v>24</v>
      </c>
      <c r="C5" s="115">
        <f>'2023年'!I8</f>
        <v>0</v>
      </c>
      <c r="D5" s="115">
        <f>'2024年'!I8</f>
        <v>418494.00000000035</v>
      </c>
      <c r="E5" s="115">
        <f>'2025年'!I8</f>
        <v>816063.30000000028</v>
      </c>
      <c r="F5" s="115">
        <f>'2026年'!I8</f>
        <v>1193754.135</v>
      </c>
      <c r="G5" s="115">
        <f>'2027年'!I8</f>
        <v>1552560.428250001</v>
      </c>
      <c r="H5" s="115">
        <f t="shared" si="0"/>
        <v>3980871.8632500013</v>
      </c>
      <c r="I5" s="71"/>
      <c r="AJ5" s="54" t="s">
        <v>25</v>
      </c>
      <c r="AK5" s="52" t="s">
        <v>26</v>
      </c>
      <c r="AL5" s="50" t="s">
        <v>21</v>
      </c>
    </row>
    <row r="6" spans="1:38" s="50" customFormat="1" ht="15.75" customHeight="1">
      <c r="A6" s="64">
        <v>3</v>
      </c>
      <c r="B6" s="55" t="s">
        <v>27</v>
      </c>
      <c r="C6" s="116">
        <f>+C4-C5</f>
        <v>8369880</v>
      </c>
      <c r="D6" s="116">
        <f>'2024年'!I9</f>
        <v>7951386</v>
      </c>
      <c r="E6" s="116">
        <f>'2025年'!I9</f>
        <v>7553816.7000000002</v>
      </c>
      <c r="F6" s="116">
        <f>'2026年'!I9</f>
        <v>7176125.8650000002</v>
      </c>
      <c r="G6" s="116">
        <f>'2027年'!I9</f>
        <v>6817319.5717499992</v>
      </c>
      <c r="H6" s="115">
        <f t="shared" si="0"/>
        <v>37868528.136749998</v>
      </c>
      <c r="I6" s="71"/>
      <c r="AJ6" s="54" t="s">
        <v>28</v>
      </c>
      <c r="AK6" s="55" t="s">
        <v>27</v>
      </c>
      <c r="AL6" s="50" t="s">
        <v>29</v>
      </c>
    </row>
    <row r="7" spans="1:38" s="50" customFormat="1" ht="15.75" customHeight="1">
      <c r="A7" s="64">
        <v>4</v>
      </c>
      <c r="B7" s="54" t="s">
        <v>30</v>
      </c>
      <c r="C7" s="115">
        <f>'2023年'!I10</f>
        <v>6339840</v>
      </c>
      <c r="D7" s="115">
        <f>'2024年'!I10</f>
        <v>6022848</v>
      </c>
      <c r="E7" s="115">
        <f>'2025年'!I10</f>
        <v>5721705.5999999996</v>
      </c>
      <c r="F7" s="115">
        <f>'2026年'!I10</f>
        <v>5435620.3199999994</v>
      </c>
      <c r="G7" s="115">
        <f>'2027年'!I10</f>
        <v>5163839.3039999986</v>
      </c>
      <c r="H7" s="115">
        <f t="shared" si="0"/>
        <v>28683853.223999999</v>
      </c>
      <c r="I7" s="71"/>
      <c r="AJ7" s="54" t="s">
        <v>31</v>
      </c>
      <c r="AK7" s="54" t="s">
        <v>30</v>
      </c>
      <c r="AL7" s="50" t="s">
        <v>32</v>
      </c>
    </row>
    <row r="8" spans="1:38" s="50" customFormat="1" ht="15.75" customHeight="1">
      <c r="A8" s="64">
        <v>5</v>
      </c>
      <c r="B8" s="54" t="s">
        <v>33</v>
      </c>
      <c r="C8" s="115">
        <f>'2023年'!I11</f>
        <v>470554.53953908663</v>
      </c>
      <c r="D8" s="115">
        <f>'2024年'!I11</f>
        <v>470554.53953908663</v>
      </c>
      <c r="E8" s="115">
        <f>'2025年'!I11</f>
        <v>470554.53953908663</v>
      </c>
      <c r="F8" s="115">
        <f>'2026年'!I11</f>
        <v>470554.53953908663</v>
      </c>
      <c r="G8" s="115">
        <f>'2027年'!I11</f>
        <v>470554.53953908663</v>
      </c>
      <c r="H8" s="115">
        <f t="shared" si="0"/>
        <v>2352772.6976954332</v>
      </c>
      <c r="I8" s="71"/>
      <c r="AJ8" s="54" t="s">
        <v>34</v>
      </c>
      <c r="AK8" s="54" t="s">
        <v>33</v>
      </c>
    </row>
    <row r="9" spans="1:38" s="50" customFormat="1" ht="15.75" customHeight="1">
      <c r="A9" s="64">
        <v>6</v>
      </c>
      <c r="B9" s="54" t="s">
        <v>35</v>
      </c>
      <c r="C9" s="115">
        <f>'2023年'!I12</f>
        <v>126184.22384225906</v>
      </c>
      <c r="D9" s="115">
        <f>'2024年'!I12</f>
        <v>126184.22384225906</v>
      </c>
      <c r="E9" s="115">
        <f>'2025年'!I12</f>
        <v>126184.22384225906</v>
      </c>
      <c r="F9" s="115">
        <f>'2026年'!I12</f>
        <v>126184.22384225906</v>
      </c>
      <c r="G9" s="115">
        <f>'2027年'!I12</f>
        <v>126184.22384225906</v>
      </c>
      <c r="H9" s="115">
        <f t="shared" si="0"/>
        <v>630921.11921129527</v>
      </c>
      <c r="I9" s="71"/>
      <c r="AJ9" s="54" t="s">
        <v>36</v>
      </c>
      <c r="AK9" s="54" t="s">
        <v>35</v>
      </c>
    </row>
    <row r="10" spans="1:38" s="50" customFormat="1" ht="15.75" customHeight="1">
      <c r="A10" s="64">
        <v>7</v>
      </c>
      <c r="B10" s="117" t="s">
        <v>37</v>
      </c>
      <c r="C10" s="115">
        <f>'2023年'!I13</f>
        <v>423338.6</v>
      </c>
      <c r="D10" s="115">
        <f>'2024年'!I13</f>
        <v>423338.6</v>
      </c>
      <c r="E10" s="115">
        <f>'2025年'!I13</f>
        <v>423338.6</v>
      </c>
      <c r="F10" s="115">
        <f>'2026年'!I13</f>
        <v>423338.6</v>
      </c>
      <c r="G10" s="115">
        <f>'2027年'!I13</f>
        <v>423338.6</v>
      </c>
      <c r="H10" s="115">
        <f t="shared" si="0"/>
        <v>2116693</v>
      </c>
      <c r="I10" s="71"/>
      <c r="AJ10" s="54" t="s">
        <v>38</v>
      </c>
      <c r="AK10" s="54" t="s">
        <v>37</v>
      </c>
      <c r="AL10" s="50" t="s">
        <v>21</v>
      </c>
    </row>
    <row r="11" spans="1:38" s="50" customFormat="1" ht="15.75" customHeight="1">
      <c r="A11" s="64">
        <v>8</v>
      </c>
      <c r="B11" s="118" t="s">
        <v>39</v>
      </c>
      <c r="C11" s="119">
        <f>'2023年'!I14</f>
        <v>1020077.3633813455</v>
      </c>
      <c r="D11" s="119">
        <f>'2024年'!I14</f>
        <v>1020077.3633813455</v>
      </c>
      <c r="E11" s="119">
        <f>'2025年'!I14</f>
        <v>1020077.3633813455</v>
      </c>
      <c r="F11" s="119">
        <f>'2026年'!I14</f>
        <v>1020077.3633813455</v>
      </c>
      <c r="G11" s="119">
        <f>'2027年'!I14</f>
        <v>1020077.3633813455</v>
      </c>
      <c r="H11" s="119">
        <f>SUM(C11:G11)</f>
        <v>5100386.8169067279</v>
      </c>
      <c r="I11" s="71"/>
      <c r="AJ11" s="54" t="s">
        <v>40</v>
      </c>
      <c r="AK11" s="57" t="s">
        <v>39</v>
      </c>
    </row>
    <row r="12" spans="1:38" s="50" customFormat="1" ht="15.75" customHeight="1">
      <c r="A12" s="64">
        <v>9</v>
      </c>
      <c r="B12" s="120" t="s">
        <v>41</v>
      </c>
      <c r="C12" s="115">
        <f>'2023年'!I15</f>
        <v>1009962.6366186545</v>
      </c>
      <c r="D12" s="115">
        <f>'2024年'!I15</f>
        <v>908460.63661865471</v>
      </c>
      <c r="E12" s="115">
        <f>'2025年'!I15</f>
        <v>812033.73661865504</v>
      </c>
      <c r="F12" s="115">
        <f>'2026年'!I15</f>
        <v>720428.18161865533</v>
      </c>
      <c r="G12" s="115">
        <f>'2027年'!I15</f>
        <v>633402.90436865413</v>
      </c>
      <c r="H12" s="115">
        <f>H6-H7-H11</f>
        <v>4084288.0958432704</v>
      </c>
      <c r="I12" s="71"/>
      <c r="K12" s="112"/>
      <c r="L12" s="112"/>
      <c r="M12" s="112"/>
      <c r="N12" s="112"/>
      <c r="O12" s="112"/>
      <c r="P12" s="112"/>
      <c r="AJ12" s="54" t="s">
        <v>42</v>
      </c>
      <c r="AK12" s="57" t="s">
        <v>41</v>
      </c>
    </row>
    <row r="13" spans="1:38" ht="15.75" customHeight="1">
      <c r="A13" s="64">
        <v>10</v>
      </c>
      <c r="B13" s="121" t="s">
        <v>43</v>
      </c>
      <c r="C13" s="122">
        <f>+C12/C6</f>
        <v>0.12066632217172223</v>
      </c>
      <c r="D13" s="122">
        <f>'2024年'!I16</f>
        <v>0.1142518595649431</v>
      </c>
      <c r="E13" s="122">
        <f>'2025年'!I16</f>
        <v>0.10749979366307036</v>
      </c>
      <c r="F13" s="122">
        <f>'2026年'!I16</f>
        <v>0.10039235587162536</v>
      </c>
      <c r="G13" s="122">
        <f>'2027年'!I16</f>
        <v>9.2910842406946192E-2</v>
      </c>
      <c r="H13" s="122">
        <f>+H12/H6</f>
        <v>0.10785441887506636</v>
      </c>
      <c r="I13" s="71"/>
      <c r="AJ13" s="121" t="s">
        <v>44</v>
      </c>
      <c r="AK13" s="121" t="s">
        <v>43</v>
      </c>
    </row>
    <row r="14" spans="1:38" ht="15.75" customHeight="1">
      <c r="A14" s="64">
        <v>11</v>
      </c>
      <c r="B14" s="121" t="s">
        <v>45</v>
      </c>
      <c r="C14" s="115">
        <f>'2023年'!I17</f>
        <v>475244.6</v>
      </c>
      <c r="D14" s="115">
        <f>'2024年'!I17</f>
        <v>475244.6</v>
      </c>
      <c r="E14" s="115">
        <f>'2025年'!I17</f>
        <v>475244.6</v>
      </c>
      <c r="F14" s="115">
        <f>'2026年'!I17</f>
        <v>475244.6</v>
      </c>
      <c r="G14" s="115">
        <f>'2027年'!I17</f>
        <v>475244.6</v>
      </c>
      <c r="H14" s="115">
        <f t="shared" ref="H14" si="1">SUM(C14:G14)</f>
        <v>2376223</v>
      </c>
      <c r="I14" s="71"/>
      <c r="AJ14" s="121" t="s">
        <v>46</v>
      </c>
      <c r="AK14" s="121" t="s">
        <v>45</v>
      </c>
    </row>
    <row r="15" spans="1:38" ht="15.75" customHeight="1">
      <c r="A15" s="162"/>
      <c r="B15" s="121"/>
      <c r="C15" s="115"/>
      <c r="D15" s="115"/>
      <c r="E15" s="115"/>
      <c r="F15" s="115"/>
      <c r="G15" s="115"/>
      <c r="H15" s="115"/>
      <c r="I15" s="71"/>
      <c r="AJ15" s="121"/>
      <c r="AK15" s="121"/>
    </row>
    <row r="16" spans="1:38" ht="15.75" customHeight="1">
      <c r="A16" s="64">
        <v>12</v>
      </c>
      <c r="B16" s="121" t="s">
        <v>47</v>
      </c>
      <c r="C16" s="123">
        <f>'2023年'!I19</f>
        <v>58589.159999999996</v>
      </c>
      <c r="D16" s="123">
        <f>'2024年'!I19</f>
        <v>58589.159999999996</v>
      </c>
      <c r="E16" s="123">
        <f>'2025年'!I19</f>
        <v>58589.159999999996</v>
      </c>
      <c r="F16" s="123">
        <f>'2026年'!I19</f>
        <v>58589.159999999996</v>
      </c>
      <c r="G16" s="123">
        <f>'2027年'!I19</f>
        <v>58589.159999999996</v>
      </c>
      <c r="H16" s="115">
        <f t="shared" ref="H16" si="2">SUM(C16:E16)</f>
        <v>175767.47999999998</v>
      </c>
      <c r="I16" s="71"/>
      <c r="Q16" s="71"/>
      <c r="AJ16" s="121" t="s">
        <v>48</v>
      </c>
      <c r="AK16" s="121" t="s">
        <v>47</v>
      </c>
      <c r="AL16" s="112" t="s">
        <v>21</v>
      </c>
    </row>
    <row r="17" spans="1:38" ht="15.75" customHeight="1">
      <c r="A17" s="64">
        <v>13</v>
      </c>
      <c r="B17" s="121" t="s">
        <v>49</v>
      </c>
      <c r="C17" s="123">
        <f>'2023年'!I20</f>
        <v>251096.4</v>
      </c>
      <c r="D17" s="123">
        <f>'2024年'!I20</f>
        <v>251096.4</v>
      </c>
      <c r="E17" s="123">
        <f>'2025年'!I20</f>
        <v>251096.4</v>
      </c>
      <c r="F17" s="123">
        <f>'2026年'!I20</f>
        <v>251096.4</v>
      </c>
      <c r="G17" s="123">
        <f>'2027年'!I20</f>
        <v>251096.4</v>
      </c>
      <c r="H17" s="115">
        <f t="shared" ref="H17:H19" si="3">SUM(C17:G17)</f>
        <v>1255482</v>
      </c>
      <c r="I17" s="71"/>
      <c r="AJ17" s="121" t="s">
        <v>50</v>
      </c>
      <c r="AK17" s="121" t="s">
        <v>49</v>
      </c>
    </row>
    <row r="18" spans="1:38" s="49" customFormat="1" ht="15.75" customHeight="1">
      <c r="A18" s="64">
        <v>14</v>
      </c>
      <c r="B18" s="62" t="s">
        <v>51</v>
      </c>
      <c r="C18" s="124">
        <f>'2023年'!I21</f>
        <v>7900</v>
      </c>
      <c r="D18" s="124">
        <f>'2024年'!I21</f>
        <v>7900</v>
      </c>
      <c r="E18" s="124">
        <f>'2025年'!I21</f>
        <v>7900</v>
      </c>
      <c r="F18" s="124">
        <f>'2026年'!I21</f>
        <v>7900</v>
      </c>
      <c r="G18" s="124">
        <f>'2027年'!I21</f>
        <v>7900</v>
      </c>
      <c r="H18" s="115">
        <f t="shared" si="3"/>
        <v>39500</v>
      </c>
      <c r="I18" s="71"/>
      <c r="AJ18" s="62"/>
      <c r="AK18" s="62"/>
    </row>
    <row r="19" spans="1:38" s="50" customFormat="1" ht="15.75" customHeight="1">
      <c r="A19" s="64">
        <v>15</v>
      </c>
      <c r="B19" s="54" t="s">
        <v>52</v>
      </c>
      <c r="C19" s="123">
        <f>'2023年'!I22</f>
        <v>334795.2</v>
      </c>
      <c r="D19" s="123">
        <f>'2024年'!I22</f>
        <v>334795.2</v>
      </c>
      <c r="E19" s="123">
        <f>'2025年'!I22</f>
        <v>334795.2</v>
      </c>
      <c r="F19" s="123">
        <f>'2026年'!I22</f>
        <v>334795.2</v>
      </c>
      <c r="G19" s="123">
        <f>'2027年'!I22</f>
        <v>334795.2</v>
      </c>
      <c r="H19" s="115">
        <f t="shared" si="3"/>
        <v>1673976</v>
      </c>
      <c r="I19" s="71"/>
      <c r="AJ19" s="54" t="s">
        <v>53</v>
      </c>
      <c r="AK19" s="54" t="s">
        <v>52</v>
      </c>
    </row>
    <row r="20" spans="1:38" s="110" customFormat="1" ht="15.75" customHeight="1">
      <c r="A20" s="64">
        <v>16</v>
      </c>
      <c r="B20" s="125" t="s">
        <v>54</v>
      </c>
      <c r="C20" s="119">
        <f t="shared" ref="C20" si="4">+C19+C18+C17+C16+C14</f>
        <v>1127625.3599999999</v>
      </c>
      <c r="D20" s="119">
        <f>'2024年'!I23</f>
        <v>1127625.3599999999</v>
      </c>
      <c r="E20" s="119">
        <f>'2025年'!I23</f>
        <v>1127625.3599999999</v>
      </c>
      <c r="F20" s="119">
        <f>'2026年'!I23</f>
        <v>1127625.3599999999</v>
      </c>
      <c r="G20" s="119">
        <f>'2027年'!I23</f>
        <v>1127625.3599999999</v>
      </c>
      <c r="H20" s="119">
        <f>SUM(C20:G20)</f>
        <v>5638126.7999999989</v>
      </c>
      <c r="I20" s="71"/>
      <c r="AJ20" s="138" t="s">
        <v>55</v>
      </c>
      <c r="AK20" s="139" t="s">
        <v>54</v>
      </c>
    </row>
    <row r="21" spans="1:38" ht="15.75" customHeight="1">
      <c r="A21" s="64">
        <v>17</v>
      </c>
      <c r="B21" s="121" t="s">
        <v>56</v>
      </c>
      <c r="C21" s="126">
        <f>+C12-C20</f>
        <v>-117662.72338134539</v>
      </c>
      <c r="D21" s="126">
        <f>'2024年'!I24</f>
        <v>-219164.72338134516</v>
      </c>
      <c r="E21" s="126">
        <f>'2025年'!I24</f>
        <v>-315591.62338134483</v>
      </c>
      <c r="F21" s="126">
        <f>'2026年'!I24</f>
        <v>-407197.17838134454</v>
      </c>
      <c r="G21" s="126">
        <f>'2027年'!I24</f>
        <v>-494222.45563134574</v>
      </c>
      <c r="H21" s="126">
        <f>+H12-H20</f>
        <v>-1553838.7041567285</v>
      </c>
      <c r="I21" s="71"/>
      <c r="AJ21" s="121" t="s">
        <v>57</v>
      </c>
      <c r="AK21" s="121" t="s">
        <v>56</v>
      </c>
    </row>
    <row r="22" spans="1:38" ht="15.75" customHeight="1">
      <c r="A22" s="64">
        <v>18</v>
      </c>
      <c r="B22" s="121" t="s">
        <v>58</v>
      </c>
      <c r="C22" s="126">
        <f>IF(C21&lt;0,0,C21*0.25)</f>
        <v>0</v>
      </c>
      <c r="D22" s="126">
        <f>'2024年'!I25</f>
        <v>0</v>
      </c>
      <c r="E22" s="126">
        <f>'2025年'!I25</f>
        <v>0</v>
      </c>
      <c r="F22" s="126">
        <f>'2026年'!I25</f>
        <v>0</v>
      </c>
      <c r="G22" s="126">
        <f>'2027年'!I25</f>
        <v>0</v>
      </c>
      <c r="H22" s="126">
        <f>IF(H21&lt;0,0,H21*0.25)</f>
        <v>0</v>
      </c>
      <c r="I22" s="71"/>
      <c r="AJ22" s="121" t="s">
        <v>59</v>
      </c>
      <c r="AK22" s="121" t="s">
        <v>58</v>
      </c>
    </row>
    <row r="23" spans="1:38" ht="15.75" customHeight="1">
      <c r="A23" s="64">
        <v>19</v>
      </c>
      <c r="B23" s="121" t="s">
        <v>60</v>
      </c>
      <c r="C23" s="126">
        <f>C21-C22</f>
        <v>-117662.72338134539</v>
      </c>
      <c r="D23" s="126">
        <f>'2024年'!I26</f>
        <v>-260164.33599524107</v>
      </c>
      <c r="E23" s="126">
        <f>'2025年'!I26</f>
        <v>-348397.4859952408</v>
      </c>
      <c r="F23" s="126">
        <f>'2026年'!I26</f>
        <v>-432218.97849524039</v>
      </c>
      <c r="G23" s="126">
        <f>'2027年'!I26</f>
        <v>-511849.39637024159</v>
      </c>
      <c r="H23" s="126">
        <f>H21-H22</f>
        <v>-1553838.7041567285</v>
      </c>
      <c r="I23" s="71"/>
      <c r="AJ23" s="121" t="s">
        <v>61</v>
      </c>
      <c r="AK23" s="121" t="s">
        <v>60</v>
      </c>
    </row>
    <row r="24" spans="1:38" ht="15.75" customHeight="1">
      <c r="A24" s="64">
        <v>20</v>
      </c>
      <c r="B24" s="121" t="s">
        <v>62</v>
      </c>
      <c r="C24" s="127">
        <f>(C23/C4)*100%</f>
        <v>-1.4057874590955354E-2</v>
      </c>
      <c r="D24" s="127">
        <f>'2024年'!I27</f>
        <v>-3.1083400956195436E-2</v>
      </c>
      <c r="E24" s="127">
        <f>'2025年'!I27</f>
        <v>-4.1625147074419326E-2</v>
      </c>
      <c r="F24" s="127">
        <f>'2026年'!I27</f>
        <v>-5.1639805886731997E-2</v>
      </c>
      <c r="G24" s="127">
        <f>'2027年'!I27</f>
        <v>-6.1153731758429225E-2</v>
      </c>
      <c r="H24" s="127">
        <f>(H23/H4)*100%</f>
        <v>-3.7129294665078319E-2</v>
      </c>
      <c r="I24" s="71"/>
      <c r="AJ24" s="140" t="s">
        <v>63</v>
      </c>
      <c r="AK24" s="140" t="s">
        <v>64</v>
      </c>
    </row>
    <row r="25" spans="1:38" s="111" customFormat="1" ht="15.75" customHeight="1">
      <c r="C25" s="128"/>
      <c r="D25" s="128"/>
      <c r="E25" s="128"/>
      <c r="F25" s="128"/>
      <c r="G25" s="128"/>
      <c r="H25" s="128"/>
      <c r="I25" s="137"/>
    </row>
    <row r="26" spans="1:38" s="111" customFormat="1" ht="15.75" customHeight="1">
      <c r="A26" s="111" t="s">
        <v>65</v>
      </c>
      <c r="C26" s="129"/>
      <c r="D26" s="129"/>
      <c r="E26" s="129"/>
      <c r="F26" s="129"/>
      <c r="G26" s="129"/>
      <c r="H26" s="129"/>
      <c r="I26" s="137"/>
      <c r="AJ26" s="111" t="s">
        <v>65</v>
      </c>
    </row>
    <row r="27" spans="1:38" ht="15.75" customHeight="1">
      <c r="A27" s="121" t="s">
        <v>17</v>
      </c>
      <c r="B27" s="130" t="s">
        <v>1</v>
      </c>
      <c r="C27" s="114" t="s">
        <v>66</v>
      </c>
      <c r="D27" s="114" t="s">
        <v>18</v>
      </c>
      <c r="E27" s="114" t="s">
        <v>67</v>
      </c>
      <c r="F27" s="114" t="s">
        <v>68</v>
      </c>
      <c r="G27" s="114" t="s">
        <v>69</v>
      </c>
      <c r="H27" s="53" t="s">
        <v>19</v>
      </c>
      <c r="AL27" s="112" t="s">
        <v>20</v>
      </c>
    </row>
    <row r="28" spans="1:38" s="50" customFormat="1" ht="15.75" customHeight="1">
      <c r="A28" s="54" t="s">
        <v>70</v>
      </c>
      <c r="B28" s="57" t="s">
        <v>71</v>
      </c>
      <c r="C28" s="61"/>
      <c r="D28" s="61"/>
      <c r="E28" s="61"/>
      <c r="F28" s="61"/>
      <c r="G28" s="61"/>
      <c r="H28" s="61"/>
      <c r="I28" s="71"/>
      <c r="AJ28" s="54" t="s">
        <v>72</v>
      </c>
      <c r="AK28" s="57" t="s">
        <v>71</v>
      </c>
    </row>
    <row r="29" spans="1:38" s="50" customFormat="1" ht="15.75" customHeight="1">
      <c r="A29" s="54" t="s">
        <v>23</v>
      </c>
      <c r="B29" s="54" t="s">
        <v>73</v>
      </c>
      <c r="C29" s="56">
        <f>+C6/C3</f>
        <v>836.98800000000006</v>
      </c>
      <c r="D29" s="56">
        <f t="shared" ref="D29:G29" si="5">+D6/D3</f>
        <v>795.1386</v>
      </c>
      <c r="E29" s="56">
        <f t="shared" si="5"/>
        <v>755.38166999999999</v>
      </c>
      <c r="F29" s="56">
        <f t="shared" si="5"/>
        <v>717.61258650000002</v>
      </c>
      <c r="G29" s="56">
        <f t="shared" si="5"/>
        <v>681.73195717499993</v>
      </c>
      <c r="H29" s="56">
        <f>+H6/H3</f>
        <v>757.37056273499991</v>
      </c>
      <c r="I29" s="71"/>
      <c r="AJ29" s="54" t="s">
        <v>23</v>
      </c>
      <c r="AK29" s="54" t="s">
        <v>73</v>
      </c>
    </row>
    <row r="30" spans="1:38" s="50" customFormat="1" ht="15.75" customHeight="1">
      <c r="A30" s="54" t="s">
        <v>25</v>
      </c>
      <c r="B30" s="54" t="s">
        <v>74</v>
      </c>
      <c r="C30" s="56">
        <f>+C7/C3</f>
        <v>633.98400000000004</v>
      </c>
      <c r="D30" s="56">
        <f t="shared" ref="D30:G30" si="6">+D7/D3</f>
        <v>602.28480000000002</v>
      </c>
      <c r="E30" s="56">
        <f t="shared" si="6"/>
        <v>572.17055999999991</v>
      </c>
      <c r="F30" s="56">
        <f t="shared" si="6"/>
        <v>543.56203199999993</v>
      </c>
      <c r="G30" s="56">
        <f t="shared" si="6"/>
        <v>516.38393039999983</v>
      </c>
      <c r="H30" s="56">
        <f>+H7/H3</f>
        <v>573.67706448000001</v>
      </c>
      <c r="I30" s="71"/>
      <c r="AJ30" s="54" t="s">
        <v>25</v>
      </c>
      <c r="AK30" s="54" t="s">
        <v>74</v>
      </c>
    </row>
    <row r="31" spans="1:38" s="50" customFormat="1" ht="15.75" customHeight="1">
      <c r="A31" s="54" t="s">
        <v>75</v>
      </c>
      <c r="B31" s="54" t="s">
        <v>76</v>
      </c>
      <c r="C31" s="61">
        <f t="shared" ref="C31:H31" si="7">C29-C30</f>
        <v>203.00400000000002</v>
      </c>
      <c r="D31" s="61">
        <f t="shared" si="7"/>
        <v>192.85379999999998</v>
      </c>
      <c r="E31" s="61">
        <f t="shared" si="7"/>
        <v>183.21111000000008</v>
      </c>
      <c r="F31" s="61">
        <f t="shared" si="7"/>
        <v>174.05055450000009</v>
      </c>
      <c r="G31" s="61">
        <f t="shared" si="7"/>
        <v>165.34802677500011</v>
      </c>
      <c r="H31" s="61">
        <f t="shared" si="7"/>
        <v>183.69349825499989</v>
      </c>
      <c r="I31" s="71"/>
      <c r="AJ31" s="54" t="s">
        <v>75</v>
      </c>
      <c r="AK31" s="54" t="s">
        <v>76</v>
      </c>
    </row>
    <row r="32" spans="1:38" s="50" customFormat="1" ht="15.75" customHeight="1">
      <c r="A32" s="54">
        <v>3.1</v>
      </c>
      <c r="B32" s="54" t="s">
        <v>77</v>
      </c>
      <c r="C32" s="131">
        <f t="shared" ref="C32:H32" si="8">C31/C29</f>
        <v>0.24254111170052617</v>
      </c>
      <c r="D32" s="131">
        <f t="shared" si="8"/>
        <v>0.24254111170052614</v>
      </c>
      <c r="E32" s="131">
        <f t="shared" si="8"/>
        <v>0.24254111170052628</v>
      </c>
      <c r="F32" s="131">
        <f t="shared" si="8"/>
        <v>0.24254111170052628</v>
      </c>
      <c r="G32" s="131">
        <f t="shared" si="8"/>
        <v>0.24254111170052636</v>
      </c>
      <c r="H32" s="131">
        <f t="shared" si="8"/>
        <v>0.24254111170052606</v>
      </c>
      <c r="I32" s="71"/>
      <c r="AJ32" s="54"/>
      <c r="AK32" s="54"/>
    </row>
    <row r="33" spans="1:37" s="50" customFormat="1" ht="15.75" customHeight="1">
      <c r="A33" s="54" t="s">
        <v>72</v>
      </c>
      <c r="B33" s="57" t="s">
        <v>9</v>
      </c>
      <c r="C33" s="61"/>
      <c r="D33" s="61"/>
      <c r="E33" s="61"/>
      <c r="F33" s="61"/>
      <c r="G33" s="61"/>
      <c r="H33" s="61"/>
      <c r="I33" s="71"/>
      <c r="AJ33" s="54" t="s">
        <v>78</v>
      </c>
      <c r="AK33" s="57" t="s">
        <v>9</v>
      </c>
    </row>
    <row r="34" spans="1:37" s="50" customFormat="1" ht="15.75" customHeight="1">
      <c r="A34" s="54" t="s">
        <v>23</v>
      </c>
      <c r="B34" s="62" t="s">
        <v>79</v>
      </c>
      <c r="C34" s="56">
        <f>+C8/C3</f>
        <v>47.05545395390866</v>
      </c>
      <c r="D34" s="56">
        <f t="shared" ref="D34:G34" si="9">+D8/D3</f>
        <v>47.05545395390866</v>
      </c>
      <c r="E34" s="56">
        <f t="shared" si="9"/>
        <v>47.05545395390866</v>
      </c>
      <c r="F34" s="56">
        <f t="shared" si="9"/>
        <v>47.05545395390866</v>
      </c>
      <c r="G34" s="56">
        <f t="shared" si="9"/>
        <v>47.05545395390866</v>
      </c>
      <c r="H34" s="56">
        <f>+H8/H3</f>
        <v>47.05545395390866</v>
      </c>
      <c r="I34" s="71"/>
      <c r="AJ34" s="54" t="s">
        <v>75</v>
      </c>
      <c r="AK34" s="54" t="s">
        <v>79</v>
      </c>
    </row>
    <row r="35" spans="1:37" s="50" customFormat="1" ht="15.75" customHeight="1">
      <c r="A35" s="54" t="s">
        <v>25</v>
      </c>
      <c r="B35" s="62" t="s">
        <v>80</v>
      </c>
      <c r="C35" s="56">
        <f>+C9/C3</f>
        <v>12.618422384225905</v>
      </c>
      <c r="D35" s="56">
        <f t="shared" ref="D35:G35" si="10">+D9/D3</f>
        <v>12.618422384225905</v>
      </c>
      <c r="E35" s="56">
        <f t="shared" si="10"/>
        <v>12.618422384225905</v>
      </c>
      <c r="F35" s="56">
        <f t="shared" si="10"/>
        <v>12.618422384225905</v>
      </c>
      <c r="G35" s="56">
        <f t="shared" si="10"/>
        <v>12.618422384225905</v>
      </c>
      <c r="H35" s="56">
        <f>+H9/H3</f>
        <v>12.618422384225905</v>
      </c>
      <c r="I35" s="71"/>
      <c r="AJ35" s="54" t="s">
        <v>28</v>
      </c>
      <c r="AK35" s="54" t="s">
        <v>80</v>
      </c>
    </row>
    <row r="36" spans="1:37" s="50" customFormat="1" ht="15.75" customHeight="1">
      <c r="A36" s="54" t="s">
        <v>75</v>
      </c>
      <c r="B36" s="62" t="s">
        <v>81</v>
      </c>
      <c r="C36" s="56">
        <f>+C10/C3</f>
        <v>42.333859999999994</v>
      </c>
      <c r="D36" s="56">
        <f t="shared" ref="D36:G36" si="11">+D10/D3</f>
        <v>42.333859999999994</v>
      </c>
      <c r="E36" s="56">
        <f t="shared" si="11"/>
        <v>42.333859999999994</v>
      </c>
      <c r="F36" s="56">
        <f t="shared" si="11"/>
        <v>42.333859999999994</v>
      </c>
      <c r="G36" s="56">
        <f t="shared" si="11"/>
        <v>42.333859999999994</v>
      </c>
      <c r="H36" s="56">
        <f>+H10/H3</f>
        <v>42.333860000000001</v>
      </c>
      <c r="I36" s="71"/>
      <c r="AJ36" s="54" t="s">
        <v>34</v>
      </c>
      <c r="AK36" s="54" t="s">
        <v>81</v>
      </c>
    </row>
    <row r="37" spans="1:37" s="50" customFormat="1" ht="15.75" customHeight="1">
      <c r="A37" s="54" t="s">
        <v>82</v>
      </c>
      <c r="B37" s="120" t="s">
        <v>83</v>
      </c>
      <c r="C37" s="56"/>
      <c r="D37" s="56"/>
      <c r="E37" s="56"/>
      <c r="F37" s="56"/>
      <c r="G37" s="56"/>
      <c r="H37" s="56"/>
      <c r="I37" s="71"/>
      <c r="AJ37" s="54" t="s">
        <v>82</v>
      </c>
      <c r="AK37" s="57" t="s">
        <v>83</v>
      </c>
    </row>
    <row r="38" spans="1:37" s="50" customFormat="1">
      <c r="A38" s="54" t="s">
        <v>23</v>
      </c>
      <c r="B38" s="62" t="s">
        <v>84</v>
      </c>
      <c r="C38" s="56">
        <f>+C12/C3</f>
        <v>100.99626366186544</v>
      </c>
      <c r="D38" s="56">
        <f t="shared" ref="D38:G38" si="12">+D12/D3</f>
        <v>90.846063661865472</v>
      </c>
      <c r="E38" s="56">
        <f t="shared" si="12"/>
        <v>81.203373661865498</v>
      </c>
      <c r="F38" s="56">
        <f t="shared" si="12"/>
        <v>72.04281816186554</v>
      </c>
      <c r="G38" s="56">
        <f t="shared" si="12"/>
        <v>63.340290436865409</v>
      </c>
      <c r="H38" s="56">
        <f>+H12/H3</f>
        <v>81.685761916865403</v>
      </c>
      <c r="I38" s="71"/>
      <c r="AJ38" s="54" t="s">
        <v>23</v>
      </c>
      <c r="AK38" s="54" t="s">
        <v>85</v>
      </c>
    </row>
    <row r="39" spans="1:37" s="50" customFormat="1" ht="15.75" customHeight="1">
      <c r="A39" s="54" t="s">
        <v>25</v>
      </c>
      <c r="B39" s="62" t="s">
        <v>86</v>
      </c>
      <c r="C39" s="115">
        <f t="shared" ref="C39:G39" si="13">+C20/C38</f>
        <v>11165.020557347341</v>
      </c>
      <c r="D39" s="115">
        <f t="shared" si="13"/>
        <v>12412.484532044113</v>
      </c>
      <c r="E39" s="115">
        <f t="shared" si="13"/>
        <v>13886.434875175046</v>
      </c>
      <c r="F39" s="115">
        <f t="shared" si="13"/>
        <v>15652.155048494291</v>
      </c>
      <c r="G39" s="115">
        <f t="shared" si="13"/>
        <v>17802.655343425733</v>
      </c>
      <c r="H39" s="191">
        <f t="shared" ref="H39" si="14">+H20/H38</f>
        <v>69022.148630236537</v>
      </c>
      <c r="I39" s="71"/>
      <c r="AJ39" s="54" t="s">
        <v>25</v>
      </c>
      <c r="AK39" s="54" t="s">
        <v>86</v>
      </c>
    </row>
    <row r="40" spans="1:37" s="50" customFormat="1" ht="15.75" customHeight="1">
      <c r="A40" s="54" t="s">
        <v>87</v>
      </c>
      <c r="B40" s="57" t="s">
        <v>88</v>
      </c>
      <c r="C40" s="61"/>
      <c r="D40" s="61"/>
      <c r="E40" s="61"/>
      <c r="F40" s="61"/>
      <c r="G40" s="61"/>
      <c r="H40" s="61"/>
      <c r="I40" s="71"/>
      <c r="AJ40" s="54" t="s">
        <v>87</v>
      </c>
      <c r="AK40" s="57" t="s">
        <v>88</v>
      </c>
    </row>
    <row r="41" spans="1:37" s="50" customFormat="1" ht="15.75" customHeight="1">
      <c r="A41" s="54" t="s">
        <v>23</v>
      </c>
      <c r="B41" s="54" t="s">
        <v>89</v>
      </c>
      <c r="C41" s="61">
        <f>+C14/C3</f>
        <v>47.524459999999998</v>
      </c>
      <c r="D41" s="61">
        <f t="shared" ref="D41:G41" si="15">+D14/D3</f>
        <v>47.524459999999998</v>
      </c>
      <c r="E41" s="61">
        <f t="shared" si="15"/>
        <v>47.524459999999998</v>
      </c>
      <c r="F41" s="61">
        <f t="shared" si="15"/>
        <v>47.524459999999998</v>
      </c>
      <c r="G41" s="61">
        <f t="shared" si="15"/>
        <v>47.524459999999998</v>
      </c>
      <c r="H41" s="61">
        <f>+H14/H3</f>
        <v>47.524459999999998</v>
      </c>
      <c r="I41" s="71"/>
      <c r="AJ41" s="54" t="s">
        <v>23</v>
      </c>
      <c r="AK41" s="54" t="s">
        <v>89</v>
      </c>
    </row>
    <row r="42" spans="1:37" s="50" customFormat="1" ht="15.75" customHeight="1">
      <c r="A42" s="54" t="s">
        <v>25</v>
      </c>
      <c r="B42" s="54" t="s">
        <v>90</v>
      </c>
      <c r="C42" s="61">
        <f>+C16/C3</f>
        <v>5.8589159999999998</v>
      </c>
      <c r="D42" s="61">
        <f t="shared" ref="D42:G42" si="16">+D16/D3</f>
        <v>5.8589159999999998</v>
      </c>
      <c r="E42" s="61">
        <f t="shared" si="16"/>
        <v>5.8589159999999998</v>
      </c>
      <c r="F42" s="61">
        <f t="shared" si="16"/>
        <v>5.8589159999999998</v>
      </c>
      <c r="G42" s="61">
        <f t="shared" si="16"/>
        <v>5.8589159999999998</v>
      </c>
      <c r="H42" s="61">
        <f>+H16/H3</f>
        <v>3.5153495999999995</v>
      </c>
      <c r="I42" s="71"/>
      <c r="AJ42" s="54" t="s">
        <v>25</v>
      </c>
      <c r="AK42" s="54" t="s">
        <v>90</v>
      </c>
    </row>
    <row r="43" spans="1:37" s="50" customFormat="1" ht="15.75" customHeight="1">
      <c r="A43" s="54" t="s">
        <v>75</v>
      </c>
      <c r="B43" s="54" t="s">
        <v>91</v>
      </c>
      <c r="C43" s="61">
        <f>+C17/C3</f>
        <v>25.109639999999999</v>
      </c>
      <c r="D43" s="61">
        <f t="shared" ref="D43:G43" si="17">+D17/D3</f>
        <v>25.109639999999999</v>
      </c>
      <c r="E43" s="61">
        <f t="shared" si="17"/>
        <v>25.109639999999999</v>
      </c>
      <c r="F43" s="61">
        <f t="shared" si="17"/>
        <v>25.109639999999999</v>
      </c>
      <c r="G43" s="61">
        <f t="shared" si="17"/>
        <v>25.109639999999999</v>
      </c>
      <c r="H43" s="61">
        <f>+H17/H3</f>
        <v>25.109639999999999</v>
      </c>
      <c r="I43" s="71"/>
      <c r="AJ43" s="54" t="s">
        <v>75</v>
      </c>
      <c r="AK43" s="54" t="s">
        <v>91</v>
      </c>
    </row>
    <row r="44" spans="1:37" s="50" customFormat="1" ht="15.75" customHeight="1">
      <c r="A44" s="54" t="s">
        <v>28</v>
      </c>
      <c r="B44" s="54" t="s">
        <v>92</v>
      </c>
      <c r="C44" s="61"/>
      <c r="D44" s="61"/>
      <c r="E44" s="61"/>
      <c r="F44" s="61"/>
      <c r="G44" s="61"/>
      <c r="H44" s="61"/>
      <c r="I44" s="71"/>
      <c r="AJ44" s="54" t="s">
        <v>28</v>
      </c>
      <c r="AK44" s="54" t="s">
        <v>93</v>
      </c>
    </row>
    <row r="45" spans="1:37" s="50" customFormat="1" ht="15.75" customHeight="1">
      <c r="A45" s="54" t="s">
        <v>31</v>
      </c>
      <c r="B45" s="54" t="s">
        <v>94</v>
      </c>
      <c r="C45" s="61"/>
      <c r="D45" s="61"/>
      <c r="E45" s="61"/>
      <c r="F45" s="61"/>
      <c r="G45" s="61"/>
      <c r="H45" s="61"/>
      <c r="I45" s="71"/>
      <c r="AJ45" s="54" t="s">
        <v>31</v>
      </c>
      <c r="AK45" s="54" t="s">
        <v>94</v>
      </c>
    </row>
    <row r="46" spans="1:37" s="50" customFormat="1" ht="15.75" customHeight="1">
      <c r="A46" s="54" t="s">
        <v>95</v>
      </c>
      <c r="B46" s="57" t="s">
        <v>96</v>
      </c>
      <c r="C46" s="61"/>
      <c r="D46" s="61"/>
      <c r="E46" s="61"/>
      <c r="F46" s="61"/>
      <c r="G46" s="61"/>
      <c r="H46" s="61"/>
      <c r="I46" s="71"/>
      <c r="AJ46" s="54" t="s">
        <v>95</v>
      </c>
      <c r="AK46" s="57" t="s">
        <v>96</v>
      </c>
    </row>
    <row r="47" spans="1:37" s="50" customFormat="1" ht="15.75" customHeight="1">
      <c r="A47" s="54" t="s">
        <v>23</v>
      </c>
      <c r="B47" s="54" t="s">
        <v>97</v>
      </c>
      <c r="C47" s="132">
        <f>+(C10+C16)/C6</f>
        <v>5.7578813555271995E-2</v>
      </c>
      <c r="D47" s="132">
        <f t="shared" ref="D47:G47" si="18">+(D10+D16)/D6</f>
        <v>6.0609277426602097E-2</v>
      </c>
      <c r="E47" s="132">
        <f t="shared" si="18"/>
        <v>6.3799239396423263E-2</v>
      </c>
      <c r="F47" s="132">
        <f t="shared" si="18"/>
        <v>6.7157094101498171E-2</v>
      </c>
      <c r="G47" s="132">
        <f t="shared" si="18"/>
        <v>7.0691678001577024E-2</v>
      </c>
      <c r="H47" s="132">
        <f>+(H10+H16)/H6</f>
        <v>6.0537353649487431E-2</v>
      </c>
      <c r="I47" s="71"/>
      <c r="AJ47" s="54" t="s">
        <v>23</v>
      </c>
      <c r="AK47" s="54" t="s">
        <v>97</v>
      </c>
    </row>
    <row r="48" spans="1:37" s="50" customFormat="1" ht="15.75" customHeight="1">
      <c r="A48" s="54" t="s">
        <v>25</v>
      </c>
      <c r="B48" s="54" t="s">
        <v>98</v>
      </c>
      <c r="C48" s="132">
        <f>+(C8+C9+C14)/C6</f>
        <v>0.12807631213127857</v>
      </c>
      <c r="D48" s="132">
        <f t="shared" ref="D48:G48" si="19">+(D8+D9+D14)/D6</f>
        <v>0.13481717066450374</v>
      </c>
      <c r="E48" s="132">
        <f t="shared" si="19"/>
        <v>0.14191281122579341</v>
      </c>
      <c r="F48" s="132">
        <f t="shared" si="19"/>
        <v>0.14938190655346675</v>
      </c>
      <c r="G48" s="132">
        <f t="shared" si="19"/>
        <v>0.15724411216154396</v>
      </c>
      <c r="H48" s="132">
        <f>+(H8+H9+H14)/H6</f>
        <v>0.14154014113120833</v>
      </c>
      <c r="I48" s="71"/>
      <c r="AJ48" s="54" t="s">
        <v>25</v>
      </c>
      <c r="AK48" s="54" t="s">
        <v>98</v>
      </c>
    </row>
    <row r="49" spans="1:37" s="50" customFormat="1" ht="15.75" customHeight="1">
      <c r="A49" s="54" t="s">
        <v>75</v>
      </c>
      <c r="B49" s="54" t="s">
        <v>99</v>
      </c>
      <c r="C49" s="132">
        <f>+C17/C6</f>
        <v>0.03</v>
      </c>
      <c r="D49" s="132">
        <f t="shared" ref="D49:G49" si="20">+D17/D6</f>
        <v>3.1578947368421054E-2</v>
      </c>
      <c r="E49" s="132">
        <f t="shared" si="20"/>
        <v>3.3240997229916899E-2</v>
      </c>
      <c r="F49" s="132">
        <f t="shared" si="20"/>
        <v>3.4990523399912522E-2</v>
      </c>
      <c r="G49" s="132">
        <f t="shared" si="20"/>
        <v>3.6832129894644766E-2</v>
      </c>
      <c r="H49" s="132">
        <f>+H17/H6</f>
        <v>3.3153704719291729E-2</v>
      </c>
      <c r="I49" s="71"/>
      <c r="AJ49" s="54" t="s">
        <v>75</v>
      </c>
      <c r="AK49" s="54" t="s">
        <v>99</v>
      </c>
    </row>
    <row r="50" spans="1:37" s="50" customFormat="1" ht="15.75" customHeight="1">
      <c r="A50" s="54" t="s">
        <v>28</v>
      </c>
      <c r="B50" s="54" t="s">
        <v>100</v>
      </c>
      <c r="C50" s="132">
        <f>+C18/C6</f>
        <v>9.4386060493101449E-4</v>
      </c>
      <c r="D50" s="132">
        <f t="shared" ref="D50:G50" si="21">+D18/D6</f>
        <v>9.935374788747522E-4</v>
      </c>
      <c r="E50" s="132">
        <f t="shared" si="21"/>
        <v>1.0458289251313181E-3</v>
      </c>
      <c r="F50" s="132">
        <f t="shared" si="21"/>
        <v>1.1008725527698084E-3</v>
      </c>
      <c r="G50" s="132">
        <f t="shared" si="21"/>
        <v>1.1588132134419038E-3</v>
      </c>
      <c r="H50" s="132">
        <f>+H18/H6</f>
        <v>1.0430825264018308E-3</v>
      </c>
      <c r="I50" s="71"/>
      <c r="AJ50" s="54" t="s">
        <v>28</v>
      </c>
      <c r="AK50" s="54" t="s">
        <v>100</v>
      </c>
    </row>
    <row r="51" spans="1:37" s="50" customFormat="1" ht="15.75" customHeight="1">
      <c r="A51" s="54" t="s">
        <v>31</v>
      </c>
      <c r="B51" s="54" t="s">
        <v>101</v>
      </c>
      <c r="C51" s="132">
        <f>+C19/C6</f>
        <v>0.04</v>
      </c>
      <c r="D51" s="132">
        <f t="shared" ref="D51:G51" si="22">+D19/D6</f>
        <v>4.2105263157894736E-2</v>
      </c>
      <c r="E51" s="132">
        <f t="shared" si="22"/>
        <v>4.4321329639889197E-2</v>
      </c>
      <c r="F51" s="132">
        <f t="shared" si="22"/>
        <v>4.6654031199883365E-2</v>
      </c>
      <c r="G51" s="132">
        <f t="shared" si="22"/>
        <v>4.9109506526193024E-2</v>
      </c>
      <c r="H51" s="132">
        <f>+H19/H6</f>
        <v>4.4204939625722306E-2</v>
      </c>
      <c r="I51" s="71"/>
      <c r="AJ51" s="54" t="s">
        <v>31</v>
      </c>
      <c r="AK51" s="54" t="s">
        <v>101</v>
      </c>
    </row>
    <row r="52" spans="1:37" s="50" customFormat="1" ht="15.75" customHeight="1">
      <c r="A52" s="54" t="s">
        <v>34</v>
      </c>
      <c r="B52" s="54" t="s">
        <v>102</v>
      </c>
      <c r="C52" s="132">
        <f>+C23/C6</f>
        <v>-1.4057874590955354E-2</v>
      </c>
      <c r="D52" s="132">
        <f t="shared" ref="D52:G52" si="23">+D23/D6</f>
        <v>-3.2719369427574148E-2</v>
      </c>
      <c r="E52" s="132">
        <f t="shared" si="23"/>
        <v>-4.6122046619855202E-2</v>
      </c>
      <c r="F52" s="132">
        <f t="shared" si="23"/>
        <v>-6.0230127874887879E-2</v>
      </c>
      <c r="G52" s="132">
        <f t="shared" si="23"/>
        <v>-7.5080739722290929E-2</v>
      </c>
      <c r="H52" s="132">
        <f>+H23/H6</f>
        <v>-4.1032455725386004E-2</v>
      </c>
      <c r="I52" s="71"/>
      <c r="AJ52" s="54" t="s">
        <v>34</v>
      </c>
      <c r="AK52" s="54" t="s">
        <v>103</v>
      </c>
    </row>
    <row r="53" spans="1:37" s="50" customFormat="1" ht="15.75" customHeight="1">
      <c r="A53" s="54" t="s">
        <v>104</v>
      </c>
      <c r="B53" s="57" t="s">
        <v>105</v>
      </c>
      <c r="C53" s="61">
        <f>+C21/C3</f>
        <v>-11.76627233813454</v>
      </c>
      <c r="D53" s="61">
        <f t="shared" ref="D53:G53" si="24">+D21/D3</f>
        <v>-21.916472338134515</v>
      </c>
      <c r="E53" s="61">
        <f t="shared" si="24"/>
        <v>-31.559162338134485</v>
      </c>
      <c r="F53" s="61">
        <f t="shared" si="24"/>
        <v>-40.719717838134457</v>
      </c>
      <c r="G53" s="61">
        <f t="shared" si="24"/>
        <v>-49.422245563134574</v>
      </c>
      <c r="H53" s="61">
        <f>+H21/H3</f>
        <v>-31.07677408313457</v>
      </c>
      <c r="I53" s="71"/>
      <c r="AJ53" s="54" t="s">
        <v>104</v>
      </c>
      <c r="AK53" s="57" t="s">
        <v>105</v>
      </c>
    </row>
    <row r="54" spans="1:37" s="50" customFormat="1" ht="15.75" customHeight="1">
      <c r="A54" s="54" t="s">
        <v>106</v>
      </c>
      <c r="B54" s="133" t="s">
        <v>107</v>
      </c>
      <c r="C54" s="61"/>
      <c r="D54" s="61"/>
      <c r="E54" s="61"/>
      <c r="F54" s="61"/>
      <c r="G54" s="61"/>
      <c r="H54" s="61"/>
      <c r="I54" s="71"/>
      <c r="AJ54" s="54"/>
      <c r="AK54" s="57"/>
    </row>
    <row r="55" spans="1:37" s="50" customFormat="1" ht="15.75" customHeight="1">
      <c r="A55" s="54" t="s">
        <v>23</v>
      </c>
      <c r="B55" s="54" t="s">
        <v>108</v>
      </c>
      <c r="C55" s="61">
        <f>C56+C57</f>
        <v>39500</v>
      </c>
      <c r="D55" s="61"/>
      <c r="E55" s="61"/>
      <c r="F55" s="61"/>
      <c r="G55" s="61"/>
      <c r="H55" s="61"/>
      <c r="I55" s="71"/>
    </row>
    <row r="56" spans="1:37" s="50" customFormat="1" ht="15.75" customHeight="1">
      <c r="A56" s="54">
        <v>1.1000000000000001</v>
      </c>
      <c r="B56" s="134" t="s">
        <v>109</v>
      </c>
      <c r="C56" s="61">
        <f>项目投资!B27</f>
        <v>39500</v>
      </c>
      <c r="D56" s="61"/>
      <c r="E56" s="61"/>
      <c r="F56" s="61"/>
      <c r="G56" s="61"/>
      <c r="H56" s="61"/>
      <c r="I56" s="71"/>
    </row>
    <row r="57" spans="1:37" s="50" customFormat="1" ht="15.75" customHeight="1">
      <c r="A57" s="54">
        <v>1.2</v>
      </c>
      <c r="B57" s="54" t="s">
        <v>110</v>
      </c>
      <c r="C57" s="61">
        <f>项目投资!B26</f>
        <v>0</v>
      </c>
      <c r="D57" s="61"/>
      <c r="E57" s="61"/>
      <c r="F57" s="61"/>
      <c r="G57" s="61"/>
      <c r="H57" s="61"/>
      <c r="I57" s="71"/>
    </row>
    <row r="58" spans="1:37" ht="15.75" customHeight="1">
      <c r="A58" s="121" t="s">
        <v>25</v>
      </c>
      <c r="B58" s="121" t="s">
        <v>111</v>
      </c>
      <c r="C58" s="135">
        <f t="shared" ref="C58:G58" si="25">C59+C60</f>
        <v>-117662.72338134539</v>
      </c>
      <c r="D58" s="135">
        <f t="shared" si="25"/>
        <v>-260164.33599524107</v>
      </c>
      <c r="E58" s="135">
        <f t="shared" si="25"/>
        <v>-348397.4859952408</v>
      </c>
      <c r="F58" s="135">
        <f t="shared" si="25"/>
        <v>-432218.97849524039</v>
      </c>
      <c r="G58" s="135">
        <f t="shared" si="25"/>
        <v>-511849.39637024159</v>
      </c>
      <c r="H58" s="135">
        <f t="shared" ref="H58" si="26">H59+H60</f>
        <v>-1553838.7041567285</v>
      </c>
      <c r="I58" s="71"/>
    </row>
    <row r="59" spans="1:37" ht="15.75" customHeight="1">
      <c r="A59" s="121" t="s">
        <v>75</v>
      </c>
      <c r="B59" s="121" t="s">
        <v>112</v>
      </c>
      <c r="C59" s="135">
        <f t="shared" ref="C59:G59" si="27">C23</f>
        <v>-117662.72338134539</v>
      </c>
      <c r="D59" s="135">
        <f t="shared" si="27"/>
        <v>-260164.33599524107</v>
      </c>
      <c r="E59" s="135">
        <f t="shared" si="27"/>
        <v>-348397.4859952408</v>
      </c>
      <c r="F59" s="135">
        <f t="shared" si="27"/>
        <v>-432218.97849524039</v>
      </c>
      <c r="G59" s="135">
        <f t="shared" si="27"/>
        <v>-511849.39637024159</v>
      </c>
      <c r="H59" s="135">
        <f t="shared" ref="H59" si="28">H23</f>
        <v>-1553838.7041567285</v>
      </c>
      <c r="I59" s="71"/>
    </row>
    <row r="60" spans="1:37" ht="15.75" customHeight="1">
      <c r="A60" s="121" t="s">
        <v>28</v>
      </c>
      <c r="B60" s="121" t="s">
        <v>113</v>
      </c>
      <c r="C60" s="135">
        <f>'2023年'!I18</f>
        <v>0</v>
      </c>
      <c r="D60" s="135">
        <f>'2024年'!I18</f>
        <v>0</v>
      </c>
      <c r="E60" s="135">
        <f>'2025年'!I18</f>
        <v>0</v>
      </c>
      <c r="F60" s="135">
        <f>'2026年'!I18</f>
        <v>0</v>
      </c>
      <c r="G60" s="135">
        <f>'2027年'!I18</f>
        <v>0</v>
      </c>
      <c r="H60" s="135">
        <f>项目投资!I26</f>
        <v>0</v>
      </c>
      <c r="I60" s="71"/>
    </row>
    <row r="61" spans="1:37" ht="15.75" customHeight="1">
      <c r="A61" s="121" t="s">
        <v>31</v>
      </c>
      <c r="B61" s="121" t="s">
        <v>114</v>
      </c>
      <c r="C61" s="136"/>
      <c r="D61" s="136"/>
      <c r="E61" s="136"/>
      <c r="F61" s="136"/>
      <c r="G61" s="136"/>
      <c r="H61" s="135"/>
      <c r="I61" s="71"/>
    </row>
    <row r="63" spans="1:37">
      <c r="B63"/>
    </row>
  </sheetData>
  <mergeCells count="2">
    <mergeCell ref="A1:H1"/>
    <mergeCell ref="A2:A3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5" customWidth="1"/>
    <col min="2" max="2" width="28.5" style="75" customWidth="1"/>
    <col min="3" max="4" width="9.125" style="75"/>
    <col min="5" max="5" width="13.875" style="75" customWidth="1"/>
    <col min="6" max="12" width="16.125" style="75" customWidth="1"/>
    <col min="13" max="13" width="10.625" style="75" customWidth="1"/>
    <col min="14" max="254" width="9.125" style="75"/>
    <col min="255" max="255" width="8" style="75" customWidth="1"/>
    <col min="256" max="256" width="28.5" style="75" customWidth="1"/>
    <col min="257" max="268" width="9.125" style="75"/>
    <col min="269" max="269" width="10.625" style="75" customWidth="1"/>
    <col min="270" max="510" width="9.125" style="75"/>
    <col min="511" max="511" width="8" style="75" customWidth="1"/>
    <col min="512" max="512" width="28.5" style="75" customWidth="1"/>
    <col min="513" max="524" width="9.125" style="75"/>
    <col min="525" max="525" width="10.625" style="75" customWidth="1"/>
    <col min="526" max="766" width="9.125" style="75"/>
    <col min="767" max="767" width="8" style="75" customWidth="1"/>
    <col min="768" max="768" width="28.5" style="75" customWidth="1"/>
    <col min="769" max="780" width="9.125" style="75"/>
    <col min="781" max="781" width="10.625" style="75" customWidth="1"/>
    <col min="782" max="1022" width="9.125" style="75"/>
    <col min="1023" max="1023" width="8" style="75" customWidth="1"/>
    <col min="1024" max="1024" width="28.5" style="75" customWidth="1"/>
    <col min="1025" max="1036" width="9.125" style="75"/>
    <col min="1037" max="1037" width="10.625" style="75" customWidth="1"/>
    <col min="1038" max="1278" width="9.125" style="75"/>
    <col min="1279" max="1279" width="8" style="75" customWidth="1"/>
    <col min="1280" max="1280" width="28.5" style="75" customWidth="1"/>
    <col min="1281" max="1292" width="9.125" style="75"/>
    <col min="1293" max="1293" width="10.625" style="75" customWidth="1"/>
    <col min="1294" max="1534" width="9.125" style="75"/>
    <col min="1535" max="1535" width="8" style="75" customWidth="1"/>
    <col min="1536" max="1536" width="28.5" style="75" customWidth="1"/>
    <col min="1537" max="1548" width="9.125" style="75"/>
    <col min="1549" max="1549" width="10.625" style="75" customWidth="1"/>
    <col min="1550" max="1790" width="9.125" style="75"/>
    <col min="1791" max="1791" width="8" style="75" customWidth="1"/>
    <col min="1792" max="1792" width="28.5" style="75" customWidth="1"/>
    <col min="1793" max="1804" width="9.125" style="75"/>
    <col min="1805" max="1805" width="10.625" style="75" customWidth="1"/>
    <col min="1806" max="2046" width="9.125" style="75"/>
    <col min="2047" max="2047" width="8" style="75" customWidth="1"/>
    <col min="2048" max="2048" width="28.5" style="75" customWidth="1"/>
    <col min="2049" max="2060" width="9.125" style="75"/>
    <col min="2061" max="2061" width="10.625" style="75" customWidth="1"/>
    <col min="2062" max="2302" width="9.125" style="75"/>
    <col min="2303" max="2303" width="8" style="75" customWidth="1"/>
    <col min="2304" max="2304" width="28.5" style="75" customWidth="1"/>
    <col min="2305" max="2316" width="9.125" style="75"/>
    <col min="2317" max="2317" width="10.625" style="75" customWidth="1"/>
    <col min="2318" max="2558" width="9.125" style="75"/>
    <col min="2559" max="2559" width="8" style="75" customWidth="1"/>
    <col min="2560" max="2560" width="28.5" style="75" customWidth="1"/>
    <col min="2561" max="2572" width="9.125" style="75"/>
    <col min="2573" max="2573" width="10.625" style="75" customWidth="1"/>
    <col min="2574" max="2814" width="9.125" style="75"/>
    <col min="2815" max="2815" width="8" style="75" customWidth="1"/>
    <col min="2816" max="2816" width="28.5" style="75" customWidth="1"/>
    <col min="2817" max="2828" width="9.125" style="75"/>
    <col min="2829" max="2829" width="10.625" style="75" customWidth="1"/>
    <col min="2830" max="3070" width="9.125" style="75"/>
    <col min="3071" max="3071" width="8" style="75" customWidth="1"/>
    <col min="3072" max="3072" width="28.5" style="75" customWidth="1"/>
    <col min="3073" max="3084" width="9.125" style="75"/>
    <col min="3085" max="3085" width="10.625" style="75" customWidth="1"/>
    <col min="3086" max="3326" width="9.125" style="75"/>
    <col min="3327" max="3327" width="8" style="75" customWidth="1"/>
    <col min="3328" max="3328" width="28.5" style="75" customWidth="1"/>
    <col min="3329" max="3340" width="9.125" style="75"/>
    <col min="3341" max="3341" width="10.625" style="75" customWidth="1"/>
    <col min="3342" max="3582" width="9.125" style="75"/>
    <col min="3583" max="3583" width="8" style="75" customWidth="1"/>
    <col min="3584" max="3584" width="28.5" style="75" customWidth="1"/>
    <col min="3585" max="3596" width="9.125" style="75"/>
    <col min="3597" max="3597" width="10.625" style="75" customWidth="1"/>
    <col min="3598" max="3838" width="9.125" style="75"/>
    <col min="3839" max="3839" width="8" style="75" customWidth="1"/>
    <col min="3840" max="3840" width="28.5" style="75" customWidth="1"/>
    <col min="3841" max="3852" width="9.125" style="75"/>
    <col min="3853" max="3853" width="10.625" style="75" customWidth="1"/>
    <col min="3854" max="4094" width="9.125" style="75"/>
    <col min="4095" max="4095" width="8" style="75" customWidth="1"/>
    <col min="4096" max="4096" width="28.5" style="75" customWidth="1"/>
    <col min="4097" max="4108" width="9.125" style="75"/>
    <col min="4109" max="4109" width="10.625" style="75" customWidth="1"/>
    <col min="4110" max="4350" width="9.125" style="75"/>
    <col min="4351" max="4351" width="8" style="75" customWidth="1"/>
    <col min="4352" max="4352" width="28.5" style="75" customWidth="1"/>
    <col min="4353" max="4364" width="9.125" style="75"/>
    <col min="4365" max="4365" width="10.625" style="75" customWidth="1"/>
    <col min="4366" max="4606" width="9.125" style="75"/>
    <col min="4607" max="4607" width="8" style="75" customWidth="1"/>
    <col min="4608" max="4608" width="28.5" style="75" customWidth="1"/>
    <col min="4609" max="4620" width="9.125" style="75"/>
    <col min="4621" max="4621" width="10.625" style="75" customWidth="1"/>
    <col min="4622" max="4862" width="9.125" style="75"/>
    <col min="4863" max="4863" width="8" style="75" customWidth="1"/>
    <col min="4864" max="4864" width="28.5" style="75" customWidth="1"/>
    <col min="4865" max="4876" width="9.125" style="75"/>
    <col min="4877" max="4877" width="10.625" style="75" customWidth="1"/>
    <col min="4878" max="5118" width="9.125" style="75"/>
    <col min="5119" max="5119" width="8" style="75" customWidth="1"/>
    <col min="5120" max="5120" width="28.5" style="75" customWidth="1"/>
    <col min="5121" max="5132" width="9.125" style="75"/>
    <col min="5133" max="5133" width="10.625" style="75" customWidth="1"/>
    <col min="5134" max="5374" width="9.125" style="75"/>
    <col min="5375" max="5375" width="8" style="75" customWidth="1"/>
    <col min="5376" max="5376" width="28.5" style="75" customWidth="1"/>
    <col min="5377" max="5388" width="9.125" style="75"/>
    <col min="5389" max="5389" width="10.625" style="75" customWidth="1"/>
    <col min="5390" max="5630" width="9.125" style="75"/>
    <col min="5631" max="5631" width="8" style="75" customWidth="1"/>
    <col min="5632" max="5632" width="28.5" style="75" customWidth="1"/>
    <col min="5633" max="5644" width="9.125" style="75"/>
    <col min="5645" max="5645" width="10.625" style="75" customWidth="1"/>
    <col min="5646" max="5886" width="9.125" style="75"/>
    <col min="5887" max="5887" width="8" style="75" customWidth="1"/>
    <col min="5888" max="5888" width="28.5" style="75" customWidth="1"/>
    <col min="5889" max="5900" width="9.125" style="75"/>
    <col min="5901" max="5901" width="10.625" style="75" customWidth="1"/>
    <col min="5902" max="6142" width="9.125" style="75"/>
    <col min="6143" max="6143" width="8" style="75" customWidth="1"/>
    <col min="6144" max="6144" width="28.5" style="75" customWidth="1"/>
    <col min="6145" max="6156" width="9.125" style="75"/>
    <col min="6157" max="6157" width="10.625" style="75" customWidth="1"/>
    <col min="6158" max="6398" width="9.125" style="75"/>
    <col min="6399" max="6399" width="8" style="75" customWidth="1"/>
    <col min="6400" max="6400" width="28.5" style="75" customWidth="1"/>
    <col min="6401" max="6412" width="9.125" style="75"/>
    <col min="6413" max="6413" width="10.625" style="75" customWidth="1"/>
    <col min="6414" max="6654" width="9.125" style="75"/>
    <col min="6655" max="6655" width="8" style="75" customWidth="1"/>
    <col min="6656" max="6656" width="28.5" style="75" customWidth="1"/>
    <col min="6657" max="6668" width="9.125" style="75"/>
    <col min="6669" max="6669" width="10.625" style="75" customWidth="1"/>
    <col min="6670" max="6910" width="9.125" style="75"/>
    <col min="6911" max="6911" width="8" style="75" customWidth="1"/>
    <col min="6912" max="6912" width="28.5" style="75" customWidth="1"/>
    <col min="6913" max="6924" width="9.125" style="75"/>
    <col min="6925" max="6925" width="10.625" style="75" customWidth="1"/>
    <col min="6926" max="7166" width="9.125" style="75"/>
    <col min="7167" max="7167" width="8" style="75" customWidth="1"/>
    <col min="7168" max="7168" width="28.5" style="75" customWidth="1"/>
    <col min="7169" max="7180" width="9.125" style="75"/>
    <col min="7181" max="7181" width="10.625" style="75" customWidth="1"/>
    <col min="7182" max="7422" width="9.125" style="75"/>
    <col min="7423" max="7423" width="8" style="75" customWidth="1"/>
    <col min="7424" max="7424" width="28.5" style="75" customWidth="1"/>
    <col min="7425" max="7436" width="9.125" style="75"/>
    <col min="7437" max="7437" width="10.625" style="75" customWidth="1"/>
    <col min="7438" max="7678" width="9.125" style="75"/>
    <col min="7679" max="7679" width="8" style="75" customWidth="1"/>
    <col min="7680" max="7680" width="28.5" style="75" customWidth="1"/>
    <col min="7681" max="7692" width="9.125" style="75"/>
    <col min="7693" max="7693" width="10.625" style="75" customWidth="1"/>
    <col min="7694" max="7934" width="9.125" style="75"/>
    <col min="7935" max="7935" width="8" style="75" customWidth="1"/>
    <col min="7936" max="7936" width="28.5" style="75" customWidth="1"/>
    <col min="7937" max="7948" width="9.125" style="75"/>
    <col min="7949" max="7949" width="10.625" style="75" customWidth="1"/>
    <col min="7950" max="8190" width="9.125" style="75"/>
    <col min="8191" max="8191" width="8" style="75" customWidth="1"/>
    <col min="8192" max="8192" width="28.5" style="75" customWidth="1"/>
    <col min="8193" max="8204" width="9.125" style="75"/>
    <col min="8205" max="8205" width="10.625" style="75" customWidth="1"/>
    <col min="8206" max="8446" width="9.125" style="75"/>
    <col min="8447" max="8447" width="8" style="75" customWidth="1"/>
    <col min="8448" max="8448" width="28.5" style="75" customWidth="1"/>
    <col min="8449" max="8460" width="9.125" style="75"/>
    <col min="8461" max="8461" width="10.625" style="75" customWidth="1"/>
    <col min="8462" max="8702" width="9.125" style="75"/>
    <col min="8703" max="8703" width="8" style="75" customWidth="1"/>
    <col min="8704" max="8704" width="28.5" style="75" customWidth="1"/>
    <col min="8705" max="8716" width="9.125" style="75"/>
    <col min="8717" max="8717" width="10.625" style="75" customWidth="1"/>
    <col min="8718" max="8958" width="9.125" style="75"/>
    <col min="8959" max="8959" width="8" style="75" customWidth="1"/>
    <col min="8960" max="8960" width="28.5" style="75" customWidth="1"/>
    <col min="8961" max="8972" width="9.125" style="75"/>
    <col min="8973" max="8973" width="10.625" style="75" customWidth="1"/>
    <col min="8974" max="9214" width="9.125" style="75"/>
    <col min="9215" max="9215" width="8" style="75" customWidth="1"/>
    <col min="9216" max="9216" width="28.5" style="75" customWidth="1"/>
    <col min="9217" max="9228" width="9.125" style="75"/>
    <col min="9229" max="9229" width="10.625" style="75" customWidth="1"/>
    <col min="9230" max="9470" width="9.125" style="75"/>
    <col min="9471" max="9471" width="8" style="75" customWidth="1"/>
    <col min="9472" max="9472" width="28.5" style="75" customWidth="1"/>
    <col min="9473" max="9484" width="9.125" style="75"/>
    <col min="9485" max="9485" width="10.625" style="75" customWidth="1"/>
    <col min="9486" max="9726" width="9.125" style="75"/>
    <col min="9727" max="9727" width="8" style="75" customWidth="1"/>
    <col min="9728" max="9728" width="28.5" style="75" customWidth="1"/>
    <col min="9729" max="9740" width="9.125" style="75"/>
    <col min="9741" max="9741" width="10.625" style="75" customWidth="1"/>
    <col min="9742" max="9982" width="9.125" style="75"/>
    <col min="9983" max="9983" width="8" style="75" customWidth="1"/>
    <col min="9984" max="9984" width="28.5" style="75" customWidth="1"/>
    <col min="9985" max="9996" width="9.125" style="75"/>
    <col min="9997" max="9997" width="10.625" style="75" customWidth="1"/>
    <col min="9998" max="10238" width="9.125" style="75"/>
    <col min="10239" max="10239" width="8" style="75" customWidth="1"/>
    <col min="10240" max="10240" width="28.5" style="75" customWidth="1"/>
    <col min="10241" max="10252" width="9.125" style="75"/>
    <col min="10253" max="10253" width="10.625" style="75" customWidth="1"/>
    <col min="10254" max="10494" width="9.125" style="75"/>
    <col min="10495" max="10495" width="8" style="75" customWidth="1"/>
    <col min="10496" max="10496" width="28.5" style="75" customWidth="1"/>
    <col min="10497" max="10508" width="9.125" style="75"/>
    <col min="10509" max="10509" width="10.625" style="75" customWidth="1"/>
    <col min="10510" max="10750" width="9.125" style="75"/>
    <col min="10751" max="10751" width="8" style="75" customWidth="1"/>
    <col min="10752" max="10752" width="28.5" style="75" customWidth="1"/>
    <col min="10753" max="10764" width="9.125" style="75"/>
    <col min="10765" max="10765" width="10.625" style="75" customWidth="1"/>
    <col min="10766" max="11006" width="9.125" style="75"/>
    <col min="11007" max="11007" width="8" style="75" customWidth="1"/>
    <col min="11008" max="11008" width="28.5" style="75" customWidth="1"/>
    <col min="11009" max="11020" width="9.125" style="75"/>
    <col min="11021" max="11021" width="10.625" style="75" customWidth="1"/>
    <col min="11022" max="11262" width="9.125" style="75"/>
    <col min="11263" max="11263" width="8" style="75" customWidth="1"/>
    <col min="11264" max="11264" width="28.5" style="75" customWidth="1"/>
    <col min="11265" max="11276" width="9.125" style="75"/>
    <col min="11277" max="11277" width="10.625" style="75" customWidth="1"/>
    <col min="11278" max="11518" width="9.125" style="75"/>
    <col min="11519" max="11519" width="8" style="75" customWidth="1"/>
    <col min="11520" max="11520" width="28.5" style="75" customWidth="1"/>
    <col min="11521" max="11532" width="9.125" style="75"/>
    <col min="11533" max="11533" width="10.625" style="75" customWidth="1"/>
    <col min="11534" max="11774" width="9.125" style="75"/>
    <col min="11775" max="11775" width="8" style="75" customWidth="1"/>
    <col min="11776" max="11776" width="28.5" style="75" customWidth="1"/>
    <col min="11777" max="11788" width="9.125" style="75"/>
    <col min="11789" max="11789" width="10.625" style="75" customWidth="1"/>
    <col min="11790" max="12030" width="9.125" style="75"/>
    <col min="12031" max="12031" width="8" style="75" customWidth="1"/>
    <col min="12032" max="12032" width="28.5" style="75" customWidth="1"/>
    <col min="12033" max="12044" width="9.125" style="75"/>
    <col min="12045" max="12045" width="10.625" style="75" customWidth="1"/>
    <col min="12046" max="12286" width="9.125" style="75"/>
    <col min="12287" max="12287" width="8" style="75" customWidth="1"/>
    <col min="12288" max="12288" width="28.5" style="75" customWidth="1"/>
    <col min="12289" max="12300" width="9.125" style="75"/>
    <col min="12301" max="12301" width="10.625" style="75" customWidth="1"/>
    <col min="12302" max="12542" width="9.125" style="75"/>
    <col min="12543" max="12543" width="8" style="75" customWidth="1"/>
    <col min="12544" max="12544" width="28.5" style="75" customWidth="1"/>
    <col min="12545" max="12556" width="9.125" style="75"/>
    <col min="12557" max="12557" width="10.625" style="75" customWidth="1"/>
    <col min="12558" max="12798" width="9.125" style="75"/>
    <col min="12799" max="12799" width="8" style="75" customWidth="1"/>
    <col min="12800" max="12800" width="28.5" style="75" customWidth="1"/>
    <col min="12801" max="12812" width="9.125" style="75"/>
    <col min="12813" max="12813" width="10.625" style="75" customWidth="1"/>
    <col min="12814" max="13054" width="9.125" style="75"/>
    <col min="13055" max="13055" width="8" style="75" customWidth="1"/>
    <col min="13056" max="13056" width="28.5" style="75" customWidth="1"/>
    <col min="13057" max="13068" width="9.125" style="75"/>
    <col min="13069" max="13069" width="10.625" style="75" customWidth="1"/>
    <col min="13070" max="13310" width="9.125" style="75"/>
    <col min="13311" max="13311" width="8" style="75" customWidth="1"/>
    <col min="13312" max="13312" width="28.5" style="75" customWidth="1"/>
    <col min="13313" max="13324" width="9.125" style="75"/>
    <col min="13325" max="13325" width="10.625" style="75" customWidth="1"/>
    <col min="13326" max="13566" width="9.125" style="75"/>
    <col min="13567" max="13567" width="8" style="75" customWidth="1"/>
    <col min="13568" max="13568" width="28.5" style="75" customWidth="1"/>
    <col min="13569" max="13580" width="9.125" style="75"/>
    <col min="13581" max="13581" width="10.625" style="75" customWidth="1"/>
    <col min="13582" max="13822" width="9.125" style="75"/>
    <col min="13823" max="13823" width="8" style="75" customWidth="1"/>
    <col min="13824" max="13824" width="28.5" style="75" customWidth="1"/>
    <col min="13825" max="13836" width="9.125" style="75"/>
    <col min="13837" max="13837" width="10.625" style="75" customWidth="1"/>
    <col min="13838" max="14078" width="9.125" style="75"/>
    <col min="14079" max="14079" width="8" style="75" customWidth="1"/>
    <col min="14080" max="14080" width="28.5" style="75" customWidth="1"/>
    <col min="14081" max="14092" width="9.125" style="75"/>
    <col min="14093" max="14093" width="10.625" style="75" customWidth="1"/>
    <col min="14094" max="14334" width="9.125" style="75"/>
    <col min="14335" max="14335" width="8" style="75" customWidth="1"/>
    <col min="14336" max="14336" width="28.5" style="75" customWidth="1"/>
    <col min="14337" max="14348" width="9.125" style="75"/>
    <col min="14349" max="14349" width="10.625" style="75" customWidth="1"/>
    <col min="14350" max="14590" width="9.125" style="75"/>
    <col min="14591" max="14591" width="8" style="75" customWidth="1"/>
    <col min="14592" max="14592" width="28.5" style="75" customWidth="1"/>
    <col min="14593" max="14604" width="9.125" style="75"/>
    <col min="14605" max="14605" width="10.625" style="75" customWidth="1"/>
    <col min="14606" max="14846" width="9.125" style="75"/>
    <col min="14847" max="14847" width="8" style="75" customWidth="1"/>
    <col min="14848" max="14848" width="28.5" style="75" customWidth="1"/>
    <col min="14849" max="14860" width="9.125" style="75"/>
    <col min="14861" max="14861" width="10.625" style="75" customWidth="1"/>
    <col min="14862" max="15102" width="9.125" style="75"/>
    <col min="15103" max="15103" width="8" style="75" customWidth="1"/>
    <col min="15104" max="15104" width="28.5" style="75" customWidth="1"/>
    <col min="15105" max="15116" width="9.125" style="75"/>
    <col min="15117" max="15117" width="10.625" style="75" customWidth="1"/>
    <col min="15118" max="15358" width="9.125" style="75"/>
    <col min="15359" max="15359" width="8" style="75" customWidth="1"/>
    <col min="15360" max="15360" width="28.5" style="75" customWidth="1"/>
    <col min="15361" max="15372" width="9.125" style="75"/>
    <col min="15373" max="15373" width="10.625" style="75" customWidth="1"/>
    <col min="15374" max="15614" width="9.125" style="75"/>
    <col min="15615" max="15615" width="8" style="75" customWidth="1"/>
    <col min="15616" max="15616" width="28.5" style="75" customWidth="1"/>
    <col min="15617" max="15628" width="9.125" style="75"/>
    <col min="15629" max="15629" width="10.625" style="75" customWidth="1"/>
    <col min="15630" max="15870" width="9.125" style="75"/>
    <col min="15871" max="15871" width="8" style="75" customWidth="1"/>
    <col min="15872" max="15872" width="28.5" style="75" customWidth="1"/>
    <col min="15873" max="15884" width="9.125" style="75"/>
    <col min="15885" max="15885" width="10.625" style="75" customWidth="1"/>
    <col min="15886" max="16126" width="9.125" style="75"/>
    <col min="16127" max="16127" width="8" style="75" customWidth="1"/>
    <col min="16128" max="16128" width="28.5" style="75" customWidth="1"/>
    <col min="16129" max="16140" width="9.125" style="75"/>
    <col min="16141" max="16141" width="10.625" style="75" customWidth="1"/>
    <col min="16142" max="16384" width="9.125" style="75"/>
  </cols>
  <sheetData>
    <row r="1" spans="1:13" ht="18.75">
      <c r="A1" s="76" t="s">
        <v>115</v>
      </c>
      <c r="B1" s="77"/>
      <c r="C1" s="78"/>
      <c r="D1" s="78"/>
      <c r="E1" s="77"/>
      <c r="F1" s="78"/>
      <c r="G1" s="78"/>
      <c r="H1" s="77"/>
      <c r="I1" s="78"/>
      <c r="J1" s="78"/>
      <c r="K1" s="78"/>
      <c r="L1" s="78"/>
      <c r="M1" s="78"/>
    </row>
    <row r="2" spans="1:13" ht="12">
      <c r="A2" s="75" t="s">
        <v>116</v>
      </c>
      <c r="B2" s="79"/>
    </row>
    <row r="3" spans="1:13" ht="16.899999999999999" customHeight="1">
      <c r="A3" s="80" t="s">
        <v>17</v>
      </c>
      <c r="B3" s="80" t="s">
        <v>117</v>
      </c>
      <c r="C3" s="199" t="s">
        <v>118</v>
      </c>
      <c r="D3" s="199"/>
      <c r="E3" s="199"/>
      <c r="F3" s="82"/>
      <c r="G3" s="83"/>
      <c r="H3" s="84"/>
      <c r="I3" s="84"/>
      <c r="J3" s="84" t="s">
        <v>119</v>
      </c>
      <c r="K3" s="84"/>
      <c r="L3" s="84"/>
      <c r="M3" s="105"/>
    </row>
    <row r="4" spans="1:13" ht="16.149999999999999" customHeight="1">
      <c r="A4" s="85"/>
      <c r="B4" s="85" t="s">
        <v>120</v>
      </c>
      <c r="C4" s="81">
        <v>2017</v>
      </c>
      <c r="D4" s="81">
        <f t="shared" ref="D4:L4" si="0">C4+1</f>
        <v>2018</v>
      </c>
      <c r="E4" s="81">
        <f t="shared" si="0"/>
        <v>2019</v>
      </c>
      <c r="F4" s="81">
        <f t="shared" si="0"/>
        <v>2020</v>
      </c>
      <c r="G4" s="81">
        <f t="shared" si="0"/>
        <v>2021</v>
      </c>
      <c r="H4" s="86">
        <f t="shared" si="0"/>
        <v>2022</v>
      </c>
      <c r="I4" s="86">
        <f t="shared" si="0"/>
        <v>2023</v>
      </c>
      <c r="J4" s="86">
        <f t="shared" si="0"/>
        <v>2024</v>
      </c>
      <c r="K4" s="86">
        <f t="shared" si="0"/>
        <v>2025</v>
      </c>
      <c r="L4" s="86">
        <f t="shared" si="0"/>
        <v>2026</v>
      </c>
      <c r="M4" s="106" t="s">
        <v>121</v>
      </c>
    </row>
    <row r="5" spans="1:13" ht="15.6" customHeight="1">
      <c r="A5" s="87">
        <v>1</v>
      </c>
      <c r="B5" s="88" t="s">
        <v>122</v>
      </c>
      <c r="C5" s="89">
        <f>SUM(C6:C9)</f>
        <v>0</v>
      </c>
      <c r="D5" s="89">
        <f t="shared" ref="D5:L5" si="1">SUM(D6:D9)</f>
        <v>0</v>
      </c>
      <c r="E5" s="89" t="e">
        <f t="shared" si="1"/>
        <v>#REF!</v>
      </c>
      <c r="F5" s="89">
        <f t="shared" si="1"/>
        <v>8369880</v>
      </c>
      <c r="G5" s="89">
        <f t="shared" si="1"/>
        <v>8369880</v>
      </c>
      <c r="H5" s="89">
        <f t="shared" si="1"/>
        <v>8369880</v>
      </c>
      <c r="I5" s="89" t="e">
        <f t="shared" si="1"/>
        <v>#REF!</v>
      </c>
      <c r="J5" s="89" t="e">
        <f t="shared" si="1"/>
        <v>#REF!</v>
      </c>
      <c r="K5" s="89" t="e">
        <f t="shared" si="1"/>
        <v>#REF!</v>
      </c>
      <c r="L5" s="89">
        <f t="shared" si="1"/>
        <v>41849400</v>
      </c>
      <c r="M5" s="93" t="e">
        <f t="shared" ref="M5:M17" si="2">SUM(C5:L5)</f>
        <v>#REF!</v>
      </c>
    </row>
    <row r="6" spans="1:13" ht="15.6" customHeight="1">
      <c r="A6" s="87">
        <v>1.1000000000000001</v>
      </c>
      <c r="B6" s="90" t="s">
        <v>123</v>
      </c>
      <c r="C6" s="91"/>
      <c r="D6" s="91"/>
      <c r="E6" s="91" t="e">
        <f>损益表!#REF!</f>
        <v>#REF!</v>
      </c>
      <c r="F6" s="91">
        <f>损益表!C4</f>
        <v>8369880</v>
      </c>
      <c r="G6" s="91">
        <f>损益表!D4</f>
        <v>8369880</v>
      </c>
      <c r="H6" s="91">
        <f>损益表!E4</f>
        <v>8369880</v>
      </c>
      <c r="I6" s="91" t="e">
        <f>损益表!#REF!</f>
        <v>#REF!</v>
      </c>
      <c r="J6" s="91" t="e">
        <f>损益表!#REF!</f>
        <v>#REF!</v>
      </c>
      <c r="K6" s="91" t="e">
        <f>损益表!#REF!</f>
        <v>#REF!</v>
      </c>
      <c r="L6" s="91">
        <f>损益表!H4</f>
        <v>41849400</v>
      </c>
      <c r="M6" s="93" t="e">
        <f t="shared" si="2"/>
        <v>#REF!</v>
      </c>
    </row>
    <row r="7" spans="1:13" ht="15.6" customHeight="1">
      <c r="A7" s="87">
        <v>1.2</v>
      </c>
      <c r="B7" s="90" t="s">
        <v>124</v>
      </c>
      <c r="C7" s="91"/>
      <c r="D7" s="91"/>
      <c r="E7" s="91">
        <f>[1]折、摊!G18</f>
        <v>0</v>
      </c>
      <c r="F7" s="91">
        <f>[1]折、摊!H18</f>
        <v>0</v>
      </c>
      <c r="G7" s="91">
        <f>[1]折、摊!I18</f>
        <v>0</v>
      </c>
      <c r="H7" s="91">
        <f>[1]折、摊!J18</f>
        <v>0</v>
      </c>
      <c r="I7" s="91">
        <f>[1]折、摊!K18</f>
        <v>0</v>
      </c>
      <c r="J7" s="91">
        <f>[1]折、摊!L18</f>
        <v>0</v>
      </c>
      <c r="K7" s="91">
        <f>[1]折、摊!M18</f>
        <v>0</v>
      </c>
      <c r="L7" s="91">
        <f>[1]折、摊!N18</f>
        <v>0</v>
      </c>
      <c r="M7" s="93">
        <f t="shared" si="2"/>
        <v>0</v>
      </c>
    </row>
    <row r="8" spans="1:13" ht="15.6" customHeight="1">
      <c r="A8" s="87">
        <v>1.3</v>
      </c>
      <c r="B8" s="90" t="s">
        <v>125</v>
      </c>
      <c r="C8" s="91" t="s">
        <v>126</v>
      </c>
      <c r="D8" s="91" t="s">
        <v>126</v>
      </c>
      <c r="E8" s="91" t="s">
        <v>126</v>
      </c>
      <c r="F8" s="91" t="s">
        <v>126</v>
      </c>
      <c r="G8" s="91" t="s">
        <v>126</v>
      </c>
      <c r="H8" s="91" t="s">
        <v>126</v>
      </c>
      <c r="I8" s="91" t="s">
        <v>126</v>
      </c>
      <c r="J8" s="91" t="s">
        <v>126</v>
      </c>
      <c r="K8" s="91" t="s">
        <v>126</v>
      </c>
      <c r="L8" s="91"/>
      <c r="M8" s="93">
        <f t="shared" si="2"/>
        <v>0</v>
      </c>
    </row>
    <row r="9" spans="1:13" s="74" customFormat="1" ht="15.6" customHeight="1">
      <c r="A9" s="92">
        <v>1.4</v>
      </c>
      <c r="B9" s="93" t="s">
        <v>127</v>
      </c>
      <c r="C9" s="91" t="s">
        <v>126</v>
      </c>
      <c r="D9" s="91" t="s">
        <v>126</v>
      </c>
      <c r="E9" s="91" t="s">
        <v>126</v>
      </c>
      <c r="F9" s="91" t="s">
        <v>126</v>
      </c>
      <c r="G9" s="91" t="s">
        <v>126</v>
      </c>
      <c r="H9" s="91" t="s">
        <v>126</v>
      </c>
      <c r="I9" s="91" t="s">
        <v>126</v>
      </c>
      <c r="J9" s="91" t="s">
        <v>126</v>
      </c>
      <c r="K9" s="91" t="s">
        <v>126</v>
      </c>
      <c r="L9" s="91" t="s">
        <v>126</v>
      </c>
      <c r="M9" s="93">
        <f t="shared" si="2"/>
        <v>0</v>
      </c>
    </row>
    <row r="10" spans="1:13" ht="15.6" customHeight="1">
      <c r="A10" s="92">
        <v>2</v>
      </c>
      <c r="B10" s="88" t="s">
        <v>128</v>
      </c>
      <c r="C10" s="89">
        <f t="shared" ref="C10:L10" si="3">SUM(C11:C16)</f>
        <v>0</v>
      </c>
      <c r="D10" s="89">
        <f t="shared" si="3"/>
        <v>0</v>
      </c>
      <c r="E10" s="89">
        <f t="shared" si="3"/>
        <v>0</v>
      </c>
      <c r="F10" s="89">
        <f t="shared" si="3"/>
        <v>0</v>
      </c>
      <c r="G10" s="89">
        <f t="shared" si="3"/>
        <v>0</v>
      </c>
      <c r="H10" s="89">
        <f t="shared" si="3"/>
        <v>0</v>
      </c>
      <c r="I10" s="89">
        <f t="shared" si="3"/>
        <v>0</v>
      </c>
      <c r="J10" s="89">
        <f t="shared" si="3"/>
        <v>0</v>
      </c>
      <c r="K10" s="89">
        <f t="shared" si="3"/>
        <v>0</v>
      </c>
      <c r="L10" s="89">
        <f t="shared" si="3"/>
        <v>0</v>
      </c>
      <c r="M10" s="93">
        <f t="shared" si="2"/>
        <v>0</v>
      </c>
    </row>
    <row r="11" spans="1:13" ht="15" customHeight="1">
      <c r="A11" s="87">
        <v>2.1</v>
      </c>
      <c r="B11" s="87" t="s">
        <v>129</v>
      </c>
      <c r="C11" s="91">
        <f>([1]计划!C6-[1]计划!C7)</f>
        <v>0</v>
      </c>
      <c r="D11" s="91">
        <f>([1]计划!D6-[1]计划!D7)</f>
        <v>0</v>
      </c>
      <c r="E11" s="91">
        <f>([1]计划!E6-[1]计划!E7)</f>
        <v>0</v>
      </c>
      <c r="F11" s="91">
        <f>([1]计划!F6-[1]计划!F7)</f>
        <v>0</v>
      </c>
      <c r="G11" s="91">
        <f>([1]计划!G6-[1]计划!G7)</f>
        <v>0</v>
      </c>
      <c r="H11" s="91">
        <f>([1]计划!H6-[1]计划!H7)</f>
        <v>0</v>
      </c>
      <c r="I11" s="91">
        <f>([1]计划!I6-[1]计划!I7)</f>
        <v>0</v>
      </c>
      <c r="J11" s="91">
        <f>([1]计划!J6-[1]计划!J7)</f>
        <v>0</v>
      </c>
      <c r="K11" s="91">
        <f>([1]计划!K6-[1]计划!K7)</f>
        <v>0</v>
      </c>
      <c r="L11" s="91">
        <f>([1]计划!L6-[1]计划!L7)</f>
        <v>0</v>
      </c>
      <c r="M11" s="93">
        <f t="shared" si="2"/>
        <v>0</v>
      </c>
    </row>
    <row r="12" spans="1:13" s="74" customFormat="1" ht="15" customHeight="1">
      <c r="A12" s="87">
        <v>2.2000000000000002</v>
      </c>
      <c r="B12" s="93" t="s">
        <v>130</v>
      </c>
      <c r="C12" s="91">
        <f>[1]计划!C8</f>
        <v>0</v>
      </c>
      <c r="D12" s="91">
        <f>[1]计划!D8</f>
        <v>0</v>
      </c>
      <c r="E12" s="91">
        <f>[1]计划!E8</f>
        <v>0</v>
      </c>
      <c r="F12" s="91">
        <f>[1]计划!F8</f>
        <v>0</v>
      </c>
      <c r="G12" s="91">
        <f>[1]计划!G8</f>
        <v>0</v>
      </c>
      <c r="H12" s="91">
        <f>[1]计划!H8</f>
        <v>0</v>
      </c>
      <c r="I12" s="91">
        <f>[1]计划!I8</f>
        <v>0</v>
      </c>
      <c r="J12" s="91">
        <f>[1]计划!J8</f>
        <v>0</v>
      </c>
      <c r="K12" s="91">
        <f>[1]计划!K8</f>
        <v>0</v>
      </c>
      <c r="L12" s="91">
        <f>[1]计划!L8</f>
        <v>0</v>
      </c>
      <c r="M12" s="93">
        <f t="shared" si="2"/>
        <v>0</v>
      </c>
    </row>
    <row r="13" spans="1:13" ht="15" customHeight="1">
      <c r="A13" s="87">
        <v>2.2999999999999998</v>
      </c>
      <c r="B13" s="90" t="s">
        <v>131</v>
      </c>
      <c r="C13" s="91">
        <f>[1]总成本!C22</f>
        <v>0</v>
      </c>
      <c r="D13" s="91">
        <f>[1]总成本!D22</f>
        <v>0</v>
      </c>
      <c r="E13" s="91">
        <f>[1]总成本!E22</f>
        <v>0</v>
      </c>
      <c r="F13" s="91">
        <f>[1]总成本!F22</f>
        <v>0</v>
      </c>
      <c r="G13" s="91">
        <f>[1]总成本!G22</f>
        <v>0</v>
      </c>
      <c r="H13" s="91">
        <f>[1]总成本!H22</f>
        <v>0</v>
      </c>
      <c r="I13" s="91">
        <f>[1]总成本!I22</f>
        <v>0</v>
      </c>
      <c r="J13" s="91">
        <f>[1]总成本!J22</f>
        <v>0</v>
      </c>
      <c r="K13" s="91">
        <f>[1]总成本!K22</f>
        <v>0</v>
      </c>
      <c r="L13" s="91">
        <f>[1]总成本!L22</f>
        <v>0</v>
      </c>
      <c r="M13" s="93">
        <f t="shared" si="2"/>
        <v>0</v>
      </c>
    </row>
    <row r="14" spans="1:13" ht="15" customHeight="1">
      <c r="A14" s="87">
        <v>2.4</v>
      </c>
      <c r="B14" s="90" t="s">
        <v>132</v>
      </c>
      <c r="C14" s="91">
        <f>[1]价格!D15</f>
        <v>0</v>
      </c>
      <c r="D14" s="91">
        <f>[1]价格!E15</f>
        <v>0</v>
      </c>
      <c r="E14" s="91">
        <f>[1]价格!F15</f>
        <v>0</v>
      </c>
      <c r="F14" s="91">
        <f>[1]价格!G15</f>
        <v>0</v>
      </c>
      <c r="G14" s="91">
        <f>[1]价格!H15</f>
        <v>0</v>
      </c>
      <c r="H14" s="91">
        <f>[1]价格!I15</f>
        <v>0</v>
      </c>
      <c r="I14" s="91">
        <f>[1]价格!J15</f>
        <v>0</v>
      </c>
      <c r="J14" s="91">
        <f>[1]价格!K15</f>
        <v>0</v>
      </c>
      <c r="K14" s="91">
        <f>[1]价格!L15</f>
        <v>0</v>
      </c>
      <c r="L14" s="91">
        <f>[1]价格!M15</f>
        <v>0</v>
      </c>
      <c r="M14" s="93">
        <f t="shared" si="2"/>
        <v>0</v>
      </c>
    </row>
    <row r="15" spans="1:13" ht="15" customHeight="1">
      <c r="A15" s="87">
        <v>2.5</v>
      </c>
      <c r="B15" s="90" t="s">
        <v>58</v>
      </c>
      <c r="C15" s="91">
        <f>[1]利润!C13</f>
        <v>0</v>
      </c>
      <c r="D15" s="91">
        <f>[1]利润!D13</f>
        <v>0</v>
      </c>
      <c r="E15" s="91">
        <f>[1]利润!E13</f>
        <v>0</v>
      </c>
      <c r="F15" s="91">
        <f>[1]利润!F13</f>
        <v>0</v>
      </c>
      <c r="G15" s="91">
        <f>[1]利润!G13</f>
        <v>0</v>
      </c>
      <c r="H15" s="91">
        <f>[1]利润!H13</f>
        <v>0</v>
      </c>
      <c r="I15" s="91">
        <f>[1]利润!I13</f>
        <v>0</v>
      </c>
      <c r="J15" s="91">
        <f>[1]利润!J13</f>
        <v>0</v>
      </c>
      <c r="K15" s="91">
        <f>[1]利润!K13</f>
        <v>0</v>
      </c>
      <c r="L15" s="91">
        <f>[1]利润!L13</f>
        <v>0</v>
      </c>
      <c r="M15" s="93">
        <f t="shared" si="2"/>
        <v>0</v>
      </c>
    </row>
    <row r="16" spans="1:13" ht="15" customHeight="1">
      <c r="A16" s="87">
        <v>2.6</v>
      </c>
      <c r="B16" s="90" t="s">
        <v>133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3">
        <f t="shared" si="2"/>
        <v>0</v>
      </c>
    </row>
    <row r="17" spans="1:18" ht="12">
      <c r="A17" s="87">
        <v>3</v>
      </c>
      <c r="B17" s="88" t="s">
        <v>134</v>
      </c>
      <c r="C17" s="89">
        <f t="shared" ref="C17:L17" si="4">C5-C10</f>
        <v>0</v>
      </c>
      <c r="D17" s="89">
        <f t="shared" si="4"/>
        <v>0</v>
      </c>
      <c r="E17" s="89" t="e">
        <f t="shared" si="4"/>
        <v>#REF!</v>
      </c>
      <c r="F17" s="89">
        <f t="shared" si="4"/>
        <v>8369880</v>
      </c>
      <c r="G17" s="89">
        <f t="shared" si="4"/>
        <v>8369880</v>
      </c>
      <c r="H17" s="89">
        <f t="shared" si="4"/>
        <v>8369880</v>
      </c>
      <c r="I17" s="89" t="e">
        <f t="shared" si="4"/>
        <v>#REF!</v>
      </c>
      <c r="J17" s="89" t="e">
        <f t="shared" si="4"/>
        <v>#REF!</v>
      </c>
      <c r="K17" s="89" t="e">
        <f t="shared" si="4"/>
        <v>#REF!</v>
      </c>
      <c r="L17" s="89">
        <f t="shared" si="4"/>
        <v>41849400</v>
      </c>
      <c r="M17" s="93" t="e">
        <f t="shared" si="2"/>
        <v>#REF!</v>
      </c>
    </row>
    <row r="18" spans="1:18" ht="12">
      <c r="A18" s="94">
        <v>4</v>
      </c>
      <c r="B18" s="90" t="s">
        <v>135</v>
      </c>
      <c r="C18" s="91">
        <f>C17</f>
        <v>0</v>
      </c>
      <c r="D18" s="91">
        <f t="shared" ref="D18:L18" si="5">C18+D17</f>
        <v>0</v>
      </c>
      <c r="E18" s="91" t="e">
        <f t="shared" si="5"/>
        <v>#REF!</v>
      </c>
      <c r="F18" s="91" t="e">
        <f t="shared" si="5"/>
        <v>#REF!</v>
      </c>
      <c r="G18" s="91" t="e">
        <f t="shared" si="5"/>
        <v>#REF!</v>
      </c>
      <c r="H18" s="91" t="e">
        <f t="shared" si="5"/>
        <v>#REF!</v>
      </c>
      <c r="I18" s="91" t="e">
        <f t="shared" si="5"/>
        <v>#REF!</v>
      </c>
      <c r="J18" s="91" t="e">
        <f t="shared" si="5"/>
        <v>#REF!</v>
      </c>
      <c r="K18" s="91" t="e">
        <f t="shared" si="5"/>
        <v>#REF!</v>
      </c>
      <c r="L18" s="91" t="e">
        <f t="shared" si="5"/>
        <v>#REF!</v>
      </c>
      <c r="M18" s="90" t="s">
        <v>126</v>
      </c>
    </row>
    <row r="19" spans="1:18" s="74" customFormat="1" ht="12">
      <c r="A19" s="94">
        <v>5</v>
      </c>
      <c r="B19" s="90" t="s">
        <v>136</v>
      </c>
      <c r="C19" s="91">
        <f t="shared" ref="C19:L19" si="6">C17+C15</f>
        <v>0</v>
      </c>
      <c r="D19" s="91">
        <f t="shared" si="6"/>
        <v>0</v>
      </c>
      <c r="E19" s="91" t="e">
        <f t="shared" si="6"/>
        <v>#REF!</v>
      </c>
      <c r="F19" s="91">
        <f t="shared" si="6"/>
        <v>8369880</v>
      </c>
      <c r="G19" s="91">
        <f t="shared" si="6"/>
        <v>8369880</v>
      </c>
      <c r="H19" s="91">
        <f t="shared" si="6"/>
        <v>8369880</v>
      </c>
      <c r="I19" s="91" t="e">
        <f t="shared" si="6"/>
        <v>#REF!</v>
      </c>
      <c r="J19" s="91" t="e">
        <f t="shared" si="6"/>
        <v>#REF!</v>
      </c>
      <c r="K19" s="91" t="e">
        <f t="shared" si="6"/>
        <v>#REF!</v>
      </c>
      <c r="L19" s="91">
        <f t="shared" si="6"/>
        <v>41849400</v>
      </c>
      <c r="M19" s="93" t="e">
        <f>SUM(C19:L19)</f>
        <v>#REF!</v>
      </c>
    </row>
    <row r="20" spans="1:18" s="74" customFormat="1" ht="12">
      <c r="A20" s="87">
        <v>6</v>
      </c>
      <c r="B20" s="90" t="s">
        <v>137</v>
      </c>
      <c r="C20" s="91">
        <f>C19</f>
        <v>0</v>
      </c>
      <c r="D20" s="91">
        <f t="shared" ref="D20:L20" si="7">C20+D19</f>
        <v>0</v>
      </c>
      <c r="E20" s="91" t="e">
        <f t="shared" si="7"/>
        <v>#REF!</v>
      </c>
      <c r="F20" s="91" t="e">
        <f t="shared" si="7"/>
        <v>#REF!</v>
      </c>
      <c r="G20" s="91" t="e">
        <f t="shared" si="7"/>
        <v>#REF!</v>
      </c>
      <c r="H20" s="91" t="e">
        <f t="shared" si="7"/>
        <v>#REF!</v>
      </c>
      <c r="I20" s="91" t="e">
        <f t="shared" si="7"/>
        <v>#REF!</v>
      </c>
      <c r="J20" s="91" t="e">
        <f t="shared" si="7"/>
        <v>#REF!</v>
      </c>
      <c r="K20" s="91" t="e">
        <f t="shared" si="7"/>
        <v>#REF!</v>
      </c>
      <c r="L20" s="91" t="e">
        <f t="shared" si="7"/>
        <v>#REF!</v>
      </c>
      <c r="M20" s="90" t="s">
        <v>126</v>
      </c>
    </row>
    <row r="21" spans="1:18" ht="12">
      <c r="A21" s="95"/>
      <c r="B21" s="96" t="s">
        <v>138</v>
      </c>
      <c r="C21" s="96"/>
      <c r="D21" s="96"/>
      <c r="E21" s="96" t="s">
        <v>139</v>
      </c>
      <c r="F21" s="96"/>
      <c r="G21" s="96"/>
      <c r="H21" s="96"/>
      <c r="I21" s="96" t="s">
        <v>140</v>
      </c>
      <c r="J21" s="96"/>
      <c r="K21" s="96"/>
      <c r="L21" s="96"/>
      <c r="M21" s="107"/>
    </row>
    <row r="22" spans="1:18" ht="12">
      <c r="A22" s="97"/>
      <c r="B22" s="98" t="s">
        <v>141</v>
      </c>
      <c r="C22" s="98"/>
      <c r="D22" s="99" t="s">
        <v>142</v>
      </c>
      <c r="E22" s="100" t="e">
        <f>IRR(C17:L17,0.15)</f>
        <v>#VALUE!</v>
      </c>
      <c r="F22" s="98"/>
      <c r="G22" s="98"/>
      <c r="H22" s="98"/>
      <c r="I22" s="100" t="e">
        <f>IRR(C19:L19,0.15)</f>
        <v>#VALUE!</v>
      </c>
      <c r="J22" s="98"/>
      <c r="K22" s="98"/>
      <c r="L22" s="98"/>
      <c r="M22" s="108"/>
    </row>
    <row r="23" spans="1:18" ht="12">
      <c r="A23" s="97"/>
      <c r="B23" s="98" t="s">
        <v>143</v>
      </c>
      <c r="C23" s="98"/>
      <c r="D23" s="98"/>
      <c r="E23" s="101" t="e">
        <f>NPV(0.12,C17:L17)</f>
        <v>#REF!</v>
      </c>
      <c r="F23" s="98"/>
      <c r="G23" s="98"/>
      <c r="H23" s="98"/>
      <c r="I23" s="101" t="e">
        <f>NPV(0.12,C19:L19)</f>
        <v>#REF!</v>
      </c>
      <c r="J23" s="98"/>
      <c r="K23" s="98"/>
      <c r="L23" s="98"/>
      <c r="M23" s="108"/>
      <c r="R23" s="75">
        <f>30.9-29.82</f>
        <v>1.0799999999999983</v>
      </c>
    </row>
    <row r="24" spans="1:18" ht="12">
      <c r="A24" s="102"/>
      <c r="B24" s="103" t="s">
        <v>144</v>
      </c>
      <c r="C24" s="103"/>
      <c r="D24" s="103"/>
      <c r="E24" s="104" t="e">
        <f>6-H18/I17</f>
        <v>#REF!</v>
      </c>
      <c r="F24" s="103"/>
      <c r="G24" s="103"/>
      <c r="H24" s="103"/>
      <c r="I24" s="104" t="e">
        <f>6-H20/I19</f>
        <v>#REF!</v>
      </c>
      <c r="J24" s="103"/>
      <c r="K24" s="103"/>
      <c r="L24" s="103"/>
      <c r="M24" s="109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15" sqref="I15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200" t="s">
        <v>145</v>
      </c>
      <c r="B1" s="200"/>
      <c r="C1" s="204" t="s">
        <v>244</v>
      </c>
      <c r="D1" s="205"/>
      <c r="E1" s="205"/>
      <c r="F1" s="205"/>
      <c r="G1" s="205"/>
      <c r="H1" s="205"/>
      <c r="I1" s="206"/>
    </row>
    <row r="2" spans="1:38">
      <c r="A2" s="200" t="s">
        <v>146</v>
      </c>
      <c r="B2" s="200"/>
      <c r="C2" s="207" t="s">
        <v>240</v>
      </c>
      <c r="D2" s="207"/>
      <c r="E2" s="207"/>
      <c r="F2" s="207"/>
      <c r="G2" s="207"/>
      <c r="H2" s="207"/>
      <c r="I2" s="207"/>
    </row>
    <row r="3" spans="1:38">
      <c r="A3" s="200" t="s">
        <v>147</v>
      </c>
      <c r="B3" s="200"/>
      <c r="C3" s="163" t="str">
        <f>销量!C5</f>
        <v>驾驶员座总成</v>
      </c>
      <c r="D3" s="163" t="str">
        <f>销量!D5</f>
        <v>副驾驶员座椅总成</v>
      </c>
      <c r="E3" s="163" t="str">
        <f>销量!E5</f>
        <v>驾驶员座椅总成</v>
      </c>
      <c r="F3" s="163" t="str">
        <f>销量!F5</f>
        <v>副驾驶员座椅总成</v>
      </c>
      <c r="G3" s="163" t="str">
        <f>销量!G5</f>
        <v>驾驶员座椅总成</v>
      </c>
      <c r="H3" s="163">
        <f>销量!H5</f>
        <v>0</v>
      </c>
      <c r="I3" s="201" t="s">
        <v>19</v>
      </c>
    </row>
    <row r="4" spans="1:38" ht="28.5">
      <c r="A4" s="200" t="s">
        <v>148</v>
      </c>
      <c r="B4" s="200"/>
      <c r="C4" s="163" t="str">
        <f>销量!C6</f>
        <v>6800010AH95-C00</v>
      </c>
      <c r="D4" s="163" t="str">
        <f>销量!D6</f>
        <v>6903010-H87-C006905100-H87-C006905020-H87-C00</v>
      </c>
      <c r="E4" s="163" t="str">
        <f>销量!E6</f>
        <v>6800010-H95-C00</v>
      </c>
      <c r="F4" s="163" t="str">
        <f>销量!F6</f>
        <v>6903010-H95-C00690510-H95-C006905020-H95-C00</v>
      </c>
      <c r="G4" s="163" t="str">
        <f>销量!G6</f>
        <v>6800010DH26-C00</v>
      </c>
      <c r="H4" s="163">
        <f>销量!H6</f>
        <v>0</v>
      </c>
      <c r="I4" s="202"/>
    </row>
    <row r="5" spans="1:38">
      <c r="A5" s="200" t="s">
        <v>149</v>
      </c>
      <c r="B5" s="200"/>
      <c r="C5" s="53"/>
      <c r="D5" s="53"/>
      <c r="E5" s="53"/>
      <c r="F5" s="53"/>
      <c r="G5" s="53"/>
      <c r="H5" s="53"/>
      <c r="I5" s="203"/>
      <c r="AL5" s="50" t="s">
        <v>20</v>
      </c>
    </row>
    <row r="6" spans="1:38" ht="17.25">
      <c r="A6" s="54" t="s">
        <v>17</v>
      </c>
      <c r="B6" s="55" t="s">
        <v>150</v>
      </c>
      <c r="C6" s="23">
        <f>销量!C9</f>
        <v>2000</v>
      </c>
      <c r="D6" s="23">
        <f>销量!D9</f>
        <v>2000</v>
      </c>
      <c r="E6" s="23">
        <f>销量!E9</f>
        <v>2000</v>
      </c>
      <c r="F6" s="23">
        <f>销量!F9</f>
        <v>2000</v>
      </c>
      <c r="G6" s="23">
        <f>销量!G9</f>
        <v>2000</v>
      </c>
      <c r="H6" s="23">
        <f>销量!H9</f>
        <v>0</v>
      </c>
      <c r="I6" s="56">
        <f>SUM(C6:H6)</f>
        <v>10000</v>
      </c>
      <c r="T6" s="55" t="s">
        <v>3</v>
      </c>
      <c r="AJ6" s="54" t="s">
        <v>17</v>
      </c>
      <c r="AK6" s="55" t="s">
        <v>3</v>
      </c>
      <c r="AL6" s="50" t="s">
        <v>21</v>
      </c>
    </row>
    <row r="7" spans="1:38">
      <c r="A7" s="52">
        <v>1</v>
      </c>
      <c r="B7" s="55" t="s">
        <v>22</v>
      </c>
      <c r="C7" s="56">
        <f>C6*销量!C8</f>
        <v>1760000</v>
      </c>
      <c r="D7" s="56">
        <f>D6*销量!D8</f>
        <v>768800</v>
      </c>
      <c r="E7" s="56">
        <f>E6*销量!E8</f>
        <v>2900000</v>
      </c>
      <c r="F7" s="56">
        <f>F6*销量!F8</f>
        <v>841080</v>
      </c>
      <c r="G7" s="56">
        <f>G6*销量!G8</f>
        <v>2100000</v>
      </c>
      <c r="H7" s="56">
        <f>H6*销量!H8</f>
        <v>0</v>
      </c>
      <c r="I7" s="56">
        <f>SUM(C7:H7)</f>
        <v>8369880</v>
      </c>
      <c r="J7" s="51"/>
      <c r="T7" s="55" t="s">
        <v>22</v>
      </c>
      <c r="AJ7" s="54" t="s">
        <v>23</v>
      </c>
      <c r="AK7" s="55" t="s">
        <v>22</v>
      </c>
      <c r="AL7" s="50" t="s">
        <v>21</v>
      </c>
    </row>
    <row r="8" spans="1:38">
      <c r="A8" s="52">
        <v>2</v>
      </c>
      <c r="B8" s="52" t="s">
        <v>24</v>
      </c>
      <c r="C8" s="56"/>
      <c r="D8" s="56"/>
      <c r="E8" s="56"/>
      <c r="F8" s="56"/>
      <c r="G8" s="56"/>
      <c r="H8" s="56"/>
      <c r="I8" s="56">
        <f>SUM(C8:H8)</f>
        <v>0</v>
      </c>
      <c r="J8" s="71"/>
      <c r="T8" s="52" t="s">
        <v>26</v>
      </c>
      <c r="AJ8" s="54" t="s">
        <v>25</v>
      </c>
      <c r="AK8" s="52" t="s">
        <v>26</v>
      </c>
      <c r="AL8" s="50" t="s">
        <v>21</v>
      </c>
    </row>
    <row r="9" spans="1:38">
      <c r="A9" s="52">
        <v>3</v>
      </c>
      <c r="B9" s="55" t="s">
        <v>27</v>
      </c>
      <c r="C9" s="56">
        <f>+C7-C8</f>
        <v>1760000</v>
      </c>
      <c r="D9" s="56">
        <f t="shared" ref="D9:H9" si="0">+D7-D8</f>
        <v>768800</v>
      </c>
      <c r="E9" s="56">
        <f t="shared" si="0"/>
        <v>2900000</v>
      </c>
      <c r="F9" s="56">
        <f t="shared" si="0"/>
        <v>841080</v>
      </c>
      <c r="G9" s="56">
        <f t="shared" si="0"/>
        <v>2100000</v>
      </c>
      <c r="H9" s="56">
        <f t="shared" si="0"/>
        <v>0</v>
      </c>
      <c r="I9" s="56">
        <f>SUM(C9:H9)</f>
        <v>8369880</v>
      </c>
      <c r="T9" s="55" t="s">
        <v>27</v>
      </c>
      <c r="AJ9" s="54" t="s">
        <v>28</v>
      </c>
      <c r="AK9" s="55" t="s">
        <v>27</v>
      </c>
      <c r="AL9" s="50" t="s">
        <v>29</v>
      </c>
    </row>
    <row r="10" spans="1:38">
      <c r="A10" s="52">
        <v>4</v>
      </c>
      <c r="B10" s="54" t="s">
        <v>30</v>
      </c>
      <c r="C10" s="56">
        <f>C6*材料成本!E18</f>
        <v>1548680</v>
      </c>
      <c r="D10" s="56">
        <f>D6*材料成本!E19</f>
        <v>608700</v>
      </c>
      <c r="E10" s="56">
        <f>E6*材料成本!E20</f>
        <v>2156000</v>
      </c>
      <c r="F10" s="56">
        <f>F6*材料成本!E21</f>
        <v>616460</v>
      </c>
      <c r="G10" s="56">
        <f>G6*材料成本!E22</f>
        <v>1410000</v>
      </c>
      <c r="H10" s="56"/>
      <c r="I10" s="56">
        <f>SUM(C10:H10)</f>
        <v>6339840</v>
      </c>
      <c r="T10" s="54" t="s">
        <v>30</v>
      </c>
      <c r="AJ10" s="54" t="s">
        <v>31</v>
      </c>
      <c r="AK10" s="54" t="s">
        <v>30</v>
      </c>
      <c r="AL10" s="50" t="s">
        <v>32</v>
      </c>
    </row>
    <row r="11" spans="1:38">
      <c r="A11" s="52">
        <v>5</v>
      </c>
      <c r="B11" s="54" t="s">
        <v>33</v>
      </c>
      <c r="C11" s="56">
        <f>+C6*C36</f>
        <v>98947.176015521414</v>
      </c>
      <c r="D11" s="56">
        <f t="shared" ref="D11:H11" si="1">+D6*D36</f>
        <v>43221.925523143669</v>
      </c>
      <c r="E11" s="56">
        <f t="shared" si="1"/>
        <v>163037.96048012053</v>
      </c>
      <c r="F11" s="56">
        <f t="shared" si="1"/>
        <v>47285.506138144745</v>
      </c>
      <c r="G11" s="56">
        <f t="shared" si="1"/>
        <v>118061.97138215623</v>
      </c>
      <c r="H11" s="56">
        <f t="shared" si="1"/>
        <v>0</v>
      </c>
      <c r="I11" s="56">
        <f t="shared" ref="I11:I15" si="2">SUM(C11:H11)</f>
        <v>470554.53953908663</v>
      </c>
      <c r="T11" s="54" t="s">
        <v>33</v>
      </c>
      <c r="AJ11" s="54" t="s">
        <v>34</v>
      </c>
      <c r="AK11" s="54" t="s">
        <v>33</v>
      </c>
    </row>
    <row r="12" spans="1:38">
      <c r="A12" s="52">
        <v>6</v>
      </c>
      <c r="B12" s="54" t="s">
        <v>35</v>
      </c>
      <c r="C12" s="56">
        <f>+C6*C37</f>
        <v>26533.741697894824</v>
      </c>
      <c r="D12" s="56">
        <f t="shared" ref="D12:H12" si="3">+D6*D37</f>
        <v>11590.420805307693</v>
      </c>
      <c r="E12" s="56">
        <f t="shared" si="3"/>
        <v>43720.369843122156</v>
      </c>
      <c r="F12" s="56">
        <f t="shared" si="3"/>
        <v>12680.113333673511</v>
      </c>
      <c r="G12" s="56">
        <f t="shared" si="3"/>
        <v>31659.57816226087</v>
      </c>
      <c r="H12" s="56">
        <f t="shared" si="3"/>
        <v>0</v>
      </c>
      <c r="I12" s="56">
        <f t="shared" si="2"/>
        <v>126184.22384225906</v>
      </c>
      <c r="T12" s="54" t="s">
        <v>35</v>
      </c>
      <c r="AJ12" s="54" t="s">
        <v>36</v>
      </c>
      <c r="AK12" s="54" t="s">
        <v>35</v>
      </c>
    </row>
    <row r="13" spans="1:38">
      <c r="A13" s="52">
        <v>7</v>
      </c>
      <c r="B13" s="54" t="s">
        <v>37</v>
      </c>
      <c r="C13" s="56">
        <f>+C6*C38</f>
        <v>70399.999999999985</v>
      </c>
      <c r="D13" s="56">
        <f t="shared" ref="D13:H13" si="4">+D6*D38</f>
        <v>73036</v>
      </c>
      <c r="E13" s="56">
        <f t="shared" si="4"/>
        <v>115999.99999999999</v>
      </c>
      <c r="F13" s="56">
        <f t="shared" si="4"/>
        <v>79902.600000000006</v>
      </c>
      <c r="G13" s="56">
        <f t="shared" si="4"/>
        <v>83999.999999999985</v>
      </c>
      <c r="H13" s="56">
        <f t="shared" si="4"/>
        <v>0</v>
      </c>
      <c r="I13" s="56">
        <f t="shared" si="2"/>
        <v>423338.6</v>
      </c>
      <c r="T13" s="54" t="s">
        <v>37</v>
      </c>
      <c r="AJ13" s="54" t="s">
        <v>38</v>
      </c>
      <c r="AK13" s="54" t="s">
        <v>37</v>
      </c>
      <c r="AL13" s="50" t="s">
        <v>21</v>
      </c>
    </row>
    <row r="14" spans="1:38">
      <c r="A14" s="52">
        <v>8</v>
      </c>
      <c r="B14" s="57" t="s">
        <v>39</v>
      </c>
      <c r="C14" s="56">
        <f>SUM(C11:C13)</f>
        <v>195880.91771341622</v>
      </c>
      <c r="D14" s="56">
        <f t="shared" ref="D14:H14" si="5">SUM(D11:D13)</f>
        <v>127848.34632845136</v>
      </c>
      <c r="E14" s="56">
        <f t="shared" si="5"/>
        <v>322758.3303232427</v>
      </c>
      <c r="F14" s="56">
        <f t="shared" si="5"/>
        <v>139868.21947181824</v>
      </c>
      <c r="G14" s="56">
        <f t="shared" si="5"/>
        <v>233721.54954441707</v>
      </c>
      <c r="H14" s="56">
        <f t="shared" si="5"/>
        <v>0</v>
      </c>
      <c r="I14" s="56">
        <f t="shared" si="2"/>
        <v>1020077.3633813455</v>
      </c>
      <c r="T14" s="57" t="s">
        <v>39</v>
      </c>
      <c r="AJ14" s="54" t="s">
        <v>40</v>
      </c>
      <c r="AK14" s="57" t="s">
        <v>39</v>
      </c>
    </row>
    <row r="15" spans="1:38">
      <c r="A15" s="52">
        <v>9</v>
      </c>
      <c r="B15" s="57" t="s">
        <v>41</v>
      </c>
      <c r="C15" s="56">
        <f>+C9-C10-C14</f>
        <v>15439.082286583784</v>
      </c>
      <c r="D15" s="56">
        <f t="shared" ref="D15:H15" si="6">+D9-D10-D14</f>
        <v>32251.653671548644</v>
      </c>
      <c r="E15" s="56">
        <f t="shared" si="6"/>
        <v>421241.6696767573</v>
      </c>
      <c r="F15" s="56">
        <f t="shared" si="6"/>
        <v>84751.780528181756</v>
      </c>
      <c r="G15" s="56">
        <f t="shared" si="6"/>
        <v>456278.45045558293</v>
      </c>
      <c r="H15" s="56">
        <f t="shared" si="6"/>
        <v>0</v>
      </c>
      <c r="I15" s="56">
        <f t="shared" si="2"/>
        <v>1009962.6366186545</v>
      </c>
      <c r="T15" s="57" t="s">
        <v>41</v>
      </c>
      <c r="AJ15" s="54" t="s">
        <v>42</v>
      </c>
      <c r="AK15" s="57" t="s">
        <v>41</v>
      </c>
    </row>
    <row r="16" spans="1:38">
      <c r="A16" s="52">
        <v>10</v>
      </c>
      <c r="B16" s="54" t="s">
        <v>43</v>
      </c>
      <c r="C16" s="58">
        <f>+C15/C9</f>
        <v>8.7722058446498778E-3</v>
      </c>
      <c r="D16" s="58">
        <f t="shared" ref="D16:H16" si="7">+D15/D9</f>
        <v>4.1950642132607498E-2</v>
      </c>
      <c r="E16" s="58">
        <f t="shared" si="7"/>
        <v>0.14525574816439907</v>
      </c>
      <c r="F16" s="58">
        <f t="shared" si="7"/>
        <v>0.10076542127762134</v>
      </c>
      <c r="G16" s="58">
        <f t="shared" si="7"/>
        <v>0.21727545259789663</v>
      </c>
      <c r="H16" s="58" t="e">
        <f t="shared" si="7"/>
        <v>#DIV/0!</v>
      </c>
      <c r="I16" s="58">
        <f t="shared" ref="I16" si="8">+I15/I9</f>
        <v>0.12066632217172223</v>
      </c>
      <c r="T16" s="54" t="s">
        <v>43</v>
      </c>
      <c r="AJ16" s="54" t="s">
        <v>44</v>
      </c>
      <c r="AK16" s="54" t="s">
        <v>43</v>
      </c>
    </row>
    <row r="17" spans="1:38">
      <c r="A17" s="52">
        <v>11</v>
      </c>
      <c r="B17" s="54" t="s">
        <v>45</v>
      </c>
      <c r="C17" s="56">
        <f>C6*C43+C18</f>
        <v>79200</v>
      </c>
      <c r="D17" s="56">
        <f t="shared" ref="D17:H17" si="9">D6*D43+D18</f>
        <v>34596</v>
      </c>
      <c r="E17" s="56">
        <f t="shared" si="9"/>
        <v>229100</v>
      </c>
      <c r="F17" s="56">
        <f t="shared" si="9"/>
        <v>37848.6</v>
      </c>
      <c r="G17" s="56">
        <f t="shared" si="9"/>
        <v>94500</v>
      </c>
      <c r="H17" s="56">
        <f t="shared" si="9"/>
        <v>0</v>
      </c>
      <c r="I17" s="56">
        <f>SUM(C17:H17)</f>
        <v>475244.6</v>
      </c>
      <c r="J17" s="172"/>
      <c r="K17" s="173"/>
      <c r="L17" s="173"/>
      <c r="T17" s="54" t="s">
        <v>45</v>
      </c>
      <c r="AJ17" s="54" t="s">
        <v>46</v>
      </c>
      <c r="AK17" s="54" t="s">
        <v>45</v>
      </c>
    </row>
    <row r="18" spans="1:38" s="48" customFormat="1">
      <c r="A18" s="52">
        <v>12</v>
      </c>
      <c r="B18" s="59" t="s">
        <v>151</v>
      </c>
      <c r="C18" s="60">
        <f>$I$18/$I$6*C6</f>
        <v>0</v>
      </c>
      <c r="D18" s="60">
        <f t="shared" ref="D18:H18" si="10">$I$18/$I$6*D6</f>
        <v>0</v>
      </c>
      <c r="E18" s="60">
        <f t="shared" si="10"/>
        <v>0</v>
      </c>
      <c r="F18" s="60">
        <f t="shared" si="10"/>
        <v>0</v>
      </c>
      <c r="G18" s="60">
        <f t="shared" si="10"/>
        <v>0</v>
      </c>
      <c r="H18" s="60">
        <f t="shared" si="10"/>
        <v>0</v>
      </c>
      <c r="I18" s="60">
        <f>项目投资!D26</f>
        <v>0</v>
      </c>
      <c r="J18" s="174" t="s">
        <v>152</v>
      </c>
      <c r="K18" s="174"/>
      <c r="L18" s="174"/>
    </row>
    <row r="19" spans="1:38">
      <c r="A19" s="52">
        <v>13</v>
      </c>
      <c r="B19" s="54" t="s">
        <v>47</v>
      </c>
      <c r="C19" s="56">
        <f>C6*C44</f>
        <v>12320</v>
      </c>
      <c r="D19" s="56">
        <f t="shared" ref="D19:H19" si="11">D6*D44</f>
        <v>5381.5999999999995</v>
      </c>
      <c r="E19" s="56">
        <f t="shared" si="11"/>
        <v>20300</v>
      </c>
      <c r="F19" s="56">
        <f>F6*F44</f>
        <v>5887.56</v>
      </c>
      <c r="G19" s="56">
        <f t="shared" si="11"/>
        <v>14700.000000000002</v>
      </c>
      <c r="H19" s="56">
        <f t="shared" si="11"/>
        <v>0</v>
      </c>
      <c r="I19" s="56">
        <f>SUM(C19:H19)</f>
        <v>58589.159999999996</v>
      </c>
      <c r="J19" s="175"/>
      <c r="K19" s="173"/>
      <c r="L19" s="173"/>
      <c r="T19" s="54" t="s">
        <v>47</v>
      </c>
      <c r="AJ19" s="54" t="s">
        <v>48</v>
      </c>
      <c r="AK19" s="54" t="s">
        <v>47</v>
      </c>
      <c r="AL19" s="50" t="s">
        <v>21</v>
      </c>
    </row>
    <row r="20" spans="1:38">
      <c r="A20" s="52">
        <v>14</v>
      </c>
      <c r="B20" s="54" t="s">
        <v>49</v>
      </c>
      <c r="C20" s="56">
        <f>C6*C45</f>
        <v>52800</v>
      </c>
      <c r="D20" s="56">
        <f t="shared" ref="D20:H20" si="12">D6*D45</f>
        <v>23063.999999999996</v>
      </c>
      <c r="E20" s="56">
        <f t="shared" si="12"/>
        <v>87000</v>
      </c>
      <c r="F20" s="56">
        <f t="shared" si="12"/>
        <v>25232.400000000001</v>
      </c>
      <c r="G20" s="56">
        <f t="shared" si="12"/>
        <v>63000</v>
      </c>
      <c r="H20" s="56">
        <f t="shared" si="12"/>
        <v>0</v>
      </c>
      <c r="I20" s="56">
        <f>SUM(C20:H20)</f>
        <v>251096.4</v>
      </c>
      <c r="T20" s="54" t="s">
        <v>49</v>
      </c>
      <c r="AJ20" s="54" t="s">
        <v>50</v>
      </c>
      <c r="AK20" s="54" t="s">
        <v>49</v>
      </c>
    </row>
    <row r="21" spans="1:38">
      <c r="A21" s="52">
        <v>15</v>
      </c>
      <c r="B21" s="54" t="s">
        <v>51</v>
      </c>
      <c r="C21" s="61">
        <f>$I$21/$I$6*C6</f>
        <v>1580</v>
      </c>
      <c r="D21" s="61">
        <f t="shared" ref="D21:H21" si="13">$I$21/$I$6*D6</f>
        <v>1580</v>
      </c>
      <c r="E21" s="61">
        <f t="shared" si="13"/>
        <v>1580</v>
      </c>
      <c r="F21" s="61">
        <f t="shared" si="13"/>
        <v>1580</v>
      </c>
      <c r="G21" s="61">
        <f t="shared" si="13"/>
        <v>1580</v>
      </c>
      <c r="H21" s="61">
        <f t="shared" si="13"/>
        <v>0</v>
      </c>
      <c r="I21" s="56">
        <f>项目投资!D27</f>
        <v>7900</v>
      </c>
      <c r="T21" s="54" t="s">
        <v>51</v>
      </c>
      <c r="AJ21" s="54"/>
      <c r="AK21" s="54"/>
    </row>
    <row r="22" spans="1:38">
      <c r="A22" s="52">
        <v>16</v>
      </c>
      <c r="B22" s="54" t="s">
        <v>52</v>
      </c>
      <c r="C22" s="56">
        <f>C6*C47</f>
        <v>70400</v>
      </c>
      <c r="D22" s="56">
        <f t="shared" ref="D22:H22" si="14">D6*D47</f>
        <v>30752</v>
      </c>
      <c r="E22" s="56">
        <f t="shared" si="14"/>
        <v>116000</v>
      </c>
      <c r="F22" s="56">
        <f t="shared" si="14"/>
        <v>33643.199999999997</v>
      </c>
      <c r="G22" s="56">
        <f t="shared" si="14"/>
        <v>84000</v>
      </c>
      <c r="H22" s="56">
        <f t="shared" si="14"/>
        <v>0</v>
      </c>
      <c r="I22" s="56">
        <f>SUM(C22:H22)</f>
        <v>334795.2</v>
      </c>
      <c r="T22" s="54" t="s">
        <v>52</v>
      </c>
      <c r="AJ22" s="54" t="s">
        <v>53</v>
      </c>
      <c r="AK22" s="54" t="s">
        <v>52</v>
      </c>
    </row>
    <row r="23" spans="1:38">
      <c r="A23" s="52">
        <v>17</v>
      </c>
      <c r="B23" s="57" t="s">
        <v>54</v>
      </c>
      <c r="C23" s="61">
        <f>+C22+C21+C20+C19+C17</f>
        <v>216300</v>
      </c>
      <c r="D23" s="61">
        <f t="shared" ref="D23:H23" si="15">+D22+D21+D20+D19+D17</f>
        <v>95373.6</v>
      </c>
      <c r="E23" s="61">
        <f t="shared" si="15"/>
        <v>453980</v>
      </c>
      <c r="F23" s="61">
        <f t="shared" si="15"/>
        <v>104191.76000000001</v>
      </c>
      <c r="G23" s="61">
        <f t="shared" si="15"/>
        <v>257780</v>
      </c>
      <c r="H23" s="61">
        <f t="shared" si="15"/>
        <v>0</v>
      </c>
      <c r="I23" s="61">
        <f t="shared" ref="I23" si="16">+I22+I21+I20+I19+I17</f>
        <v>1127625.3599999999</v>
      </c>
      <c r="T23" s="57" t="s">
        <v>54</v>
      </c>
      <c r="AJ23" s="54" t="s">
        <v>55</v>
      </c>
      <c r="AK23" s="57" t="s">
        <v>54</v>
      </c>
    </row>
    <row r="24" spans="1:38">
      <c r="A24" s="52">
        <v>18</v>
      </c>
      <c r="B24" s="62" t="s">
        <v>56</v>
      </c>
      <c r="C24" s="61">
        <f>+C15-C23</f>
        <v>-200860.91771341622</v>
      </c>
      <c r="D24" s="61">
        <f t="shared" ref="D24:H24" si="17">+D15-D23</f>
        <v>-63121.946328451362</v>
      </c>
      <c r="E24" s="61">
        <f t="shared" si="17"/>
        <v>-32738.330323242699</v>
      </c>
      <c r="F24" s="61">
        <f t="shared" si="17"/>
        <v>-19439.979471818253</v>
      </c>
      <c r="G24" s="61">
        <f t="shared" si="17"/>
        <v>198498.45045558293</v>
      </c>
      <c r="H24" s="61">
        <f t="shared" si="17"/>
        <v>0</v>
      </c>
      <c r="I24" s="61">
        <f t="shared" ref="I24" si="18">+I15-I23</f>
        <v>-117662.72338134539</v>
      </c>
      <c r="K24" s="73"/>
      <c r="T24" s="54" t="s">
        <v>56</v>
      </c>
      <c r="AJ24" s="54" t="s">
        <v>57</v>
      </c>
      <c r="AK24" s="54" t="s">
        <v>56</v>
      </c>
    </row>
    <row r="25" spans="1:38">
      <c r="A25" s="52">
        <v>19</v>
      </c>
      <c r="B25" s="54" t="s">
        <v>153</v>
      </c>
      <c r="C25" s="61">
        <f>IF(C24&lt;0,0,C24*0.25)</f>
        <v>0</v>
      </c>
      <c r="D25" s="61">
        <f>IF(D24&lt;0,0,D24*0.15)</f>
        <v>0</v>
      </c>
      <c r="E25" s="61">
        <f t="shared" ref="E25:I25" si="19">IF(E24&lt;0,0,E24*0.25)</f>
        <v>0</v>
      </c>
      <c r="F25" s="61">
        <f>IF(F24&lt;0,0,F24*0.15)</f>
        <v>0</v>
      </c>
      <c r="G25" s="61">
        <f t="shared" si="19"/>
        <v>49624.612613895733</v>
      </c>
      <c r="H25" s="61">
        <f t="shared" si="19"/>
        <v>0</v>
      </c>
      <c r="I25" s="61">
        <f t="shared" si="19"/>
        <v>0</v>
      </c>
      <c r="J25" s="69"/>
      <c r="K25" s="69"/>
      <c r="L25" s="69"/>
      <c r="T25" s="54" t="s">
        <v>58</v>
      </c>
      <c r="AJ25" s="54" t="s">
        <v>59</v>
      </c>
      <c r="AK25" s="54" t="s">
        <v>58</v>
      </c>
    </row>
    <row r="26" spans="1:38">
      <c r="A26" s="52">
        <v>20</v>
      </c>
      <c r="B26" s="54" t="s">
        <v>60</v>
      </c>
      <c r="C26" s="61">
        <f t="shared" ref="C26:H26" si="20">C24-C25</f>
        <v>-200860.91771341622</v>
      </c>
      <c r="D26" s="61">
        <f t="shared" si="20"/>
        <v>-63121.946328451362</v>
      </c>
      <c r="E26" s="61">
        <f t="shared" si="20"/>
        <v>-32738.330323242699</v>
      </c>
      <c r="F26" s="61">
        <f t="shared" si="20"/>
        <v>-19439.979471818253</v>
      </c>
      <c r="G26" s="61">
        <f t="shared" si="20"/>
        <v>148873.8378416872</v>
      </c>
      <c r="H26" s="61">
        <f t="shared" si="20"/>
        <v>0</v>
      </c>
      <c r="I26" s="56">
        <f>SUM(C26:H26)</f>
        <v>-167287.3359952413</v>
      </c>
      <c r="J26" s="69"/>
      <c r="K26" s="69"/>
      <c r="L26" s="69"/>
      <c r="T26" s="54" t="s">
        <v>60</v>
      </c>
      <c r="AJ26" s="54" t="s">
        <v>61</v>
      </c>
      <c r="AK26" s="54" t="s">
        <v>60</v>
      </c>
    </row>
    <row r="27" spans="1:38">
      <c r="A27" s="52">
        <v>21</v>
      </c>
      <c r="B27" s="54" t="s">
        <v>64</v>
      </c>
      <c r="C27" s="63">
        <f t="shared" ref="C27:I27" si="21">C26/C7</f>
        <v>-0.1141255214280774</v>
      </c>
      <c r="D27" s="63">
        <f t="shared" ref="D27:H27" si="22">D26/D7</f>
        <v>-8.2104508751887822E-2</v>
      </c>
      <c r="E27" s="63">
        <f t="shared" si="22"/>
        <v>-1.1289079421807827E-2</v>
      </c>
      <c r="F27" s="63">
        <f t="shared" si="22"/>
        <v>-2.3113115841320985E-2</v>
      </c>
      <c r="G27" s="63">
        <f t="shared" si="22"/>
        <v>7.0892303734136755E-2</v>
      </c>
      <c r="H27" s="63" t="e">
        <f t="shared" si="22"/>
        <v>#DIV/0!</v>
      </c>
      <c r="I27" s="63">
        <f t="shared" si="21"/>
        <v>-1.998682609490713E-2</v>
      </c>
      <c r="J27" s="69"/>
      <c r="K27" s="69"/>
      <c r="L27" s="69"/>
      <c r="T27" s="54" t="s">
        <v>64</v>
      </c>
      <c r="AJ27" s="54" t="s">
        <v>63</v>
      </c>
      <c r="AK27" s="54" t="s">
        <v>64</v>
      </c>
    </row>
    <row r="28" spans="1:38">
      <c r="J28" s="69"/>
      <c r="K28" s="69"/>
      <c r="L28" s="69"/>
      <c r="T28" s="54"/>
    </row>
    <row r="29" spans="1:38">
      <c r="A29" s="50" t="s">
        <v>65</v>
      </c>
      <c r="I29" s="51" t="s">
        <v>154</v>
      </c>
      <c r="J29" s="69"/>
      <c r="K29" s="69"/>
      <c r="L29" s="69"/>
      <c r="T29" s="54"/>
      <c r="AJ29" s="50" t="s">
        <v>65</v>
      </c>
    </row>
    <row r="30" spans="1:38">
      <c r="A30" s="54" t="s">
        <v>70</v>
      </c>
      <c r="B30" s="57" t="s">
        <v>71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71</v>
      </c>
      <c r="AJ30" s="54" t="s">
        <v>72</v>
      </c>
      <c r="AK30" s="57" t="s">
        <v>71</v>
      </c>
    </row>
    <row r="31" spans="1:38">
      <c r="A31" s="64">
        <v>1</v>
      </c>
      <c r="B31" s="59" t="s">
        <v>73</v>
      </c>
      <c r="C31" s="65">
        <f>销量!C8</f>
        <v>880</v>
      </c>
      <c r="D31" s="65">
        <f>销量!D8</f>
        <v>384.4</v>
      </c>
      <c r="E31" s="65">
        <f>销量!E8</f>
        <v>1450</v>
      </c>
      <c r="F31" s="65">
        <f>销量!F8</f>
        <v>420.54</v>
      </c>
      <c r="G31" s="65">
        <f>销量!G8</f>
        <v>1050</v>
      </c>
      <c r="H31" s="65">
        <f>销量!H8</f>
        <v>0</v>
      </c>
      <c r="I31" s="61"/>
      <c r="J31" s="69"/>
      <c r="K31" s="69"/>
      <c r="L31" s="69"/>
      <c r="N31" s="69"/>
      <c r="T31" s="54" t="s">
        <v>73</v>
      </c>
      <c r="AJ31" s="54" t="s">
        <v>23</v>
      </c>
      <c r="AK31" s="54" t="s">
        <v>73</v>
      </c>
    </row>
    <row r="32" spans="1:38">
      <c r="A32" s="64">
        <v>2</v>
      </c>
      <c r="B32" s="54" t="s">
        <v>155</v>
      </c>
      <c r="C32" s="56">
        <f>C31*1</f>
        <v>880</v>
      </c>
      <c r="D32" s="56">
        <f t="shared" ref="D32:H32" si="23">D31*1</f>
        <v>384.4</v>
      </c>
      <c r="E32" s="56">
        <f t="shared" si="23"/>
        <v>1450</v>
      </c>
      <c r="F32" s="56">
        <f t="shared" si="23"/>
        <v>420.54</v>
      </c>
      <c r="G32" s="56">
        <f t="shared" si="23"/>
        <v>1050</v>
      </c>
      <c r="H32" s="56">
        <f t="shared" si="23"/>
        <v>0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64">
        <v>3</v>
      </c>
      <c r="B33" s="59" t="s">
        <v>74</v>
      </c>
      <c r="C33" s="56">
        <f>材料成本!E18</f>
        <v>774.34</v>
      </c>
      <c r="D33" s="56">
        <f>材料成本!E19</f>
        <v>304.35000000000002</v>
      </c>
      <c r="E33" s="56">
        <f>材料成本!E20</f>
        <v>1078</v>
      </c>
      <c r="F33" s="56">
        <f>材料成本!E21</f>
        <v>308.23</v>
      </c>
      <c r="G33" s="56">
        <f>材料成本!E22</f>
        <v>705</v>
      </c>
      <c r="H33" s="56"/>
      <c r="I33" s="61"/>
      <c r="K33" s="69"/>
      <c r="L33" s="69"/>
      <c r="M33" s="69"/>
      <c r="N33" s="69"/>
      <c r="O33" s="69"/>
      <c r="P33" s="69"/>
      <c r="T33" s="54" t="s">
        <v>74</v>
      </c>
      <c r="AJ33" s="54" t="s">
        <v>25</v>
      </c>
      <c r="AK33" s="54" t="s">
        <v>74</v>
      </c>
    </row>
    <row r="34" spans="1:37" ht="17.25" customHeight="1">
      <c r="A34" s="64">
        <v>4</v>
      </c>
      <c r="B34" s="54" t="s">
        <v>76</v>
      </c>
      <c r="C34" s="66">
        <f>C32-C33</f>
        <v>105.65999999999997</v>
      </c>
      <c r="D34" s="66">
        <f t="shared" ref="D34:H34" si="24">D32-D33</f>
        <v>80.049999999999955</v>
      </c>
      <c r="E34" s="66">
        <f t="shared" si="24"/>
        <v>372</v>
      </c>
      <c r="F34" s="66">
        <f t="shared" si="24"/>
        <v>112.31</v>
      </c>
      <c r="G34" s="66">
        <f t="shared" si="24"/>
        <v>345</v>
      </c>
      <c r="H34" s="66">
        <f t="shared" si="24"/>
        <v>0</v>
      </c>
      <c r="I34" s="61"/>
      <c r="K34" s="69"/>
      <c r="L34" s="69"/>
      <c r="M34" s="69"/>
      <c r="N34" s="69"/>
      <c r="O34" s="69"/>
      <c r="P34" s="69"/>
      <c r="T34" s="54" t="s">
        <v>76</v>
      </c>
      <c r="AJ34" s="54" t="s">
        <v>75</v>
      </c>
      <c r="AK34" s="54" t="s">
        <v>76</v>
      </c>
    </row>
    <row r="35" spans="1:37">
      <c r="A35" s="54" t="s">
        <v>72</v>
      </c>
      <c r="B35" s="57" t="s">
        <v>9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9</v>
      </c>
      <c r="AJ35" s="54" t="s">
        <v>78</v>
      </c>
      <c r="AK35" s="57" t="s">
        <v>9</v>
      </c>
    </row>
    <row r="36" spans="1:37">
      <c r="A36" s="64">
        <v>1</v>
      </c>
      <c r="B36" s="54" t="s">
        <v>79</v>
      </c>
      <c r="C36" s="60">
        <f>标准成本!E4</f>
        <v>49.473588007760711</v>
      </c>
      <c r="D36" s="60">
        <f>标准成本!E18</f>
        <v>21.610962761571834</v>
      </c>
      <c r="E36" s="60">
        <f>标准成本!E32</f>
        <v>81.518980240060259</v>
      </c>
      <c r="F36" s="60">
        <f>标准成本!E45</f>
        <v>23.642753069072374</v>
      </c>
      <c r="G36" s="60">
        <f>标准成本!E58</f>
        <v>59.030985691078115</v>
      </c>
      <c r="H36" s="60">
        <f>标准成本!E71</f>
        <v>0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79</v>
      </c>
      <c r="AJ36" s="54" t="s">
        <v>75</v>
      </c>
      <c r="AK36" s="54" t="s">
        <v>79</v>
      </c>
    </row>
    <row r="37" spans="1:37">
      <c r="A37" s="64">
        <v>2</v>
      </c>
      <c r="B37" s="54" t="s">
        <v>80</v>
      </c>
      <c r="C37" s="60">
        <f>标准成本!E6</f>
        <v>13.266870848947413</v>
      </c>
      <c r="D37" s="60">
        <f>标准成本!E20</f>
        <v>5.7952104026538462</v>
      </c>
      <c r="E37" s="60">
        <f>标准成本!E34</f>
        <v>21.860184921561078</v>
      </c>
      <c r="F37" s="60">
        <f>标准成本!E47</f>
        <v>6.3400566668367553</v>
      </c>
      <c r="G37" s="60">
        <f>标准成本!E60</f>
        <v>15.829789081130436</v>
      </c>
      <c r="H37" s="60">
        <f>标准成本!E73</f>
        <v>0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80</v>
      </c>
      <c r="AJ37" s="54" t="s">
        <v>28</v>
      </c>
      <c r="AK37" s="54" t="s">
        <v>80</v>
      </c>
    </row>
    <row r="38" spans="1:37">
      <c r="A38" s="64">
        <v>3</v>
      </c>
      <c r="B38" s="54" t="s">
        <v>81</v>
      </c>
      <c r="C38" s="60">
        <f>标准成本!E10</f>
        <v>35.199999999999996</v>
      </c>
      <c r="D38" s="60">
        <f>标准成本!E24</f>
        <v>36.518000000000001</v>
      </c>
      <c r="E38" s="60">
        <f>标准成本!E38</f>
        <v>57.999999999999993</v>
      </c>
      <c r="F38" s="60">
        <f>标准成本!E51</f>
        <v>39.951300000000003</v>
      </c>
      <c r="G38" s="60">
        <f>标准成本!E64</f>
        <v>41.999999999999993</v>
      </c>
      <c r="H38" s="60">
        <f>标准成本!E77</f>
        <v>0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81</v>
      </c>
      <c r="AJ38" s="54" t="s">
        <v>34</v>
      </c>
      <c r="AK38" s="54" t="s">
        <v>81</v>
      </c>
    </row>
    <row r="39" spans="1:37">
      <c r="A39" s="54" t="s">
        <v>78</v>
      </c>
      <c r="B39" s="57" t="s">
        <v>83</v>
      </c>
      <c r="C39" s="61"/>
      <c r="D39" s="61"/>
      <c r="E39" s="61"/>
      <c r="F39" s="61"/>
      <c r="G39" s="61"/>
      <c r="H39" s="61"/>
      <c r="I39" s="61"/>
      <c r="T39" s="57" t="s">
        <v>83</v>
      </c>
      <c r="AJ39" s="54" t="s">
        <v>82</v>
      </c>
      <c r="AK39" s="57" t="s">
        <v>83</v>
      </c>
    </row>
    <row r="40" spans="1:37">
      <c r="A40" s="64">
        <v>1</v>
      </c>
      <c r="B40" s="54" t="s">
        <v>85</v>
      </c>
      <c r="C40" s="61">
        <f>C34-C36-C37-C38</f>
        <v>7.719541143291849</v>
      </c>
      <c r="D40" s="61">
        <f t="shared" ref="D40:H40" si="25">D34-D36-D37-D38</f>
        <v>16.125826835774276</v>
      </c>
      <c r="E40" s="61">
        <f t="shared" si="25"/>
        <v>210.62083483837864</v>
      </c>
      <c r="F40" s="61">
        <f t="shared" si="25"/>
        <v>42.37589026409087</v>
      </c>
      <c r="G40" s="61">
        <f t="shared" si="25"/>
        <v>228.13922522779143</v>
      </c>
      <c r="H40" s="61">
        <f t="shared" si="25"/>
        <v>0</v>
      </c>
      <c r="I40" s="61"/>
      <c r="T40" s="54" t="s">
        <v>85</v>
      </c>
      <c r="AJ40" s="54" t="s">
        <v>23</v>
      </c>
      <c r="AK40" s="54" t="s">
        <v>85</v>
      </c>
    </row>
    <row r="41" spans="1:37">
      <c r="A41" s="64">
        <v>2</v>
      </c>
      <c r="B41" s="54" t="s">
        <v>86</v>
      </c>
      <c r="C41" s="61"/>
      <c r="D41" s="61"/>
      <c r="E41" s="61"/>
      <c r="F41" s="61"/>
      <c r="G41" s="61"/>
      <c r="H41" s="61"/>
      <c r="I41" s="61"/>
      <c r="T41" s="54" t="s">
        <v>86</v>
      </c>
      <c r="AJ41" s="54" t="s">
        <v>25</v>
      </c>
      <c r="AK41" s="54" t="s">
        <v>86</v>
      </c>
    </row>
    <row r="42" spans="1:37">
      <c r="A42" s="54" t="s">
        <v>82</v>
      </c>
      <c r="B42" s="57" t="s">
        <v>88</v>
      </c>
      <c r="C42" s="61"/>
      <c r="D42" s="61"/>
      <c r="E42" s="61"/>
      <c r="F42" s="61"/>
      <c r="G42" s="61"/>
      <c r="H42" s="61"/>
      <c r="I42" s="61"/>
      <c r="T42" s="57" t="s">
        <v>88</v>
      </c>
      <c r="AJ42" s="54" t="s">
        <v>87</v>
      </c>
      <c r="AK42" s="57" t="s">
        <v>88</v>
      </c>
    </row>
    <row r="43" spans="1:37">
      <c r="A43" s="64">
        <v>1</v>
      </c>
      <c r="B43" s="62" t="s">
        <v>89</v>
      </c>
      <c r="C43" s="60">
        <f>标准成本!E5</f>
        <v>39.6</v>
      </c>
      <c r="D43" s="60">
        <f>标准成本!E19</f>
        <v>17.297999999999998</v>
      </c>
      <c r="E43" s="60">
        <f>标准成本!E33</f>
        <v>114.55</v>
      </c>
      <c r="F43" s="60">
        <f>标准成本!E46</f>
        <v>18.924299999999999</v>
      </c>
      <c r="G43" s="60">
        <f>标准成本!E59</f>
        <v>47.25</v>
      </c>
      <c r="H43" s="60"/>
      <c r="I43" s="61"/>
      <c r="T43" s="54" t="s">
        <v>89</v>
      </c>
      <c r="AJ43" s="54" t="s">
        <v>23</v>
      </c>
      <c r="AK43" s="54" t="s">
        <v>89</v>
      </c>
    </row>
    <row r="44" spans="1:37">
      <c r="A44" s="64">
        <v>2</v>
      </c>
      <c r="B44" s="62" t="s">
        <v>90</v>
      </c>
      <c r="C44" s="60">
        <f>标准成本!E9</f>
        <v>6.16</v>
      </c>
      <c r="D44" s="60">
        <f>标准成本!E23</f>
        <v>2.6907999999999999</v>
      </c>
      <c r="E44" s="60">
        <f>标准成本!E37</f>
        <v>10.15</v>
      </c>
      <c r="F44" s="60">
        <f>标准成本!E50</f>
        <v>2.9437800000000003</v>
      </c>
      <c r="G44" s="60">
        <f>标准成本!E63</f>
        <v>7.3500000000000005</v>
      </c>
      <c r="H44" s="60"/>
      <c r="I44" s="61"/>
      <c r="T44" s="54" t="s">
        <v>90</v>
      </c>
      <c r="AJ44" s="54" t="s">
        <v>25</v>
      </c>
      <c r="AK44" s="54" t="s">
        <v>90</v>
      </c>
    </row>
    <row r="45" spans="1:37">
      <c r="A45" s="64">
        <v>3</v>
      </c>
      <c r="B45" s="62" t="s">
        <v>91</v>
      </c>
      <c r="C45" s="60">
        <f>标准成本!E8</f>
        <v>26.4</v>
      </c>
      <c r="D45" s="60">
        <f>标准成本!E22</f>
        <v>11.531999999999998</v>
      </c>
      <c r="E45" s="60">
        <f>标准成本!E36</f>
        <v>43.5</v>
      </c>
      <c r="F45" s="60">
        <f>标准成本!E49</f>
        <v>12.616200000000001</v>
      </c>
      <c r="G45" s="60">
        <f>标准成本!E62</f>
        <v>31.5</v>
      </c>
      <c r="H45" s="67">
        <f>标准成本!E75</f>
        <v>0</v>
      </c>
      <c r="I45" s="61"/>
      <c r="T45" s="54" t="s">
        <v>91</v>
      </c>
      <c r="AJ45" s="54" t="s">
        <v>75</v>
      </c>
      <c r="AK45" s="54" t="s">
        <v>91</v>
      </c>
    </row>
    <row r="46" spans="1:37" s="49" customFormat="1">
      <c r="A46" s="64">
        <v>4</v>
      </c>
      <c r="B46" s="62" t="s">
        <v>92</v>
      </c>
      <c r="C46" s="67">
        <f>C21/C6</f>
        <v>0.79</v>
      </c>
      <c r="D46" s="67">
        <f t="shared" ref="D46:H46" si="26">D21/D6</f>
        <v>0.79</v>
      </c>
      <c r="E46" s="67">
        <f t="shared" si="26"/>
        <v>0.79</v>
      </c>
      <c r="F46" s="67">
        <f t="shared" si="26"/>
        <v>0.79</v>
      </c>
      <c r="G46" s="67">
        <f t="shared" si="26"/>
        <v>0.79</v>
      </c>
      <c r="H46" s="67" t="e">
        <f t="shared" si="26"/>
        <v>#DIV/0!</v>
      </c>
      <c r="I46" s="67"/>
      <c r="T46" s="62" t="s">
        <v>94</v>
      </c>
      <c r="AJ46" s="62" t="s">
        <v>31</v>
      </c>
      <c r="AK46" s="62" t="s">
        <v>94</v>
      </c>
    </row>
    <row r="47" spans="1:37" s="49" customFormat="1">
      <c r="A47" s="64">
        <v>5</v>
      </c>
      <c r="B47" s="62" t="s">
        <v>94</v>
      </c>
      <c r="C47" s="60">
        <f>标准成本!E11</f>
        <v>35.200000000000003</v>
      </c>
      <c r="D47" s="60">
        <f>标准成本!E25</f>
        <v>15.375999999999999</v>
      </c>
      <c r="E47" s="60">
        <f>标准成本!E39</f>
        <v>58</v>
      </c>
      <c r="F47" s="60">
        <f>标准成本!E52</f>
        <v>16.8216</v>
      </c>
      <c r="G47" s="60">
        <f>标准成本!E65</f>
        <v>42</v>
      </c>
      <c r="H47" s="67">
        <f>标准成本!E78</f>
        <v>0</v>
      </c>
      <c r="I47" s="67"/>
      <c r="T47" s="62" t="s">
        <v>94</v>
      </c>
      <c r="AJ47" s="62" t="s">
        <v>31</v>
      </c>
      <c r="AK47" s="62" t="s">
        <v>94</v>
      </c>
    </row>
    <row r="48" spans="1:37">
      <c r="A48" s="54" t="s">
        <v>87</v>
      </c>
      <c r="B48" s="57" t="s">
        <v>105</v>
      </c>
      <c r="C48" s="61">
        <f>C40-C43-C44-C45-C47-C46</f>
        <v>-100.43045885670816</v>
      </c>
      <c r="D48" s="61">
        <f t="shared" ref="D48:H48" si="27">D40-D43-D44-D45-D47-D46</f>
        <v>-31.560973164225718</v>
      </c>
      <c r="E48" s="61">
        <f t="shared" si="27"/>
        <v>-16.36916516162136</v>
      </c>
      <c r="F48" s="61">
        <f t="shared" si="27"/>
        <v>-9.719989735909131</v>
      </c>
      <c r="G48" s="61">
        <f t="shared" si="27"/>
        <v>99.249225227791428</v>
      </c>
      <c r="H48" s="61" t="e">
        <f t="shared" si="27"/>
        <v>#DIV/0!</v>
      </c>
      <c r="I48" s="61"/>
      <c r="T48" s="57" t="s">
        <v>105</v>
      </c>
      <c r="AJ48" s="54" t="s">
        <v>104</v>
      </c>
      <c r="AK48" s="57" t="s">
        <v>105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7" activePane="bottomRight" state="frozen"/>
      <selection pane="topRight"/>
      <selection pane="bottomLeft"/>
      <selection pane="bottomRight" activeCell="C25" sqref="C25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200" t="s">
        <v>145</v>
      </c>
      <c r="B1" s="200"/>
      <c r="C1" s="204" t="s">
        <v>245</v>
      </c>
      <c r="D1" s="205"/>
      <c r="E1" s="205"/>
      <c r="F1" s="205"/>
      <c r="G1" s="205"/>
      <c r="H1" s="205"/>
      <c r="I1" s="206"/>
    </row>
    <row r="2" spans="1:38">
      <c r="A2" s="200" t="s">
        <v>146</v>
      </c>
      <c r="B2" s="200"/>
      <c r="C2" s="207" t="str">
        <f>'2023年'!C2:I2</f>
        <v>一汽解放</v>
      </c>
      <c r="D2" s="207"/>
      <c r="E2" s="207"/>
      <c r="F2" s="207"/>
      <c r="G2" s="207"/>
      <c r="H2" s="207"/>
      <c r="I2" s="207"/>
    </row>
    <row r="3" spans="1:38">
      <c r="A3" s="200" t="s">
        <v>147</v>
      </c>
      <c r="B3" s="200"/>
      <c r="C3" s="163" t="str">
        <f>销量!C5</f>
        <v>驾驶员座总成</v>
      </c>
      <c r="D3" s="163" t="str">
        <f>销量!D5</f>
        <v>副驾驶员座椅总成</v>
      </c>
      <c r="E3" s="163" t="str">
        <f>销量!E5</f>
        <v>驾驶员座椅总成</v>
      </c>
      <c r="F3" s="163" t="str">
        <f>销量!F5</f>
        <v>副驾驶员座椅总成</v>
      </c>
      <c r="G3" s="163" t="str">
        <f>销量!G5</f>
        <v>驾驶员座椅总成</v>
      </c>
      <c r="H3" s="163">
        <f>销量!H5</f>
        <v>0</v>
      </c>
      <c r="I3" s="201" t="s">
        <v>19</v>
      </c>
    </row>
    <row r="4" spans="1:38" ht="28.5">
      <c r="A4" s="200" t="s">
        <v>148</v>
      </c>
      <c r="B4" s="200"/>
      <c r="C4" s="163" t="str">
        <f>销量!C6</f>
        <v>6800010AH95-C00</v>
      </c>
      <c r="D4" s="163" t="str">
        <f>销量!D6</f>
        <v>6903010-H87-C006905100-H87-C006905020-H87-C00</v>
      </c>
      <c r="E4" s="163" t="str">
        <f>销量!E6</f>
        <v>6800010-H95-C00</v>
      </c>
      <c r="F4" s="163" t="str">
        <f>销量!F6</f>
        <v>6903010-H95-C00690510-H95-C006905020-H95-C00</v>
      </c>
      <c r="G4" s="163" t="str">
        <f>销量!G6</f>
        <v>6800010DH26-C00</v>
      </c>
      <c r="H4" s="163">
        <f>销量!H6</f>
        <v>0</v>
      </c>
      <c r="I4" s="202"/>
    </row>
    <row r="5" spans="1:38">
      <c r="A5" s="200" t="s">
        <v>149</v>
      </c>
      <c r="B5" s="200"/>
      <c r="C5" s="53"/>
      <c r="D5" s="53"/>
      <c r="E5" s="53"/>
      <c r="F5" s="53"/>
      <c r="G5" s="53"/>
      <c r="H5" s="53"/>
      <c r="I5" s="203"/>
      <c r="AL5" s="50" t="s">
        <v>20</v>
      </c>
    </row>
    <row r="6" spans="1:38" ht="17.25">
      <c r="A6" s="54" t="s">
        <v>17</v>
      </c>
      <c r="B6" s="55" t="s">
        <v>150</v>
      </c>
      <c r="C6" s="23">
        <f>销量!C10</f>
        <v>2000</v>
      </c>
      <c r="D6" s="23">
        <f>销量!D10</f>
        <v>2000</v>
      </c>
      <c r="E6" s="23">
        <f>销量!E10</f>
        <v>2000</v>
      </c>
      <c r="F6" s="23">
        <f>销量!F10</f>
        <v>2000</v>
      </c>
      <c r="G6" s="23">
        <f>销量!G10</f>
        <v>2000</v>
      </c>
      <c r="H6" s="23">
        <f>销量!H10</f>
        <v>0</v>
      </c>
      <c r="I6" s="56">
        <f>SUM(C6:H6)</f>
        <v>10000</v>
      </c>
      <c r="T6" s="55" t="s">
        <v>3</v>
      </c>
      <c r="AJ6" s="54" t="s">
        <v>17</v>
      </c>
      <c r="AK6" s="55" t="s">
        <v>3</v>
      </c>
      <c r="AL6" s="50" t="s">
        <v>21</v>
      </c>
    </row>
    <row r="7" spans="1:38">
      <c r="A7" s="162">
        <v>1</v>
      </c>
      <c r="B7" s="55" t="s">
        <v>22</v>
      </c>
      <c r="C7" s="56">
        <f>C6*销量!C8</f>
        <v>1760000</v>
      </c>
      <c r="D7" s="56">
        <f>D6*销量!D8</f>
        <v>768800</v>
      </c>
      <c r="E7" s="56">
        <f>E6*销量!E8</f>
        <v>2900000</v>
      </c>
      <c r="F7" s="56">
        <f>F6*销量!F8</f>
        <v>841080</v>
      </c>
      <c r="G7" s="56">
        <f>G6*销量!G8</f>
        <v>2100000</v>
      </c>
      <c r="H7" s="56">
        <f>H6*销量!H8</f>
        <v>0</v>
      </c>
      <c r="I7" s="56">
        <f>SUM(C7:H7)</f>
        <v>8369880</v>
      </c>
      <c r="J7" s="51"/>
      <c r="T7" s="55" t="s">
        <v>22</v>
      </c>
      <c r="AJ7" s="54" t="s">
        <v>23</v>
      </c>
      <c r="AK7" s="55" t="s">
        <v>22</v>
      </c>
      <c r="AL7" s="50" t="s">
        <v>21</v>
      </c>
    </row>
    <row r="8" spans="1:38">
      <c r="A8" s="162">
        <v>2</v>
      </c>
      <c r="B8" s="162" t="s">
        <v>24</v>
      </c>
      <c r="C8" s="56">
        <f>C7*(1-销量!$L$7)</f>
        <v>88000.000000000073</v>
      </c>
      <c r="D8" s="56">
        <f>D7*(1-销量!$L$7)</f>
        <v>38440.000000000036</v>
      </c>
      <c r="E8" s="56">
        <f>E7*(1-销量!$L$7)</f>
        <v>145000.00000000012</v>
      </c>
      <c r="F8" s="56">
        <f>F7*(1-销量!$L$7)</f>
        <v>42054.000000000036</v>
      </c>
      <c r="G8" s="56">
        <f>G7*(1-销量!$L$7)</f>
        <v>105000.00000000009</v>
      </c>
      <c r="H8" s="56">
        <f>H7*(1-销量!$L$7)</f>
        <v>0</v>
      </c>
      <c r="I8" s="56">
        <f t="shared" ref="I8:I20" si="0">SUM(C8:H8)</f>
        <v>418494.00000000035</v>
      </c>
      <c r="J8" s="71"/>
      <c r="T8" s="162" t="s">
        <v>26</v>
      </c>
      <c r="AJ8" s="54" t="s">
        <v>25</v>
      </c>
      <c r="AK8" s="162" t="s">
        <v>26</v>
      </c>
      <c r="AL8" s="50" t="s">
        <v>21</v>
      </c>
    </row>
    <row r="9" spans="1:38">
      <c r="A9" s="162">
        <v>3</v>
      </c>
      <c r="B9" s="55" t="s">
        <v>27</v>
      </c>
      <c r="C9" s="56">
        <f>+C7-C8</f>
        <v>1672000</v>
      </c>
      <c r="D9" s="56">
        <f t="shared" ref="D9:H9" si="1">+D7-D8</f>
        <v>730360</v>
      </c>
      <c r="E9" s="56">
        <f t="shared" si="1"/>
        <v>2755000</v>
      </c>
      <c r="F9" s="56">
        <f t="shared" si="1"/>
        <v>799026</v>
      </c>
      <c r="G9" s="56">
        <f t="shared" si="1"/>
        <v>1995000</v>
      </c>
      <c r="H9" s="56">
        <f t="shared" si="1"/>
        <v>0</v>
      </c>
      <c r="I9" s="56">
        <f t="shared" si="0"/>
        <v>7951386</v>
      </c>
      <c r="T9" s="55" t="s">
        <v>27</v>
      </c>
      <c r="AJ9" s="54" t="s">
        <v>28</v>
      </c>
      <c r="AK9" s="55" t="s">
        <v>27</v>
      </c>
      <c r="AL9" s="50" t="s">
        <v>29</v>
      </c>
    </row>
    <row r="10" spans="1:38">
      <c r="A10" s="162">
        <v>4</v>
      </c>
      <c r="B10" s="54" t="s">
        <v>30</v>
      </c>
      <c r="C10" s="56">
        <f>C6*材料成本!F18</f>
        <v>1471246</v>
      </c>
      <c r="D10" s="56">
        <f>D6*材料成本!F19</f>
        <v>578265</v>
      </c>
      <c r="E10" s="56">
        <f>E6*材料成本!F20</f>
        <v>2048199.9999999998</v>
      </c>
      <c r="F10" s="56">
        <f>F6*材料成本!F21</f>
        <v>585637</v>
      </c>
      <c r="G10" s="56">
        <f>G6*材料成本!F22</f>
        <v>1339500</v>
      </c>
      <c r="H10" s="56"/>
      <c r="I10" s="56">
        <f t="shared" si="0"/>
        <v>6022848</v>
      </c>
      <c r="T10" s="54" t="s">
        <v>30</v>
      </c>
      <c r="AJ10" s="54" t="s">
        <v>31</v>
      </c>
      <c r="AK10" s="54" t="s">
        <v>30</v>
      </c>
      <c r="AL10" s="50" t="s">
        <v>32</v>
      </c>
    </row>
    <row r="11" spans="1:38">
      <c r="A11" s="162">
        <v>5</v>
      </c>
      <c r="B11" s="54" t="s">
        <v>33</v>
      </c>
      <c r="C11" s="56">
        <f>+C6*C36</f>
        <v>98947.176015521414</v>
      </c>
      <c r="D11" s="56">
        <f>+D6*D36</f>
        <v>43221.925523143669</v>
      </c>
      <c r="E11" s="56">
        <f t="shared" ref="E11:H11" si="2">+E6*E36</f>
        <v>163037.96048012053</v>
      </c>
      <c r="F11" s="56">
        <f t="shared" si="2"/>
        <v>47285.506138144745</v>
      </c>
      <c r="G11" s="56">
        <f t="shared" si="2"/>
        <v>118061.97138215623</v>
      </c>
      <c r="H11" s="56">
        <f t="shared" si="2"/>
        <v>0</v>
      </c>
      <c r="I11" s="56">
        <f t="shared" si="0"/>
        <v>470554.53953908663</v>
      </c>
      <c r="T11" s="54" t="s">
        <v>33</v>
      </c>
      <c r="AJ11" s="54" t="s">
        <v>34</v>
      </c>
      <c r="AK11" s="54" t="s">
        <v>33</v>
      </c>
    </row>
    <row r="12" spans="1:38">
      <c r="A12" s="162">
        <v>6</v>
      </c>
      <c r="B12" s="54" t="s">
        <v>35</v>
      </c>
      <c r="C12" s="56">
        <f>+C6*C37</f>
        <v>26533.741697894824</v>
      </c>
      <c r="D12" s="56">
        <f t="shared" ref="D12:H12" si="3">+D6*D37</f>
        <v>11590.420805307693</v>
      </c>
      <c r="E12" s="56">
        <f t="shared" si="3"/>
        <v>43720.369843122156</v>
      </c>
      <c r="F12" s="56">
        <f t="shared" si="3"/>
        <v>12680.113333673511</v>
      </c>
      <c r="G12" s="56">
        <f t="shared" si="3"/>
        <v>31659.57816226087</v>
      </c>
      <c r="H12" s="56">
        <f t="shared" si="3"/>
        <v>0</v>
      </c>
      <c r="I12" s="56">
        <f t="shared" si="0"/>
        <v>126184.22384225906</v>
      </c>
      <c r="T12" s="54" t="s">
        <v>35</v>
      </c>
      <c r="AJ12" s="54" t="s">
        <v>36</v>
      </c>
      <c r="AK12" s="54" t="s">
        <v>35</v>
      </c>
    </row>
    <row r="13" spans="1:38">
      <c r="A13" s="162">
        <v>7</v>
      </c>
      <c r="B13" s="54" t="s">
        <v>37</v>
      </c>
      <c r="C13" s="56">
        <f>+C6*C38</f>
        <v>70399.999999999985</v>
      </c>
      <c r="D13" s="56">
        <f t="shared" ref="D13:H13" si="4">+D6*D38</f>
        <v>73036</v>
      </c>
      <c r="E13" s="56">
        <f t="shared" si="4"/>
        <v>115999.99999999999</v>
      </c>
      <c r="F13" s="56">
        <f t="shared" si="4"/>
        <v>79902.600000000006</v>
      </c>
      <c r="G13" s="56">
        <f t="shared" si="4"/>
        <v>83999.999999999985</v>
      </c>
      <c r="H13" s="56">
        <f t="shared" si="4"/>
        <v>0</v>
      </c>
      <c r="I13" s="56">
        <f t="shared" si="0"/>
        <v>423338.6</v>
      </c>
      <c r="T13" s="54" t="s">
        <v>37</v>
      </c>
      <c r="AJ13" s="54" t="s">
        <v>38</v>
      </c>
      <c r="AK13" s="54" t="s">
        <v>37</v>
      </c>
      <c r="AL13" s="50" t="s">
        <v>21</v>
      </c>
    </row>
    <row r="14" spans="1:38">
      <c r="A14" s="162">
        <v>8</v>
      </c>
      <c r="B14" s="57" t="s">
        <v>39</v>
      </c>
      <c r="C14" s="56">
        <f>SUM(C11:C13)</f>
        <v>195880.91771341622</v>
      </c>
      <c r="D14" s="56">
        <f t="shared" ref="D14:H14" si="5">SUM(D11:D13)</f>
        <v>127848.34632845136</v>
      </c>
      <c r="E14" s="56">
        <f t="shared" si="5"/>
        <v>322758.3303232427</v>
      </c>
      <c r="F14" s="56">
        <f t="shared" si="5"/>
        <v>139868.21947181824</v>
      </c>
      <c r="G14" s="56">
        <f t="shared" si="5"/>
        <v>233721.54954441707</v>
      </c>
      <c r="H14" s="56">
        <f t="shared" si="5"/>
        <v>0</v>
      </c>
      <c r="I14" s="56">
        <f t="shared" si="0"/>
        <v>1020077.3633813455</v>
      </c>
      <c r="T14" s="57" t="s">
        <v>39</v>
      </c>
      <c r="AJ14" s="54" t="s">
        <v>40</v>
      </c>
      <c r="AK14" s="57" t="s">
        <v>39</v>
      </c>
    </row>
    <row r="15" spans="1:38">
      <c r="A15" s="162">
        <v>9</v>
      </c>
      <c r="B15" s="57" t="s">
        <v>41</v>
      </c>
      <c r="C15" s="56">
        <f>+C9-C10-C14</f>
        <v>4873.0822865837836</v>
      </c>
      <c r="D15" s="56">
        <f t="shared" ref="D15:H15" si="6">+D9-D10-D14</f>
        <v>24246.653671548644</v>
      </c>
      <c r="E15" s="56">
        <f t="shared" si="6"/>
        <v>384041.66967675753</v>
      </c>
      <c r="F15" s="56">
        <f t="shared" si="6"/>
        <v>73520.780528181756</v>
      </c>
      <c r="G15" s="56">
        <f t="shared" si="6"/>
        <v>421778.45045558293</v>
      </c>
      <c r="H15" s="56">
        <f t="shared" si="6"/>
        <v>0</v>
      </c>
      <c r="I15" s="56">
        <f t="shared" si="0"/>
        <v>908460.63661865471</v>
      </c>
      <c r="T15" s="57" t="s">
        <v>41</v>
      </c>
      <c r="AJ15" s="54" t="s">
        <v>42</v>
      </c>
      <c r="AK15" s="57" t="s">
        <v>41</v>
      </c>
    </row>
    <row r="16" spans="1:38">
      <c r="A16" s="162">
        <v>10</v>
      </c>
      <c r="B16" s="54" t="s">
        <v>43</v>
      </c>
      <c r="C16" s="58">
        <f>+C15/C9</f>
        <v>2.9145228986745117E-3</v>
      </c>
      <c r="D16" s="58">
        <f t="shared" ref="D16:H16" si="7">+D15/D9</f>
        <v>3.3198222344526872E-2</v>
      </c>
      <c r="E16" s="58">
        <f t="shared" si="7"/>
        <v>0.13939806521842379</v>
      </c>
      <c r="F16" s="58">
        <f t="shared" si="7"/>
        <v>9.2013001489540711E-2</v>
      </c>
      <c r="G16" s="58">
        <f t="shared" si="7"/>
        <v>0.21141776965192127</v>
      </c>
      <c r="H16" s="58" t="e">
        <f t="shared" si="7"/>
        <v>#DIV/0!</v>
      </c>
      <c r="I16" s="58">
        <f t="shared" ref="I16" si="8">+I15/I9</f>
        <v>0.1142518595649431</v>
      </c>
      <c r="T16" s="54" t="s">
        <v>43</v>
      </c>
      <c r="AJ16" s="54" t="s">
        <v>44</v>
      </c>
      <c r="AK16" s="54" t="s">
        <v>43</v>
      </c>
    </row>
    <row r="17" spans="1:38">
      <c r="A17" s="162">
        <v>11</v>
      </c>
      <c r="B17" s="54" t="s">
        <v>45</v>
      </c>
      <c r="C17" s="56">
        <f>C6*C43+C18</f>
        <v>79200</v>
      </c>
      <c r="D17" s="56">
        <f t="shared" ref="D17:H17" si="9">D6*D43+D18</f>
        <v>34596</v>
      </c>
      <c r="E17" s="56">
        <f t="shared" si="9"/>
        <v>229100</v>
      </c>
      <c r="F17" s="56">
        <f t="shared" si="9"/>
        <v>37848.6</v>
      </c>
      <c r="G17" s="56">
        <f t="shared" si="9"/>
        <v>94500</v>
      </c>
      <c r="H17" s="56">
        <f t="shared" si="9"/>
        <v>0</v>
      </c>
      <c r="I17" s="56">
        <f t="shared" si="0"/>
        <v>475244.6</v>
      </c>
      <c r="J17" s="71"/>
      <c r="T17" s="54" t="s">
        <v>45</v>
      </c>
      <c r="AJ17" s="54" t="s">
        <v>46</v>
      </c>
      <c r="AK17" s="54" t="s">
        <v>45</v>
      </c>
    </row>
    <row r="18" spans="1:38" s="48" customFormat="1">
      <c r="A18" s="162">
        <v>12</v>
      </c>
      <c r="B18" s="59" t="s">
        <v>151</v>
      </c>
      <c r="C18" s="60">
        <f>$I$18/$I$6*C6</f>
        <v>0</v>
      </c>
      <c r="D18" s="60">
        <f t="shared" ref="D18:H18" si="10">$I$18/$I$6*D6</f>
        <v>0</v>
      </c>
      <c r="E18" s="60">
        <f t="shared" si="10"/>
        <v>0</v>
      </c>
      <c r="F18" s="60">
        <f t="shared" si="10"/>
        <v>0</v>
      </c>
      <c r="G18" s="60">
        <f t="shared" si="10"/>
        <v>0</v>
      </c>
      <c r="H18" s="60">
        <f t="shared" si="10"/>
        <v>0</v>
      </c>
      <c r="I18" s="60">
        <f>项目投资!D26</f>
        <v>0</v>
      </c>
      <c r="J18" s="72" t="s">
        <v>152</v>
      </c>
      <c r="K18" s="72"/>
      <c r="L18" s="72"/>
    </row>
    <row r="19" spans="1:38">
      <c r="A19" s="162">
        <v>13</v>
      </c>
      <c r="B19" s="54" t="s">
        <v>47</v>
      </c>
      <c r="C19" s="56">
        <f>C6*C44</f>
        <v>12320</v>
      </c>
      <c r="D19" s="56">
        <f t="shared" ref="D19:H19" si="11">D6*D44</f>
        <v>5381.5999999999995</v>
      </c>
      <c r="E19" s="56">
        <f t="shared" si="11"/>
        <v>20300</v>
      </c>
      <c r="F19" s="56">
        <f t="shared" si="11"/>
        <v>5887.56</v>
      </c>
      <c r="G19" s="56">
        <f t="shared" si="11"/>
        <v>14700.000000000002</v>
      </c>
      <c r="H19" s="56">
        <f t="shared" si="11"/>
        <v>0</v>
      </c>
      <c r="I19" s="56">
        <f>SUM(C19:H19)</f>
        <v>58589.159999999996</v>
      </c>
      <c r="J19" s="48"/>
      <c r="T19" s="54" t="s">
        <v>47</v>
      </c>
      <c r="AJ19" s="54" t="s">
        <v>48</v>
      </c>
      <c r="AK19" s="54" t="s">
        <v>47</v>
      </c>
      <c r="AL19" s="50" t="s">
        <v>21</v>
      </c>
    </row>
    <row r="20" spans="1:38">
      <c r="A20" s="162">
        <v>14</v>
      </c>
      <c r="B20" s="54" t="s">
        <v>49</v>
      </c>
      <c r="C20" s="56">
        <f>C6*C45</f>
        <v>52800</v>
      </c>
      <c r="D20" s="56">
        <f t="shared" ref="D20:H20" si="12">D6*D45</f>
        <v>23063.999999999996</v>
      </c>
      <c r="E20" s="56">
        <f t="shared" si="12"/>
        <v>87000</v>
      </c>
      <c r="F20" s="56">
        <f t="shared" si="12"/>
        <v>25232.400000000001</v>
      </c>
      <c r="G20" s="56">
        <f t="shared" si="12"/>
        <v>63000</v>
      </c>
      <c r="H20" s="56">
        <f t="shared" si="12"/>
        <v>0</v>
      </c>
      <c r="I20" s="56">
        <f t="shared" si="0"/>
        <v>251096.4</v>
      </c>
      <c r="T20" s="54" t="s">
        <v>49</v>
      </c>
      <c r="AJ20" s="54" t="s">
        <v>50</v>
      </c>
      <c r="AK20" s="54" t="s">
        <v>49</v>
      </c>
    </row>
    <row r="21" spans="1:38">
      <c r="A21" s="162">
        <v>15</v>
      </c>
      <c r="B21" s="54" t="s">
        <v>51</v>
      </c>
      <c r="C21" s="61">
        <f>$I$21/$I$6*C6</f>
        <v>1580</v>
      </c>
      <c r="D21" s="61">
        <f t="shared" ref="D21:H21" si="13">$I$21/$I$6*D6</f>
        <v>1580</v>
      </c>
      <c r="E21" s="61">
        <f t="shared" si="13"/>
        <v>1580</v>
      </c>
      <c r="F21" s="61">
        <f t="shared" si="13"/>
        <v>1580</v>
      </c>
      <c r="G21" s="61">
        <f t="shared" si="13"/>
        <v>1580</v>
      </c>
      <c r="H21" s="61">
        <f t="shared" si="13"/>
        <v>0</v>
      </c>
      <c r="I21" s="56">
        <f>项目投资!D27</f>
        <v>7900</v>
      </c>
      <c r="T21" s="54" t="s">
        <v>51</v>
      </c>
      <c r="AJ21" s="54"/>
      <c r="AK21" s="54"/>
    </row>
    <row r="22" spans="1:38">
      <c r="A22" s="162">
        <v>16</v>
      </c>
      <c r="B22" s="54" t="s">
        <v>52</v>
      </c>
      <c r="C22" s="56">
        <f>C6*C47</f>
        <v>70400</v>
      </c>
      <c r="D22" s="56">
        <f t="shared" ref="D22:H22" si="14">D6*D47</f>
        <v>30752</v>
      </c>
      <c r="E22" s="56">
        <f t="shared" si="14"/>
        <v>116000</v>
      </c>
      <c r="F22" s="56">
        <f t="shared" si="14"/>
        <v>33643.199999999997</v>
      </c>
      <c r="G22" s="56">
        <f t="shared" si="14"/>
        <v>84000</v>
      </c>
      <c r="H22" s="56">
        <f t="shared" si="14"/>
        <v>0</v>
      </c>
      <c r="I22" s="56">
        <f>SUM(C22:H22)</f>
        <v>334795.2</v>
      </c>
      <c r="T22" s="54" t="s">
        <v>52</v>
      </c>
      <c r="AJ22" s="54" t="s">
        <v>53</v>
      </c>
      <c r="AK22" s="54" t="s">
        <v>52</v>
      </c>
    </row>
    <row r="23" spans="1:38">
      <c r="A23" s="162">
        <v>17</v>
      </c>
      <c r="B23" s="57" t="s">
        <v>54</v>
      </c>
      <c r="C23" s="61">
        <f>+C22+C21+C20+C19+C17</f>
        <v>216300</v>
      </c>
      <c r="D23" s="61">
        <f t="shared" ref="D23:H23" si="15">+D22+D21+D20+D19+D17</f>
        <v>95373.6</v>
      </c>
      <c r="E23" s="61">
        <f t="shared" si="15"/>
        <v>453980</v>
      </c>
      <c r="F23" s="61">
        <f t="shared" si="15"/>
        <v>104191.76000000001</v>
      </c>
      <c r="G23" s="61">
        <f t="shared" si="15"/>
        <v>257780</v>
      </c>
      <c r="H23" s="61">
        <f t="shared" si="15"/>
        <v>0</v>
      </c>
      <c r="I23" s="61">
        <f t="shared" ref="I23" si="16">+I22+I21+I20+I19+I17</f>
        <v>1127625.3599999999</v>
      </c>
      <c r="T23" s="57" t="s">
        <v>54</v>
      </c>
      <c r="AJ23" s="54" t="s">
        <v>55</v>
      </c>
      <c r="AK23" s="57" t="s">
        <v>54</v>
      </c>
    </row>
    <row r="24" spans="1:38">
      <c r="A24" s="162">
        <v>18</v>
      </c>
      <c r="B24" s="62" t="s">
        <v>56</v>
      </c>
      <c r="C24" s="61">
        <f>+C15-C23</f>
        <v>-211426.91771341622</v>
      </c>
      <c r="D24" s="61">
        <f t="shared" ref="D24:H24" si="17">+D15-D23</f>
        <v>-71126.946328451362</v>
      </c>
      <c r="E24" s="61">
        <f t="shared" si="17"/>
        <v>-69938.330323242466</v>
      </c>
      <c r="F24" s="61">
        <f t="shared" si="17"/>
        <v>-30670.979471818253</v>
      </c>
      <c r="G24" s="61">
        <f t="shared" si="17"/>
        <v>163998.45045558293</v>
      </c>
      <c r="H24" s="61">
        <f t="shared" si="17"/>
        <v>0</v>
      </c>
      <c r="I24" s="61">
        <f t="shared" ref="I24" si="18">+I15-I23</f>
        <v>-219164.72338134516</v>
      </c>
      <c r="K24" s="73"/>
      <c r="T24" s="54" t="s">
        <v>56</v>
      </c>
      <c r="AJ24" s="54" t="s">
        <v>57</v>
      </c>
      <c r="AK24" s="54" t="s">
        <v>56</v>
      </c>
    </row>
    <row r="25" spans="1:38">
      <c r="A25" s="162">
        <v>19</v>
      </c>
      <c r="B25" s="54" t="s">
        <v>153</v>
      </c>
      <c r="C25" s="61">
        <f>IF(C24&lt;0,0,C24*0.25)</f>
        <v>0</v>
      </c>
      <c r="D25" s="61">
        <f>IF(D24&lt;0,0,D24*0.15)</f>
        <v>0</v>
      </c>
      <c r="E25" s="61">
        <f t="shared" ref="E25:I25" si="19">IF(E24&lt;0,0,E24*0.25)</f>
        <v>0</v>
      </c>
      <c r="F25" s="61">
        <f>IF(F24&lt;0,0,F24*0.15)</f>
        <v>0</v>
      </c>
      <c r="G25" s="61">
        <f t="shared" si="19"/>
        <v>40999.612613895733</v>
      </c>
      <c r="H25" s="61">
        <f t="shared" si="19"/>
        <v>0</v>
      </c>
      <c r="I25" s="61">
        <f t="shared" si="19"/>
        <v>0</v>
      </c>
      <c r="J25" s="69"/>
      <c r="K25" s="69"/>
      <c r="L25" s="69"/>
      <c r="T25" s="54" t="s">
        <v>58</v>
      </c>
      <c r="AJ25" s="54" t="s">
        <v>59</v>
      </c>
      <c r="AK25" s="54" t="s">
        <v>58</v>
      </c>
    </row>
    <row r="26" spans="1:38">
      <c r="A26" s="162">
        <v>20</v>
      </c>
      <c r="B26" s="54" t="s">
        <v>60</v>
      </c>
      <c r="C26" s="61">
        <f t="shared" ref="C26:H26" si="20">C24-C25</f>
        <v>-211426.91771341622</v>
      </c>
      <c r="D26" s="61">
        <f t="shared" si="20"/>
        <v>-71126.946328451362</v>
      </c>
      <c r="E26" s="61">
        <f t="shared" si="20"/>
        <v>-69938.330323242466</v>
      </c>
      <c r="F26" s="61">
        <f t="shared" si="20"/>
        <v>-30670.979471818253</v>
      </c>
      <c r="G26" s="61">
        <f t="shared" si="20"/>
        <v>122998.8378416872</v>
      </c>
      <c r="H26" s="61">
        <f t="shared" si="20"/>
        <v>0</v>
      </c>
      <c r="I26" s="56">
        <f>SUM(C26:H26)</f>
        <v>-260164.33599524107</v>
      </c>
      <c r="J26" s="69"/>
      <c r="K26" s="69"/>
      <c r="L26" s="69"/>
      <c r="T26" s="54" t="s">
        <v>60</v>
      </c>
      <c r="AJ26" s="54" t="s">
        <v>61</v>
      </c>
      <c r="AK26" s="54" t="s">
        <v>60</v>
      </c>
    </row>
    <row r="27" spans="1:38">
      <c r="A27" s="162">
        <v>21</v>
      </c>
      <c r="B27" s="54" t="s">
        <v>64</v>
      </c>
      <c r="C27" s="63">
        <f t="shared" ref="C27:I27" si="21">C26/C7</f>
        <v>-0.12012893051898649</v>
      </c>
      <c r="D27" s="63">
        <f t="shared" ref="D27:H27" si="22">D26/D7</f>
        <v>-9.2516839657194802E-2</v>
      </c>
      <c r="E27" s="63">
        <f t="shared" si="22"/>
        <v>-2.4116665628704299E-2</v>
      </c>
      <c r="F27" s="63">
        <f t="shared" si="22"/>
        <v>-3.6466185703878648E-2</v>
      </c>
      <c r="G27" s="63">
        <f t="shared" si="22"/>
        <v>5.8570875162708189E-2</v>
      </c>
      <c r="H27" s="63" t="e">
        <f t="shared" si="22"/>
        <v>#DIV/0!</v>
      </c>
      <c r="I27" s="63">
        <f t="shared" si="21"/>
        <v>-3.1083400956195436E-2</v>
      </c>
      <c r="J27" s="69"/>
      <c r="K27" s="69"/>
      <c r="L27" s="69"/>
      <c r="T27" s="54" t="s">
        <v>64</v>
      </c>
      <c r="AJ27" s="54" t="s">
        <v>63</v>
      </c>
      <c r="AK27" s="54" t="s">
        <v>64</v>
      </c>
    </row>
    <row r="28" spans="1:38">
      <c r="J28" s="69"/>
      <c r="K28" s="69"/>
      <c r="L28" s="69"/>
      <c r="T28" s="54"/>
    </row>
    <row r="29" spans="1:38">
      <c r="A29" s="50" t="s">
        <v>65</v>
      </c>
      <c r="I29" s="51" t="s">
        <v>154</v>
      </c>
      <c r="J29" s="69"/>
      <c r="K29" s="69"/>
      <c r="L29" s="69"/>
      <c r="T29" s="54"/>
      <c r="AJ29" s="50" t="s">
        <v>65</v>
      </c>
    </row>
    <row r="30" spans="1:38">
      <c r="A30" s="54" t="s">
        <v>70</v>
      </c>
      <c r="B30" s="57" t="s">
        <v>71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71</v>
      </c>
      <c r="AJ30" s="54" t="s">
        <v>72</v>
      </c>
      <c r="AK30" s="57" t="s">
        <v>71</v>
      </c>
    </row>
    <row r="31" spans="1:38">
      <c r="A31" s="162">
        <v>1</v>
      </c>
      <c r="B31" s="59" t="s">
        <v>73</v>
      </c>
      <c r="C31" s="65">
        <f>销量!C8</f>
        <v>880</v>
      </c>
      <c r="D31" s="65">
        <f>销量!D8</f>
        <v>384.4</v>
      </c>
      <c r="E31" s="65">
        <f>销量!E8</f>
        <v>1450</v>
      </c>
      <c r="F31" s="65">
        <f>销量!F8</f>
        <v>420.54</v>
      </c>
      <c r="G31" s="65">
        <f>销量!G8</f>
        <v>1050</v>
      </c>
      <c r="H31" s="65">
        <f>销量!H8</f>
        <v>0</v>
      </c>
      <c r="I31" s="61"/>
      <c r="J31" s="69"/>
      <c r="K31" s="69"/>
      <c r="L31" s="69"/>
      <c r="N31" s="69"/>
      <c r="T31" s="54" t="s">
        <v>73</v>
      </c>
      <c r="AJ31" s="54" t="s">
        <v>23</v>
      </c>
      <c r="AK31" s="54" t="s">
        <v>73</v>
      </c>
    </row>
    <row r="32" spans="1:38">
      <c r="A32" s="162">
        <v>2</v>
      </c>
      <c r="B32" s="54" t="s">
        <v>155</v>
      </c>
      <c r="C32" s="56">
        <f>C9/C6</f>
        <v>836</v>
      </c>
      <c r="D32" s="56">
        <f t="shared" ref="D32:H32" si="23">D9/D6</f>
        <v>365.18</v>
      </c>
      <c r="E32" s="56">
        <f t="shared" si="23"/>
        <v>1377.5</v>
      </c>
      <c r="F32" s="56">
        <f t="shared" si="23"/>
        <v>399.51299999999998</v>
      </c>
      <c r="G32" s="56">
        <f t="shared" si="23"/>
        <v>997.5</v>
      </c>
      <c r="H32" s="56" t="e">
        <f t="shared" si="23"/>
        <v>#DIV/0!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2">
        <v>3</v>
      </c>
      <c r="B33" s="59" t="s">
        <v>74</v>
      </c>
      <c r="C33" s="56">
        <f>材料成本!F18</f>
        <v>735.62300000000005</v>
      </c>
      <c r="D33" s="56">
        <f>材料成本!F19</f>
        <v>289.13249999999999</v>
      </c>
      <c r="E33" s="56">
        <f>材料成本!F20</f>
        <v>1024.0999999999999</v>
      </c>
      <c r="F33" s="56">
        <f>材料成本!F21</f>
        <v>292.81850000000003</v>
      </c>
      <c r="G33" s="56">
        <f>材料成本!F22</f>
        <v>669.75</v>
      </c>
      <c r="H33" s="56"/>
      <c r="I33" s="61"/>
      <c r="K33" s="69"/>
      <c r="L33" s="69"/>
      <c r="M33" s="69"/>
      <c r="N33" s="69"/>
      <c r="O33" s="69"/>
      <c r="P33" s="69"/>
      <c r="T33" s="54" t="s">
        <v>74</v>
      </c>
      <c r="AJ33" s="54" t="s">
        <v>25</v>
      </c>
      <c r="AK33" s="54" t="s">
        <v>74</v>
      </c>
    </row>
    <row r="34" spans="1:37" ht="17.25" customHeight="1">
      <c r="A34" s="162">
        <v>4</v>
      </c>
      <c r="B34" s="54" t="s">
        <v>76</v>
      </c>
      <c r="C34" s="66">
        <f>C32-C33</f>
        <v>100.37699999999995</v>
      </c>
      <c r="D34" s="66">
        <f t="shared" ref="D34:H34" si="24">D32-D33</f>
        <v>76.047500000000014</v>
      </c>
      <c r="E34" s="66">
        <f t="shared" si="24"/>
        <v>353.40000000000009</v>
      </c>
      <c r="F34" s="66">
        <f t="shared" si="24"/>
        <v>106.69449999999995</v>
      </c>
      <c r="G34" s="66">
        <f t="shared" si="24"/>
        <v>327.75</v>
      </c>
      <c r="H34" s="66" t="e">
        <f t="shared" si="24"/>
        <v>#DIV/0!</v>
      </c>
      <c r="I34" s="61"/>
      <c r="K34" s="69"/>
      <c r="L34" s="69"/>
      <c r="M34" s="69"/>
      <c r="N34" s="69"/>
      <c r="O34" s="69"/>
      <c r="P34" s="69"/>
      <c r="T34" s="54" t="s">
        <v>76</v>
      </c>
      <c r="AJ34" s="54" t="s">
        <v>75</v>
      </c>
      <c r="AK34" s="54" t="s">
        <v>76</v>
      </c>
    </row>
    <row r="35" spans="1:37">
      <c r="A35" s="54" t="s">
        <v>72</v>
      </c>
      <c r="B35" s="57" t="s">
        <v>9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9</v>
      </c>
      <c r="AJ35" s="54" t="s">
        <v>78</v>
      </c>
      <c r="AK35" s="57" t="s">
        <v>9</v>
      </c>
    </row>
    <row r="36" spans="1:37">
      <c r="A36" s="162">
        <v>1</v>
      </c>
      <c r="B36" s="54" t="s">
        <v>79</v>
      </c>
      <c r="C36" s="60">
        <f>'2023年'!C36</f>
        <v>49.473588007760711</v>
      </c>
      <c r="D36" s="60">
        <f>'2023年'!D36</f>
        <v>21.610962761571834</v>
      </c>
      <c r="E36" s="60">
        <f>'2023年'!E36</f>
        <v>81.518980240060259</v>
      </c>
      <c r="F36" s="60">
        <f>'2023年'!F36</f>
        <v>23.642753069072374</v>
      </c>
      <c r="G36" s="60">
        <f>'2023年'!G36</f>
        <v>59.030985691078115</v>
      </c>
      <c r="H36" s="60"/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79</v>
      </c>
      <c r="AJ36" s="54" t="s">
        <v>75</v>
      </c>
      <c r="AK36" s="54" t="s">
        <v>79</v>
      </c>
    </row>
    <row r="37" spans="1:37">
      <c r="A37" s="162">
        <v>2</v>
      </c>
      <c r="B37" s="54" t="s">
        <v>80</v>
      </c>
      <c r="C37" s="60">
        <f>'2023年'!C37</f>
        <v>13.266870848947413</v>
      </c>
      <c r="D37" s="60">
        <f>'2023年'!D37</f>
        <v>5.7952104026538462</v>
      </c>
      <c r="E37" s="60">
        <f>'2023年'!E37</f>
        <v>21.860184921561078</v>
      </c>
      <c r="F37" s="60">
        <f>'2023年'!F37</f>
        <v>6.3400566668367553</v>
      </c>
      <c r="G37" s="60">
        <f>'2023年'!G37</f>
        <v>15.829789081130436</v>
      </c>
      <c r="H37" s="60"/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80</v>
      </c>
      <c r="AJ37" s="54" t="s">
        <v>28</v>
      </c>
      <c r="AK37" s="54" t="s">
        <v>80</v>
      </c>
    </row>
    <row r="38" spans="1:37">
      <c r="A38" s="162">
        <v>3</v>
      </c>
      <c r="B38" s="54" t="s">
        <v>81</v>
      </c>
      <c r="C38" s="60">
        <f>'2023年'!C38</f>
        <v>35.199999999999996</v>
      </c>
      <c r="D38" s="60">
        <f>'2023年'!D38</f>
        <v>36.518000000000001</v>
      </c>
      <c r="E38" s="60">
        <f>'2023年'!E38</f>
        <v>57.999999999999993</v>
      </c>
      <c r="F38" s="60">
        <f>'2023年'!F38</f>
        <v>39.951300000000003</v>
      </c>
      <c r="G38" s="60">
        <f>'2023年'!G38</f>
        <v>41.999999999999993</v>
      </c>
      <c r="H38" s="60"/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81</v>
      </c>
      <c r="AJ38" s="54" t="s">
        <v>34</v>
      </c>
      <c r="AK38" s="54" t="s">
        <v>81</v>
      </c>
    </row>
    <row r="39" spans="1:37">
      <c r="A39" s="54" t="s">
        <v>78</v>
      </c>
      <c r="B39" s="57" t="s">
        <v>83</v>
      </c>
      <c r="C39" s="61"/>
      <c r="D39" s="61"/>
      <c r="E39" s="61"/>
      <c r="F39" s="61"/>
      <c r="G39" s="61"/>
      <c r="H39" s="61"/>
      <c r="I39" s="61"/>
      <c r="T39" s="57" t="s">
        <v>83</v>
      </c>
      <c r="AJ39" s="54" t="s">
        <v>82</v>
      </c>
      <c r="AK39" s="57" t="s">
        <v>83</v>
      </c>
    </row>
    <row r="40" spans="1:37">
      <c r="A40" s="162">
        <v>1</v>
      </c>
      <c r="B40" s="54" t="s">
        <v>85</v>
      </c>
      <c r="C40" s="61">
        <f>C34-C36-C37-C38</f>
        <v>2.4365411432918336</v>
      </c>
      <c r="D40" s="61">
        <f t="shared" ref="D40:H40" si="25">D34-D36-D37-D38</f>
        <v>12.123326835774336</v>
      </c>
      <c r="E40" s="61">
        <f t="shared" si="25"/>
        <v>192.02083483837873</v>
      </c>
      <c r="F40" s="61">
        <f t="shared" si="25"/>
        <v>36.760390264090816</v>
      </c>
      <c r="G40" s="61">
        <f t="shared" si="25"/>
        <v>210.88922522779146</v>
      </c>
      <c r="H40" s="61" t="e">
        <f t="shared" si="25"/>
        <v>#DIV/0!</v>
      </c>
      <c r="I40" s="61"/>
      <c r="T40" s="54" t="s">
        <v>85</v>
      </c>
      <c r="AJ40" s="54" t="s">
        <v>23</v>
      </c>
      <c r="AK40" s="54" t="s">
        <v>85</v>
      </c>
    </row>
    <row r="41" spans="1:37">
      <c r="A41" s="162">
        <v>2</v>
      </c>
      <c r="B41" s="54" t="s">
        <v>86</v>
      </c>
      <c r="C41" s="61"/>
      <c r="D41" s="61"/>
      <c r="E41" s="61"/>
      <c r="F41" s="61"/>
      <c r="G41" s="61"/>
      <c r="H41" s="61"/>
      <c r="I41" s="61"/>
      <c r="T41" s="54" t="s">
        <v>86</v>
      </c>
      <c r="AJ41" s="54" t="s">
        <v>25</v>
      </c>
      <c r="AK41" s="54" t="s">
        <v>86</v>
      </c>
    </row>
    <row r="42" spans="1:37">
      <c r="A42" s="54" t="s">
        <v>82</v>
      </c>
      <c r="B42" s="57" t="s">
        <v>88</v>
      </c>
      <c r="C42" s="61"/>
      <c r="D42" s="61"/>
      <c r="E42" s="61"/>
      <c r="F42" s="61"/>
      <c r="G42" s="61"/>
      <c r="H42" s="61"/>
      <c r="I42" s="61"/>
      <c r="T42" s="57" t="s">
        <v>88</v>
      </c>
      <c r="AJ42" s="54" t="s">
        <v>87</v>
      </c>
      <c r="AK42" s="57" t="s">
        <v>88</v>
      </c>
    </row>
    <row r="43" spans="1:37">
      <c r="A43" s="162">
        <v>1</v>
      </c>
      <c r="B43" s="62" t="s">
        <v>89</v>
      </c>
      <c r="C43" s="60">
        <f>'2023年'!C43</f>
        <v>39.6</v>
      </c>
      <c r="D43" s="60">
        <f>'2023年'!D43</f>
        <v>17.297999999999998</v>
      </c>
      <c r="E43" s="60">
        <f>'2023年'!E43</f>
        <v>114.55</v>
      </c>
      <c r="F43" s="60">
        <f>'2023年'!F43</f>
        <v>18.924299999999999</v>
      </c>
      <c r="G43" s="60">
        <f>'2023年'!G43</f>
        <v>47.25</v>
      </c>
      <c r="H43" s="60"/>
      <c r="I43" s="61"/>
      <c r="T43" s="54" t="s">
        <v>89</v>
      </c>
      <c r="AJ43" s="54" t="s">
        <v>23</v>
      </c>
      <c r="AK43" s="54" t="s">
        <v>89</v>
      </c>
    </row>
    <row r="44" spans="1:37">
      <c r="A44" s="162">
        <v>2</v>
      </c>
      <c r="B44" s="62" t="s">
        <v>90</v>
      </c>
      <c r="C44" s="60">
        <f>'2023年'!C44</f>
        <v>6.16</v>
      </c>
      <c r="D44" s="60">
        <f>'2023年'!D44</f>
        <v>2.6907999999999999</v>
      </c>
      <c r="E44" s="60">
        <f>'2023年'!E44</f>
        <v>10.15</v>
      </c>
      <c r="F44" s="60">
        <f>'2023年'!F44</f>
        <v>2.9437800000000003</v>
      </c>
      <c r="G44" s="60">
        <f>'2023年'!G44</f>
        <v>7.3500000000000005</v>
      </c>
      <c r="H44" s="60"/>
      <c r="I44" s="61"/>
      <c r="T44" s="54" t="s">
        <v>90</v>
      </c>
      <c r="AJ44" s="54" t="s">
        <v>25</v>
      </c>
      <c r="AK44" s="54" t="s">
        <v>90</v>
      </c>
    </row>
    <row r="45" spans="1:37">
      <c r="A45" s="162">
        <v>3</v>
      </c>
      <c r="B45" s="62" t="s">
        <v>91</v>
      </c>
      <c r="C45" s="60">
        <f>'2023年'!C45</f>
        <v>26.4</v>
      </c>
      <c r="D45" s="60">
        <f>'2023年'!D45</f>
        <v>11.531999999999998</v>
      </c>
      <c r="E45" s="60">
        <f>'2023年'!E45</f>
        <v>43.5</v>
      </c>
      <c r="F45" s="60">
        <f>'2023年'!F45</f>
        <v>12.616200000000001</v>
      </c>
      <c r="G45" s="60">
        <f>'2023年'!G45</f>
        <v>31.5</v>
      </c>
      <c r="H45" s="60"/>
      <c r="I45" s="61"/>
      <c r="T45" s="54" t="s">
        <v>91</v>
      </c>
      <c r="AJ45" s="54" t="s">
        <v>75</v>
      </c>
      <c r="AK45" s="54" t="s">
        <v>91</v>
      </c>
    </row>
    <row r="46" spans="1:37" s="49" customFormat="1">
      <c r="A46" s="162">
        <v>4</v>
      </c>
      <c r="B46" s="62" t="s">
        <v>92</v>
      </c>
      <c r="C46" s="67">
        <f>C21/C6</f>
        <v>0.79</v>
      </c>
      <c r="D46" s="67">
        <f t="shared" ref="D46:H46" si="26">D21/D6</f>
        <v>0.79</v>
      </c>
      <c r="E46" s="67">
        <f t="shared" si="26"/>
        <v>0.79</v>
      </c>
      <c r="F46" s="67">
        <f t="shared" si="26"/>
        <v>0.79</v>
      </c>
      <c r="G46" s="67">
        <f t="shared" si="26"/>
        <v>0.79</v>
      </c>
      <c r="H46" s="67" t="e">
        <f t="shared" si="26"/>
        <v>#DIV/0!</v>
      </c>
      <c r="I46" s="67"/>
      <c r="T46" s="62" t="s">
        <v>94</v>
      </c>
      <c r="AJ46" s="62" t="s">
        <v>31</v>
      </c>
      <c r="AK46" s="62" t="s">
        <v>94</v>
      </c>
    </row>
    <row r="47" spans="1:37" s="49" customFormat="1">
      <c r="A47" s="162">
        <v>5</v>
      </c>
      <c r="B47" s="62" t="s">
        <v>94</v>
      </c>
      <c r="C47" s="60">
        <f>'2023年'!C47</f>
        <v>35.200000000000003</v>
      </c>
      <c r="D47" s="60">
        <f>'2023年'!D47</f>
        <v>15.375999999999999</v>
      </c>
      <c r="E47" s="60">
        <f>'2023年'!E47</f>
        <v>58</v>
      </c>
      <c r="F47" s="60">
        <f>'2023年'!F47</f>
        <v>16.8216</v>
      </c>
      <c r="G47" s="60">
        <f>'2023年'!G47</f>
        <v>42</v>
      </c>
      <c r="H47" s="67"/>
      <c r="I47" s="67"/>
      <c r="T47" s="62" t="s">
        <v>94</v>
      </c>
      <c r="AJ47" s="62" t="s">
        <v>31</v>
      </c>
      <c r="AK47" s="62" t="s">
        <v>94</v>
      </c>
    </row>
    <row r="48" spans="1:37">
      <c r="A48" s="54" t="s">
        <v>87</v>
      </c>
      <c r="B48" s="57" t="s">
        <v>105</v>
      </c>
      <c r="C48" s="61">
        <f>C40-C43-C44-C45-C47-C46</f>
        <v>-105.71345885670817</v>
      </c>
      <c r="D48" s="61">
        <f t="shared" ref="D48:H48" si="27">D40-D43-D44-D45-D47-D46</f>
        <v>-35.563473164225655</v>
      </c>
      <c r="E48" s="61">
        <f t="shared" si="27"/>
        <v>-34.96916516162127</v>
      </c>
      <c r="F48" s="61">
        <f t="shared" si="27"/>
        <v>-15.335489735909185</v>
      </c>
      <c r="G48" s="61">
        <f t="shared" si="27"/>
        <v>81.999225227791456</v>
      </c>
      <c r="H48" s="61" t="e">
        <f t="shared" si="27"/>
        <v>#DIV/0!</v>
      </c>
      <c r="I48" s="61"/>
      <c r="T48" s="57" t="s">
        <v>105</v>
      </c>
      <c r="AJ48" s="54" t="s">
        <v>104</v>
      </c>
      <c r="AK48" s="57" t="s">
        <v>105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7" activePane="bottomRight" state="frozen"/>
      <selection pane="topRight"/>
      <selection pane="bottomLeft"/>
      <selection pane="bottomRight" activeCell="I11" sqref="I11:I13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200" t="s">
        <v>145</v>
      </c>
      <c r="B1" s="200"/>
      <c r="C1" s="204" t="s">
        <v>246</v>
      </c>
      <c r="D1" s="205"/>
      <c r="E1" s="205"/>
      <c r="F1" s="205"/>
      <c r="G1" s="205"/>
      <c r="H1" s="205"/>
      <c r="I1" s="206"/>
    </row>
    <row r="2" spans="1:38">
      <c r="A2" s="200" t="s">
        <v>146</v>
      </c>
      <c r="B2" s="200"/>
      <c r="C2" s="207" t="str">
        <f>'2023年'!C2:I2</f>
        <v>一汽解放</v>
      </c>
      <c r="D2" s="207"/>
      <c r="E2" s="207"/>
      <c r="F2" s="207"/>
      <c r="G2" s="207"/>
      <c r="H2" s="207"/>
      <c r="I2" s="207"/>
    </row>
    <row r="3" spans="1:38">
      <c r="A3" s="200" t="s">
        <v>147</v>
      </c>
      <c r="B3" s="200"/>
      <c r="C3" s="163" t="str">
        <f>销量!C5</f>
        <v>驾驶员座总成</v>
      </c>
      <c r="D3" s="163" t="str">
        <f>销量!D5</f>
        <v>副驾驶员座椅总成</v>
      </c>
      <c r="E3" s="163" t="str">
        <f>销量!E5</f>
        <v>驾驶员座椅总成</v>
      </c>
      <c r="F3" s="163" t="str">
        <f>销量!F5</f>
        <v>副驾驶员座椅总成</v>
      </c>
      <c r="G3" s="163" t="str">
        <f>销量!G5</f>
        <v>驾驶员座椅总成</v>
      </c>
      <c r="H3" s="163">
        <f>销量!H5</f>
        <v>0</v>
      </c>
      <c r="I3" s="201" t="s">
        <v>19</v>
      </c>
    </row>
    <row r="4" spans="1:38" ht="28.5">
      <c r="A4" s="200" t="s">
        <v>148</v>
      </c>
      <c r="B4" s="200"/>
      <c r="C4" s="163" t="str">
        <f>销量!C6</f>
        <v>6800010AH95-C00</v>
      </c>
      <c r="D4" s="163" t="str">
        <f>销量!D6</f>
        <v>6903010-H87-C006905100-H87-C006905020-H87-C00</v>
      </c>
      <c r="E4" s="163" t="str">
        <f>销量!E6</f>
        <v>6800010-H95-C00</v>
      </c>
      <c r="F4" s="163" t="str">
        <f>销量!F6</f>
        <v>6903010-H95-C00690510-H95-C006905020-H95-C00</v>
      </c>
      <c r="G4" s="163" t="str">
        <f>销量!G6</f>
        <v>6800010DH26-C00</v>
      </c>
      <c r="H4" s="163">
        <f>销量!H6</f>
        <v>0</v>
      </c>
      <c r="I4" s="202"/>
    </row>
    <row r="5" spans="1:38">
      <c r="A5" s="200" t="s">
        <v>149</v>
      </c>
      <c r="B5" s="200"/>
      <c r="C5" s="53"/>
      <c r="D5" s="53"/>
      <c r="E5" s="53"/>
      <c r="F5" s="53"/>
      <c r="G5" s="53"/>
      <c r="H5" s="53"/>
      <c r="I5" s="203"/>
      <c r="AL5" s="50" t="s">
        <v>20</v>
      </c>
    </row>
    <row r="6" spans="1:38" ht="17.25">
      <c r="A6" s="54" t="s">
        <v>17</v>
      </c>
      <c r="B6" s="55" t="s">
        <v>150</v>
      </c>
      <c r="C6" s="23">
        <f>销量!C11</f>
        <v>2000</v>
      </c>
      <c r="D6" s="23">
        <f>销量!D11</f>
        <v>2000</v>
      </c>
      <c r="E6" s="23">
        <f>销量!E11</f>
        <v>2000</v>
      </c>
      <c r="F6" s="23">
        <f>销量!F11</f>
        <v>2000</v>
      </c>
      <c r="G6" s="23">
        <f>销量!G11</f>
        <v>2000</v>
      </c>
      <c r="H6" s="23">
        <f>销量!H11</f>
        <v>0</v>
      </c>
      <c r="I6" s="56">
        <f>SUM(C6:H6)</f>
        <v>10000</v>
      </c>
      <c r="T6" s="55" t="s">
        <v>3</v>
      </c>
      <c r="AJ6" s="54" t="s">
        <v>17</v>
      </c>
      <c r="AK6" s="55" t="s">
        <v>3</v>
      </c>
      <c r="AL6" s="50" t="s">
        <v>21</v>
      </c>
    </row>
    <row r="7" spans="1:38">
      <c r="A7" s="162">
        <v>1</v>
      </c>
      <c r="B7" s="55" t="s">
        <v>22</v>
      </c>
      <c r="C7" s="56">
        <f>C6*销量!C8</f>
        <v>1760000</v>
      </c>
      <c r="D7" s="56">
        <f>D6*销量!D8</f>
        <v>768800</v>
      </c>
      <c r="E7" s="56">
        <f>E6*销量!E8</f>
        <v>2900000</v>
      </c>
      <c r="F7" s="56">
        <f>F6*销量!F8</f>
        <v>841080</v>
      </c>
      <c r="G7" s="56">
        <f>G6*销量!G8</f>
        <v>2100000</v>
      </c>
      <c r="H7" s="56">
        <f>H6*销量!H8</f>
        <v>0</v>
      </c>
      <c r="I7" s="56">
        <f>SUM(C7:H7)</f>
        <v>8369880</v>
      </c>
      <c r="J7" s="51"/>
      <c r="T7" s="55" t="s">
        <v>22</v>
      </c>
      <c r="AJ7" s="54" t="s">
        <v>23</v>
      </c>
      <c r="AK7" s="55" t="s">
        <v>22</v>
      </c>
      <c r="AL7" s="50" t="s">
        <v>21</v>
      </c>
    </row>
    <row r="8" spans="1:38">
      <c r="A8" s="162">
        <v>2</v>
      </c>
      <c r="B8" s="162" t="s">
        <v>24</v>
      </c>
      <c r="C8" s="56">
        <f>C7*(1-销量!$L$8)</f>
        <v>171600.00000000006</v>
      </c>
      <c r="D8" s="56">
        <f>D7*(1-销量!$L$8)</f>
        <v>74958.000000000029</v>
      </c>
      <c r="E8" s="56">
        <f>E7*(1-销量!$L$8)</f>
        <v>282750.00000000012</v>
      </c>
      <c r="F8" s="56">
        <f>F7*(1-销量!$L$8)</f>
        <v>82005.300000000032</v>
      </c>
      <c r="G8" s="56">
        <f>G7*(1-销量!$L$8)</f>
        <v>204750.00000000006</v>
      </c>
      <c r="H8" s="56">
        <f>H7*(1-销量!$L$8)</f>
        <v>0</v>
      </c>
      <c r="I8" s="56">
        <f t="shared" ref="I8:I15" si="0">SUM(C8:H8)</f>
        <v>816063.30000000028</v>
      </c>
      <c r="J8" s="71"/>
      <c r="T8" s="162" t="s">
        <v>26</v>
      </c>
      <c r="AJ8" s="54" t="s">
        <v>25</v>
      </c>
      <c r="AK8" s="162" t="s">
        <v>26</v>
      </c>
      <c r="AL8" s="50" t="s">
        <v>21</v>
      </c>
    </row>
    <row r="9" spans="1:38">
      <c r="A9" s="162">
        <v>3</v>
      </c>
      <c r="B9" s="55" t="s">
        <v>27</v>
      </c>
      <c r="C9" s="56">
        <f>+C7-C8</f>
        <v>1588400</v>
      </c>
      <c r="D9" s="56">
        <f t="shared" ref="D9:H9" si="1">+D7-D8</f>
        <v>693842</v>
      </c>
      <c r="E9" s="56">
        <f t="shared" si="1"/>
        <v>2617250</v>
      </c>
      <c r="F9" s="56">
        <f t="shared" si="1"/>
        <v>759074.7</v>
      </c>
      <c r="G9" s="56">
        <f t="shared" si="1"/>
        <v>1895250</v>
      </c>
      <c r="H9" s="56">
        <f t="shared" si="1"/>
        <v>0</v>
      </c>
      <c r="I9" s="56">
        <f t="shared" si="0"/>
        <v>7553816.7000000002</v>
      </c>
      <c r="T9" s="55" t="s">
        <v>27</v>
      </c>
      <c r="AJ9" s="54" t="s">
        <v>28</v>
      </c>
      <c r="AK9" s="55" t="s">
        <v>27</v>
      </c>
      <c r="AL9" s="50" t="s">
        <v>29</v>
      </c>
    </row>
    <row r="10" spans="1:38">
      <c r="A10" s="162">
        <v>4</v>
      </c>
      <c r="B10" s="54" t="s">
        <v>30</v>
      </c>
      <c r="C10" s="56">
        <f>C6*材料成本!G18</f>
        <v>1397683.7</v>
      </c>
      <c r="D10" s="56">
        <f>D6*材料成本!G19</f>
        <v>549351.74999999988</v>
      </c>
      <c r="E10" s="56">
        <f>E6*材料成本!G20</f>
        <v>1945789.9999999998</v>
      </c>
      <c r="F10" s="56">
        <f>F6*材料成本!G21</f>
        <v>556355.15</v>
      </c>
      <c r="G10" s="56">
        <f>G6*材料成本!G22</f>
        <v>1272524.9999999998</v>
      </c>
      <c r="H10" s="56"/>
      <c r="I10" s="56">
        <f t="shared" si="0"/>
        <v>5721705.5999999996</v>
      </c>
      <c r="T10" s="54" t="s">
        <v>30</v>
      </c>
      <c r="AJ10" s="54" t="s">
        <v>31</v>
      </c>
      <c r="AK10" s="54" t="s">
        <v>30</v>
      </c>
      <c r="AL10" s="50" t="s">
        <v>32</v>
      </c>
    </row>
    <row r="11" spans="1:38">
      <c r="A11" s="162">
        <v>5</v>
      </c>
      <c r="B11" s="54" t="s">
        <v>33</v>
      </c>
      <c r="C11" s="56">
        <f>+C6*C36</f>
        <v>98947.176015521414</v>
      </c>
      <c r="D11" s="56">
        <f t="shared" ref="D11:H11" si="2">+D6*D36</f>
        <v>43221.925523143669</v>
      </c>
      <c r="E11" s="56">
        <f t="shared" si="2"/>
        <v>163037.96048012053</v>
      </c>
      <c r="F11" s="56">
        <f t="shared" si="2"/>
        <v>47285.506138144745</v>
      </c>
      <c r="G11" s="56">
        <f t="shared" si="2"/>
        <v>118061.97138215623</v>
      </c>
      <c r="H11" s="56">
        <f t="shared" si="2"/>
        <v>0</v>
      </c>
      <c r="I11" s="56">
        <f t="shared" si="0"/>
        <v>470554.53953908663</v>
      </c>
      <c r="T11" s="54" t="s">
        <v>33</v>
      </c>
      <c r="AJ11" s="54" t="s">
        <v>34</v>
      </c>
      <c r="AK11" s="54" t="s">
        <v>33</v>
      </c>
    </row>
    <row r="12" spans="1:38">
      <c r="A12" s="162">
        <v>6</v>
      </c>
      <c r="B12" s="54" t="s">
        <v>35</v>
      </c>
      <c r="C12" s="56">
        <f>+C6*C37</f>
        <v>26533.741697894824</v>
      </c>
      <c r="D12" s="56">
        <f t="shared" ref="D12:H12" si="3">+D6*D37</f>
        <v>11590.420805307693</v>
      </c>
      <c r="E12" s="56">
        <f t="shared" si="3"/>
        <v>43720.369843122156</v>
      </c>
      <c r="F12" s="56">
        <f t="shared" si="3"/>
        <v>12680.113333673511</v>
      </c>
      <c r="G12" s="56">
        <f t="shared" si="3"/>
        <v>31659.57816226087</v>
      </c>
      <c r="H12" s="56">
        <f t="shared" si="3"/>
        <v>0</v>
      </c>
      <c r="I12" s="56">
        <f t="shared" si="0"/>
        <v>126184.22384225906</v>
      </c>
      <c r="T12" s="54" t="s">
        <v>35</v>
      </c>
      <c r="AJ12" s="54" t="s">
        <v>36</v>
      </c>
      <c r="AK12" s="54" t="s">
        <v>35</v>
      </c>
    </row>
    <row r="13" spans="1:38">
      <c r="A13" s="162">
        <v>7</v>
      </c>
      <c r="B13" s="54" t="s">
        <v>37</v>
      </c>
      <c r="C13" s="56">
        <f>+C6*C38</f>
        <v>70399.999999999985</v>
      </c>
      <c r="D13" s="56">
        <f t="shared" ref="D13:H13" si="4">+D6*D38</f>
        <v>73036</v>
      </c>
      <c r="E13" s="56">
        <f t="shared" si="4"/>
        <v>115999.99999999999</v>
      </c>
      <c r="F13" s="56">
        <f t="shared" si="4"/>
        <v>79902.600000000006</v>
      </c>
      <c r="G13" s="56">
        <f t="shared" si="4"/>
        <v>83999.999999999985</v>
      </c>
      <c r="H13" s="56">
        <f t="shared" si="4"/>
        <v>0</v>
      </c>
      <c r="I13" s="56">
        <f t="shared" si="0"/>
        <v>423338.6</v>
      </c>
      <c r="T13" s="54" t="s">
        <v>37</v>
      </c>
      <c r="AJ13" s="54" t="s">
        <v>38</v>
      </c>
      <c r="AK13" s="54" t="s">
        <v>37</v>
      </c>
      <c r="AL13" s="50" t="s">
        <v>21</v>
      </c>
    </row>
    <row r="14" spans="1:38">
      <c r="A14" s="162">
        <v>8</v>
      </c>
      <c r="B14" s="57" t="s">
        <v>39</v>
      </c>
      <c r="C14" s="56">
        <f>SUM(C11:C13)</f>
        <v>195880.91771341622</v>
      </c>
      <c r="D14" s="56">
        <f t="shared" ref="D14:H14" si="5">SUM(D11:D13)</f>
        <v>127848.34632845136</v>
      </c>
      <c r="E14" s="56">
        <f t="shared" si="5"/>
        <v>322758.3303232427</v>
      </c>
      <c r="F14" s="56">
        <f t="shared" si="5"/>
        <v>139868.21947181824</v>
      </c>
      <c r="G14" s="56">
        <f t="shared" si="5"/>
        <v>233721.54954441707</v>
      </c>
      <c r="H14" s="56">
        <f t="shared" si="5"/>
        <v>0</v>
      </c>
      <c r="I14" s="56">
        <f t="shared" si="0"/>
        <v>1020077.3633813455</v>
      </c>
      <c r="T14" s="57" t="s">
        <v>39</v>
      </c>
      <c r="AJ14" s="54" t="s">
        <v>40</v>
      </c>
      <c r="AK14" s="57" t="s">
        <v>39</v>
      </c>
    </row>
    <row r="15" spans="1:38">
      <c r="A15" s="162">
        <v>9</v>
      </c>
      <c r="B15" s="57" t="s">
        <v>41</v>
      </c>
      <c r="C15" s="56">
        <f>+C9-C10-C14</f>
        <v>-5164.6177134161699</v>
      </c>
      <c r="D15" s="56">
        <f t="shared" ref="D15:H15" si="6">+D9-D10-D14</f>
        <v>16641.90367154876</v>
      </c>
      <c r="E15" s="56">
        <f t="shared" si="6"/>
        <v>348701.66967675753</v>
      </c>
      <c r="F15" s="56">
        <f t="shared" si="6"/>
        <v>62851.330528181687</v>
      </c>
      <c r="G15" s="56">
        <f t="shared" si="6"/>
        <v>389003.45045558317</v>
      </c>
      <c r="H15" s="56">
        <f t="shared" si="6"/>
        <v>0</v>
      </c>
      <c r="I15" s="56">
        <f t="shared" si="0"/>
        <v>812033.73661865504</v>
      </c>
      <c r="T15" s="57" t="s">
        <v>41</v>
      </c>
      <c r="AJ15" s="54" t="s">
        <v>42</v>
      </c>
      <c r="AK15" s="57" t="s">
        <v>41</v>
      </c>
    </row>
    <row r="16" spans="1:38">
      <c r="A16" s="162">
        <v>10</v>
      </c>
      <c r="B16" s="54" t="s">
        <v>43</v>
      </c>
      <c r="C16" s="58">
        <f>+C15/C9</f>
        <v>-3.2514591497205805E-3</v>
      </c>
      <c r="D16" s="58">
        <f t="shared" ref="D16:H16" si="7">+D15/D9</f>
        <v>2.3985148883389533E-2</v>
      </c>
      <c r="E16" s="58">
        <f t="shared" si="7"/>
        <v>0.13323208317002866</v>
      </c>
      <c r="F16" s="58">
        <f t="shared" si="7"/>
        <v>8.2799928028403122E-2</v>
      </c>
      <c r="G16" s="58">
        <f t="shared" si="7"/>
        <v>0.20525178760352628</v>
      </c>
      <c r="H16" s="58" t="e">
        <f t="shared" si="7"/>
        <v>#DIV/0!</v>
      </c>
      <c r="I16" s="58">
        <f t="shared" ref="I16" si="8">+I15/I9</f>
        <v>0.10749979366307036</v>
      </c>
      <c r="T16" s="54" t="s">
        <v>43</v>
      </c>
      <c r="AJ16" s="54" t="s">
        <v>44</v>
      </c>
      <c r="AK16" s="54" t="s">
        <v>43</v>
      </c>
    </row>
    <row r="17" spans="1:38">
      <c r="A17" s="162">
        <v>11</v>
      </c>
      <c r="B17" s="54" t="s">
        <v>45</v>
      </c>
      <c r="C17" s="56">
        <f>C6*C43+C18</f>
        <v>79200</v>
      </c>
      <c r="D17" s="56">
        <f t="shared" ref="D17:H17" si="9">D6*D43+D18</f>
        <v>34596</v>
      </c>
      <c r="E17" s="56">
        <f t="shared" si="9"/>
        <v>229100</v>
      </c>
      <c r="F17" s="56">
        <f t="shared" si="9"/>
        <v>37848.6</v>
      </c>
      <c r="G17" s="56">
        <f t="shared" si="9"/>
        <v>94500</v>
      </c>
      <c r="H17" s="56">
        <f t="shared" si="9"/>
        <v>0</v>
      </c>
      <c r="I17" s="56">
        <f>SUM(C17:H17)</f>
        <v>475244.6</v>
      </c>
      <c r="J17" s="71"/>
      <c r="T17" s="54" t="s">
        <v>45</v>
      </c>
      <c r="AJ17" s="54" t="s">
        <v>46</v>
      </c>
      <c r="AK17" s="54" t="s">
        <v>45</v>
      </c>
    </row>
    <row r="18" spans="1:38" s="48" customFormat="1">
      <c r="A18" s="162">
        <v>12</v>
      </c>
      <c r="B18" s="59" t="s">
        <v>151</v>
      </c>
      <c r="C18" s="60">
        <f>$I$18/$I$6*C6</f>
        <v>0</v>
      </c>
      <c r="D18" s="60">
        <f t="shared" ref="D18:H18" si="10">$I$18/$I$6*D6</f>
        <v>0</v>
      </c>
      <c r="E18" s="60">
        <f t="shared" si="10"/>
        <v>0</v>
      </c>
      <c r="F18" s="60">
        <f t="shared" si="10"/>
        <v>0</v>
      </c>
      <c r="G18" s="60">
        <f t="shared" si="10"/>
        <v>0</v>
      </c>
      <c r="H18" s="60">
        <f t="shared" si="10"/>
        <v>0</v>
      </c>
      <c r="I18" s="60">
        <f>项目投资!D26</f>
        <v>0</v>
      </c>
      <c r="J18" s="72" t="s">
        <v>152</v>
      </c>
      <c r="K18" s="72"/>
      <c r="L18" s="72"/>
    </row>
    <row r="19" spans="1:38">
      <c r="A19" s="162">
        <v>13</v>
      </c>
      <c r="B19" s="54" t="s">
        <v>47</v>
      </c>
      <c r="C19" s="56">
        <f>C6*C44</f>
        <v>12320</v>
      </c>
      <c r="D19" s="56">
        <f t="shared" ref="D19:G19" si="11">D6*D44</f>
        <v>5381.5999999999995</v>
      </c>
      <c r="E19" s="56">
        <f t="shared" si="11"/>
        <v>20300</v>
      </c>
      <c r="F19" s="56">
        <f t="shared" si="11"/>
        <v>5887.56</v>
      </c>
      <c r="G19" s="56">
        <f t="shared" si="11"/>
        <v>14700.000000000002</v>
      </c>
      <c r="H19" s="56">
        <f t="shared" ref="D19:H19" si="12">H6*H44</f>
        <v>0</v>
      </c>
      <c r="I19" s="56">
        <f>SUM(C19:G19)</f>
        <v>58589.159999999996</v>
      </c>
      <c r="J19" s="48"/>
      <c r="T19" s="54" t="s">
        <v>47</v>
      </c>
      <c r="AJ19" s="54" t="s">
        <v>48</v>
      </c>
      <c r="AK19" s="54" t="s">
        <v>47</v>
      </c>
      <c r="AL19" s="50" t="s">
        <v>21</v>
      </c>
    </row>
    <row r="20" spans="1:38">
      <c r="A20" s="162">
        <v>14</v>
      </c>
      <c r="B20" s="54" t="s">
        <v>49</v>
      </c>
      <c r="C20" s="56">
        <f>C6*C45</f>
        <v>52800</v>
      </c>
      <c r="D20" s="56">
        <f t="shared" ref="D20:H20" si="13">D6*D45</f>
        <v>23063.999999999996</v>
      </c>
      <c r="E20" s="56">
        <f t="shared" si="13"/>
        <v>87000</v>
      </c>
      <c r="F20" s="56">
        <f t="shared" si="13"/>
        <v>25232.400000000001</v>
      </c>
      <c r="G20" s="56">
        <f t="shared" si="13"/>
        <v>63000</v>
      </c>
      <c r="H20" s="56">
        <f t="shared" si="13"/>
        <v>0</v>
      </c>
      <c r="I20" s="56">
        <f>SUM(C20:H20)</f>
        <v>251096.4</v>
      </c>
      <c r="T20" s="54" t="s">
        <v>49</v>
      </c>
      <c r="AJ20" s="54" t="s">
        <v>50</v>
      </c>
      <c r="AK20" s="54" t="s">
        <v>49</v>
      </c>
    </row>
    <row r="21" spans="1:38">
      <c r="A21" s="162">
        <v>15</v>
      </c>
      <c r="B21" s="54" t="s">
        <v>51</v>
      </c>
      <c r="C21" s="61">
        <f>$I$21/$I$6*C6</f>
        <v>1580</v>
      </c>
      <c r="D21" s="61">
        <f t="shared" ref="D21:H21" si="14">$I$21/$I$6*D6</f>
        <v>1580</v>
      </c>
      <c r="E21" s="61">
        <f t="shared" si="14"/>
        <v>1580</v>
      </c>
      <c r="F21" s="61">
        <f t="shared" si="14"/>
        <v>1580</v>
      </c>
      <c r="G21" s="61">
        <f t="shared" si="14"/>
        <v>1580</v>
      </c>
      <c r="H21" s="61">
        <f t="shared" si="14"/>
        <v>0</v>
      </c>
      <c r="I21" s="56">
        <f>项目投资!D27</f>
        <v>7900</v>
      </c>
      <c r="T21" s="54" t="s">
        <v>51</v>
      </c>
      <c r="AJ21" s="54"/>
      <c r="AK21" s="54"/>
    </row>
    <row r="22" spans="1:38">
      <c r="A22" s="162">
        <v>16</v>
      </c>
      <c r="B22" s="54" t="s">
        <v>52</v>
      </c>
      <c r="C22" s="56">
        <f>C6*C47</f>
        <v>70400</v>
      </c>
      <c r="D22" s="56">
        <f t="shared" ref="D22:H22" si="15">D6*D47</f>
        <v>30752</v>
      </c>
      <c r="E22" s="56">
        <f t="shared" si="15"/>
        <v>116000</v>
      </c>
      <c r="F22" s="56">
        <f t="shared" si="15"/>
        <v>33643.199999999997</v>
      </c>
      <c r="G22" s="56">
        <f t="shared" si="15"/>
        <v>84000</v>
      </c>
      <c r="H22" s="56">
        <f t="shared" si="15"/>
        <v>0</v>
      </c>
      <c r="I22" s="56">
        <f>SUM(C22:H22)</f>
        <v>334795.2</v>
      </c>
      <c r="T22" s="54" t="s">
        <v>52</v>
      </c>
      <c r="AJ22" s="54" t="s">
        <v>53</v>
      </c>
      <c r="AK22" s="54" t="s">
        <v>52</v>
      </c>
    </row>
    <row r="23" spans="1:38">
      <c r="A23" s="162">
        <v>17</v>
      </c>
      <c r="B23" s="57" t="s">
        <v>54</v>
      </c>
      <c r="C23" s="61">
        <f>+C22+C21+C20+C19+C17</f>
        <v>216300</v>
      </c>
      <c r="D23" s="61">
        <f t="shared" ref="D23:H23" si="16">+D22+D21+D20+D19+D17</f>
        <v>95373.6</v>
      </c>
      <c r="E23" s="61">
        <f t="shared" si="16"/>
        <v>453980</v>
      </c>
      <c r="F23" s="61">
        <f t="shared" si="16"/>
        <v>104191.76000000001</v>
      </c>
      <c r="G23" s="61">
        <f t="shared" si="16"/>
        <v>257780</v>
      </c>
      <c r="H23" s="61">
        <f t="shared" si="16"/>
        <v>0</v>
      </c>
      <c r="I23" s="61">
        <f t="shared" ref="I23" si="17">+I22+I21+I20+I19+I17</f>
        <v>1127625.3599999999</v>
      </c>
      <c r="T23" s="57" t="s">
        <v>54</v>
      </c>
      <c r="AJ23" s="54" t="s">
        <v>55</v>
      </c>
      <c r="AK23" s="57" t="s">
        <v>54</v>
      </c>
    </row>
    <row r="24" spans="1:38">
      <c r="A24" s="162">
        <v>18</v>
      </c>
      <c r="B24" s="62" t="s">
        <v>56</v>
      </c>
      <c r="C24" s="61">
        <f>+C15-C23</f>
        <v>-221464.61771341617</v>
      </c>
      <c r="D24" s="61">
        <f t="shared" ref="D24:H24" si="18">+D15-D23</f>
        <v>-78731.696328451246</v>
      </c>
      <c r="E24" s="61">
        <f t="shared" si="18"/>
        <v>-105278.33032324247</v>
      </c>
      <c r="F24" s="61">
        <f t="shared" si="18"/>
        <v>-41340.429471818323</v>
      </c>
      <c r="G24" s="61">
        <f t="shared" si="18"/>
        <v>131223.45045558317</v>
      </c>
      <c r="H24" s="61">
        <f t="shared" si="18"/>
        <v>0</v>
      </c>
      <c r="I24" s="61">
        <f t="shared" ref="I24" si="19">+I15-I23</f>
        <v>-315591.62338134483</v>
      </c>
      <c r="K24" s="73"/>
      <c r="T24" s="54" t="s">
        <v>56</v>
      </c>
      <c r="AJ24" s="54" t="s">
        <v>57</v>
      </c>
      <c r="AK24" s="54" t="s">
        <v>56</v>
      </c>
    </row>
    <row r="25" spans="1:38">
      <c r="A25" s="162">
        <v>19</v>
      </c>
      <c r="B25" s="54" t="s">
        <v>153</v>
      </c>
      <c r="C25" s="61">
        <f>IF(C24&lt;0,0,C24*0.25)</f>
        <v>0</v>
      </c>
      <c r="D25" s="61">
        <f>IF(D24&lt;0,0,D24*0.15)</f>
        <v>0</v>
      </c>
      <c r="E25" s="61">
        <f t="shared" ref="E25:I25" si="20">IF(E24&lt;0,0,E24*0.25)</f>
        <v>0</v>
      </c>
      <c r="F25" s="61">
        <f>IF(F24&lt;0,0,F24*0.15)</f>
        <v>0</v>
      </c>
      <c r="G25" s="61">
        <f t="shared" si="20"/>
        <v>32805.862613895792</v>
      </c>
      <c r="H25" s="61">
        <f t="shared" si="20"/>
        <v>0</v>
      </c>
      <c r="I25" s="61">
        <f t="shared" si="20"/>
        <v>0</v>
      </c>
      <c r="J25" s="69"/>
      <c r="K25" s="69"/>
      <c r="L25" s="69"/>
      <c r="T25" s="54" t="s">
        <v>58</v>
      </c>
      <c r="AJ25" s="54" t="s">
        <v>59</v>
      </c>
      <c r="AK25" s="54" t="s">
        <v>58</v>
      </c>
    </row>
    <row r="26" spans="1:38">
      <c r="A26" s="162">
        <v>20</v>
      </c>
      <c r="B26" s="54" t="s">
        <v>60</v>
      </c>
      <c r="C26" s="61">
        <f t="shared" ref="C26:H26" si="21">C24-C25</f>
        <v>-221464.61771341617</v>
      </c>
      <c r="D26" s="61">
        <f t="shared" si="21"/>
        <v>-78731.696328451246</v>
      </c>
      <c r="E26" s="61">
        <f t="shared" si="21"/>
        <v>-105278.33032324247</v>
      </c>
      <c r="F26" s="61">
        <f t="shared" si="21"/>
        <v>-41340.429471818323</v>
      </c>
      <c r="G26" s="61">
        <f t="shared" si="21"/>
        <v>98417.587841687375</v>
      </c>
      <c r="H26" s="61">
        <f t="shared" si="21"/>
        <v>0</v>
      </c>
      <c r="I26" s="56">
        <f>+SUM(C26:H26)</f>
        <v>-348397.4859952408</v>
      </c>
      <c r="J26" s="69"/>
      <c r="K26" s="69"/>
      <c r="L26" s="69"/>
      <c r="T26" s="54" t="s">
        <v>60</v>
      </c>
      <c r="AJ26" s="54" t="s">
        <v>61</v>
      </c>
      <c r="AK26" s="54" t="s">
        <v>60</v>
      </c>
    </row>
    <row r="27" spans="1:38">
      <c r="A27" s="162">
        <v>21</v>
      </c>
      <c r="B27" s="54" t="s">
        <v>64</v>
      </c>
      <c r="C27" s="63">
        <f t="shared" ref="C27:I27" si="22">C26/C7</f>
        <v>-0.12583216915535009</v>
      </c>
      <c r="D27" s="63">
        <f t="shared" ref="D27:H27" si="23">D26/D7</f>
        <v>-0.10240855401723627</v>
      </c>
      <c r="E27" s="63">
        <f t="shared" si="23"/>
        <v>-3.6302872525256026E-2</v>
      </c>
      <c r="F27" s="63">
        <f t="shared" si="23"/>
        <v>-4.9151602073308515E-2</v>
      </c>
      <c r="G27" s="63">
        <f t="shared" si="23"/>
        <v>4.686551801985113E-2</v>
      </c>
      <c r="H27" s="63" t="e">
        <f t="shared" si="23"/>
        <v>#DIV/0!</v>
      </c>
      <c r="I27" s="63">
        <f t="shared" si="22"/>
        <v>-4.1625147074419326E-2</v>
      </c>
      <c r="J27" s="190"/>
      <c r="K27" s="69"/>
      <c r="L27" s="69"/>
      <c r="T27" s="54" t="s">
        <v>64</v>
      </c>
      <c r="AJ27" s="54" t="s">
        <v>63</v>
      </c>
      <c r="AK27" s="54" t="s">
        <v>64</v>
      </c>
    </row>
    <row r="28" spans="1:38">
      <c r="J28" s="69"/>
      <c r="K28" s="69"/>
      <c r="L28" s="69"/>
      <c r="T28" s="54"/>
    </row>
    <row r="29" spans="1:38">
      <c r="A29" s="50" t="s">
        <v>65</v>
      </c>
      <c r="I29" s="51" t="s">
        <v>154</v>
      </c>
      <c r="J29" s="69"/>
      <c r="K29" s="69"/>
      <c r="L29" s="69"/>
      <c r="T29" s="54"/>
      <c r="AJ29" s="50" t="s">
        <v>65</v>
      </c>
    </row>
    <row r="30" spans="1:38">
      <c r="A30" s="54" t="s">
        <v>70</v>
      </c>
      <c r="B30" s="57" t="s">
        <v>71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71</v>
      </c>
      <c r="AJ30" s="54" t="s">
        <v>72</v>
      </c>
      <c r="AK30" s="57" t="s">
        <v>71</v>
      </c>
    </row>
    <row r="31" spans="1:38">
      <c r="A31" s="162">
        <v>1</v>
      </c>
      <c r="B31" s="59" t="s">
        <v>73</v>
      </c>
      <c r="C31" s="65">
        <f>销量!C8</f>
        <v>880</v>
      </c>
      <c r="D31" s="65">
        <f>销量!D8</f>
        <v>384.4</v>
      </c>
      <c r="E31" s="65">
        <f>销量!E8</f>
        <v>1450</v>
      </c>
      <c r="F31" s="65">
        <f>销量!F8</f>
        <v>420.54</v>
      </c>
      <c r="G31" s="65">
        <f>销量!G8</f>
        <v>1050</v>
      </c>
      <c r="H31" s="65">
        <f>销量!H8</f>
        <v>0</v>
      </c>
      <c r="I31" s="61"/>
      <c r="J31" s="69"/>
      <c r="K31" s="69"/>
      <c r="L31" s="69"/>
      <c r="N31" s="69"/>
      <c r="T31" s="54" t="s">
        <v>73</v>
      </c>
      <c r="AJ31" s="54" t="s">
        <v>23</v>
      </c>
      <c r="AK31" s="54" t="s">
        <v>73</v>
      </c>
    </row>
    <row r="32" spans="1:38">
      <c r="A32" s="162">
        <v>2</v>
      </c>
      <c r="B32" s="54" t="s">
        <v>155</v>
      </c>
      <c r="C32" s="56">
        <f>C9/C6</f>
        <v>794.2</v>
      </c>
      <c r="D32" s="56">
        <f t="shared" ref="D32:H32" si="24">D9/D6</f>
        <v>346.92099999999999</v>
      </c>
      <c r="E32" s="56">
        <f t="shared" si="24"/>
        <v>1308.625</v>
      </c>
      <c r="F32" s="56">
        <f t="shared" si="24"/>
        <v>379.53735</v>
      </c>
      <c r="G32" s="56">
        <f t="shared" si="24"/>
        <v>947.625</v>
      </c>
      <c r="H32" s="56" t="e">
        <f t="shared" si="24"/>
        <v>#DIV/0!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2">
        <v>3</v>
      </c>
      <c r="B33" s="59" t="s">
        <v>74</v>
      </c>
      <c r="C33" s="56">
        <f>材料成本!G18</f>
        <v>698.84185000000002</v>
      </c>
      <c r="D33" s="56">
        <f>材料成本!G19</f>
        <v>274.67587499999996</v>
      </c>
      <c r="E33" s="56">
        <f>材料成本!G20</f>
        <v>972.89499999999987</v>
      </c>
      <c r="F33" s="56">
        <f>材料成本!G21</f>
        <v>278.17757499999999</v>
      </c>
      <c r="G33" s="56">
        <f>材料成本!G22</f>
        <v>636.26249999999993</v>
      </c>
      <c r="H33" s="56"/>
      <c r="I33" s="61"/>
      <c r="K33" s="69"/>
      <c r="L33" s="69"/>
      <c r="M33" s="69"/>
      <c r="N33" s="69"/>
      <c r="O33" s="69"/>
      <c r="P33" s="69"/>
      <c r="T33" s="54" t="s">
        <v>74</v>
      </c>
      <c r="AJ33" s="54" t="s">
        <v>25</v>
      </c>
      <c r="AK33" s="54" t="s">
        <v>74</v>
      </c>
    </row>
    <row r="34" spans="1:37" ht="17.25" customHeight="1">
      <c r="A34" s="162">
        <v>4</v>
      </c>
      <c r="B34" s="54" t="s">
        <v>76</v>
      </c>
      <c r="C34" s="66">
        <f>C32-C33</f>
        <v>95.358150000000023</v>
      </c>
      <c r="D34" s="66">
        <f t="shared" ref="D34:H34" si="25">D32-D33</f>
        <v>72.24512500000003</v>
      </c>
      <c r="E34" s="66">
        <f t="shared" si="25"/>
        <v>335.73000000000013</v>
      </c>
      <c r="F34" s="66">
        <f t="shared" si="25"/>
        <v>101.35977500000001</v>
      </c>
      <c r="G34" s="66">
        <f t="shared" si="25"/>
        <v>311.36250000000007</v>
      </c>
      <c r="H34" s="66" t="e">
        <f t="shared" si="25"/>
        <v>#DIV/0!</v>
      </c>
      <c r="I34" s="61"/>
      <c r="K34" s="69"/>
      <c r="L34" s="69"/>
      <c r="M34" s="69"/>
      <c r="N34" s="69"/>
      <c r="O34" s="69"/>
      <c r="P34" s="69"/>
      <c r="T34" s="54" t="s">
        <v>76</v>
      </c>
      <c r="AJ34" s="54" t="s">
        <v>75</v>
      </c>
      <c r="AK34" s="54" t="s">
        <v>76</v>
      </c>
    </row>
    <row r="35" spans="1:37">
      <c r="A35" s="54" t="s">
        <v>72</v>
      </c>
      <c r="B35" s="57" t="s">
        <v>9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9</v>
      </c>
      <c r="AJ35" s="54" t="s">
        <v>78</v>
      </c>
      <c r="AK35" s="57" t="s">
        <v>9</v>
      </c>
    </row>
    <row r="36" spans="1:37">
      <c r="A36" s="162">
        <v>1</v>
      </c>
      <c r="B36" s="54" t="s">
        <v>79</v>
      </c>
      <c r="C36" s="60">
        <f>'2023年'!C36</f>
        <v>49.473588007760711</v>
      </c>
      <c r="D36" s="60">
        <f>'2023年'!D36</f>
        <v>21.610962761571834</v>
      </c>
      <c r="E36" s="60">
        <f>'2023年'!E36</f>
        <v>81.518980240060259</v>
      </c>
      <c r="F36" s="60">
        <f>'2023年'!F36</f>
        <v>23.642753069072374</v>
      </c>
      <c r="G36" s="60">
        <f>'2023年'!G36</f>
        <v>59.030985691078115</v>
      </c>
      <c r="H36" s="60"/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79</v>
      </c>
      <c r="AJ36" s="54" t="s">
        <v>75</v>
      </c>
      <c r="AK36" s="54" t="s">
        <v>79</v>
      </c>
    </row>
    <row r="37" spans="1:37">
      <c r="A37" s="162">
        <v>2</v>
      </c>
      <c r="B37" s="54" t="s">
        <v>80</v>
      </c>
      <c r="C37" s="60">
        <f>'2023年'!C37</f>
        <v>13.266870848947413</v>
      </c>
      <c r="D37" s="60">
        <f>'2023年'!D37</f>
        <v>5.7952104026538462</v>
      </c>
      <c r="E37" s="60">
        <f>'2023年'!E37</f>
        <v>21.860184921561078</v>
      </c>
      <c r="F37" s="60">
        <f>'2023年'!F37</f>
        <v>6.3400566668367553</v>
      </c>
      <c r="G37" s="60">
        <f>'2023年'!G37</f>
        <v>15.829789081130436</v>
      </c>
      <c r="H37" s="60"/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80</v>
      </c>
      <c r="AJ37" s="54" t="s">
        <v>28</v>
      </c>
      <c r="AK37" s="54" t="s">
        <v>80</v>
      </c>
    </row>
    <row r="38" spans="1:37">
      <c r="A38" s="162">
        <v>3</v>
      </c>
      <c r="B38" s="54" t="s">
        <v>81</v>
      </c>
      <c r="C38" s="60">
        <f>'2023年'!C38</f>
        <v>35.199999999999996</v>
      </c>
      <c r="D38" s="60">
        <f>'2023年'!D38</f>
        <v>36.518000000000001</v>
      </c>
      <c r="E38" s="60">
        <f>'2023年'!E38</f>
        <v>57.999999999999993</v>
      </c>
      <c r="F38" s="60">
        <f>'2023年'!F38</f>
        <v>39.951300000000003</v>
      </c>
      <c r="G38" s="60">
        <f>'2023年'!G38</f>
        <v>41.999999999999993</v>
      </c>
      <c r="H38" s="60"/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81</v>
      </c>
      <c r="AJ38" s="54" t="s">
        <v>34</v>
      </c>
      <c r="AK38" s="54" t="s">
        <v>81</v>
      </c>
    </row>
    <row r="39" spans="1:37">
      <c r="A39" s="54" t="s">
        <v>78</v>
      </c>
      <c r="B39" s="57" t="s">
        <v>83</v>
      </c>
      <c r="C39" s="61"/>
      <c r="D39" s="61"/>
      <c r="E39" s="61"/>
      <c r="F39" s="61"/>
      <c r="G39" s="61"/>
      <c r="H39" s="61"/>
      <c r="I39" s="61"/>
      <c r="T39" s="57" t="s">
        <v>83</v>
      </c>
      <c r="AJ39" s="54" t="s">
        <v>82</v>
      </c>
      <c r="AK39" s="57" t="s">
        <v>83</v>
      </c>
    </row>
    <row r="40" spans="1:37">
      <c r="A40" s="162">
        <v>1</v>
      </c>
      <c r="B40" s="54" t="s">
        <v>85</v>
      </c>
      <c r="C40" s="61">
        <f>C34-C36-C37-C38</f>
        <v>-2.5823088567080958</v>
      </c>
      <c r="D40" s="61">
        <f t="shared" ref="D40:H40" si="26">D34-D36-D37-D38</f>
        <v>8.3209518357743519</v>
      </c>
      <c r="E40" s="61">
        <f t="shared" si="26"/>
        <v>174.35083483837877</v>
      </c>
      <c r="F40" s="61">
        <f t="shared" si="26"/>
        <v>31.425665264090881</v>
      </c>
      <c r="G40" s="61">
        <f t="shared" si="26"/>
        <v>194.50172522779152</v>
      </c>
      <c r="H40" s="61" t="e">
        <f t="shared" si="26"/>
        <v>#DIV/0!</v>
      </c>
      <c r="I40" s="61"/>
      <c r="T40" s="54" t="s">
        <v>85</v>
      </c>
      <c r="AJ40" s="54" t="s">
        <v>23</v>
      </c>
      <c r="AK40" s="54" t="s">
        <v>85</v>
      </c>
    </row>
    <row r="41" spans="1:37">
      <c r="A41" s="162">
        <v>2</v>
      </c>
      <c r="B41" s="54" t="s">
        <v>86</v>
      </c>
      <c r="C41" s="61"/>
      <c r="D41" s="61"/>
      <c r="E41" s="61"/>
      <c r="F41" s="61"/>
      <c r="G41" s="61"/>
      <c r="H41" s="61"/>
      <c r="I41" s="61"/>
      <c r="T41" s="54" t="s">
        <v>86</v>
      </c>
      <c r="AJ41" s="54" t="s">
        <v>25</v>
      </c>
      <c r="AK41" s="54" t="s">
        <v>86</v>
      </c>
    </row>
    <row r="42" spans="1:37">
      <c r="A42" s="54" t="s">
        <v>82</v>
      </c>
      <c r="B42" s="57" t="s">
        <v>88</v>
      </c>
      <c r="C42" s="61"/>
      <c r="D42" s="61"/>
      <c r="E42" s="61"/>
      <c r="F42" s="61"/>
      <c r="G42" s="61"/>
      <c r="H42" s="61"/>
      <c r="I42" s="61"/>
      <c r="T42" s="57" t="s">
        <v>88</v>
      </c>
      <c r="AJ42" s="54" t="s">
        <v>87</v>
      </c>
      <c r="AK42" s="57" t="s">
        <v>88</v>
      </c>
    </row>
    <row r="43" spans="1:37">
      <c r="A43" s="162">
        <v>1</v>
      </c>
      <c r="B43" s="62" t="s">
        <v>89</v>
      </c>
      <c r="C43" s="60">
        <f>'2023年'!C43</f>
        <v>39.6</v>
      </c>
      <c r="D43" s="60">
        <f>'2023年'!D43</f>
        <v>17.297999999999998</v>
      </c>
      <c r="E43" s="60">
        <f>'2023年'!E43</f>
        <v>114.55</v>
      </c>
      <c r="F43" s="60">
        <f>'2023年'!F43</f>
        <v>18.924299999999999</v>
      </c>
      <c r="G43" s="60">
        <f>'2023年'!G43</f>
        <v>47.25</v>
      </c>
      <c r="H43" s="60"/>
      <c r="I43" s="61"/>
      <c r="T43" s="54" t="s">
        <v>89</v>
      </c>
      <c r="AJ43" s="54" t="s">
        <v>23</v>
      </c>
      <c r="AK43" s="54" t="s">
        <v>89</v>
      </c>
    </row>
    <row r="44" spans="1:37">
      <c r="A44" s="162">
        <v>2</v>
      </c>
      <c r="B44" s="62" t="s">
        <v>90</v>
      </c>
      <c r="C44" s="60">
        <f>'2023年'!C44</f>
        <v>6.16</v>
      </c>
      <c r="D44" s="60">
        <f>'2023年'!D44</f>
        <v>2.6907999999999999</v>
      </c>
      <c r="E44" s="60">
        <f>'2023年'!E44</f>
        <v>10.15</v>
      </c>
      <c r="F44" s="60">
        <f>'2023年'!F44</f>
        <v>2.9437800000000003</v>
      </c>
      <c r="G44" s="60">
        <f>'2023年'!G44</f>
        <v>7.3500000000000005</v>
      </c>
      <c r="H44" s="60"/>
      <c r="I44" s="61"/>
      <c r="T44" s="54" t="s">
        <v>90</v>
      </c>
      <c r="AJ44" s="54" t="s">
        <v>25</v>
      </c>
      <c r="AK44" s="54" t="s">
        <v>90</v>
      </c>
    </row>
    <row r="45" spans="1:37">
      <c r="A45" s="162">
        <v>3</v>
      </c>
      <c r="B45" s="62" t="s">
        <v>91</v>
      </c>
      <c r="C45" s="60">
        <f>'2023年'!C45</f>
        <v>26.4</v>
      </c>
      <c r="D45" s="60">
        <f>'2023年'!D45</f>
        <v>11.531999999999998</v>
      </c>
      <c r="E45" s="60">
        <f>'2023年'!E45</f>
        <v>43.5</v>
      </c>
      <c r="F45" s="60">
        <f>'2023年'!F45</f>
        <v>12.616200000000001</v>
      </c>
      <c r="G45" s="60">
        <f>'2023年'!G45</f>
        <v>31.5</v>
      </c>
      <c r="H45" s="60"/>
      <c r="I45" s="61"/>
      <c r="T45" s="54" t="s">
        <v>91</v>
      </c>
      <c r="AJ45" s="54" t="s">
        <v>75</v>
      </c>
      <c r="AK45" s="54" t="s">
        <v>91</v>
      </c>
    </row>
    <row r="46" spans="1:37" s="49" customFormat="1">
      <c r="A46" s="162">
        <v>4</v>
      </c>
      <c r="B46" s="62" t="s">
        <v>92</v>
      </c>
      <c r="C46" s="67">
        <f>C21/C6</f>
        <v>0.79</v>
      </c>
      <c r="D46" s="67">
        <f t="shared" ref="D46:H46" si="27">D21/D6</f>
        <v>0.79</v>
      </c>
      <c r="E46" s="67">
        <f t="shared" si="27"/>
        <v>0.79</v>
      </c>
      <c r="F46" s="67">
        <f t="shared" si="27"/>
        <v>0.79</v>
      </c>
      <c r="G46" s="67">
        <f t="shared" si="27"/>
        <v>0.79</v>
      </c>
      <c r="H46" s="67" t="e">
        <f t="shared" si="27"/>
        <v>#DIV/0!</v>
      </c>
      <c r="I46" s="67"/>
      <c r="T46" s="62" t="s">
        <v>94</v>
      </c>
      <c r="AJ46" s="62" t="s">
        <v>31</v>
      </c>
      <c r="AK46" s="62" t="s">
        <v>94</v>
      </c>
    </row>
    <row r="47" spans="1:37" s="49" customFormat="1">
      <c r="A47" s="162">
        <v>5</v>
      </c>
      <c r="B47" s="62" t="s">
        <v>94</v>
      </c>
      <c r="C47" s="60">
        <f>'2023年'!C47</f>
        <v>35.200000000000003</v>
      </c>
      <c r="D47" s="60">
        <f>'2023年'!D47</f>
        <v>15.375999999999999</v>
      </c>
      <c r="E47" s="60">
        <f>'2023年'!E47</f>
        <v>58</v>
      </c>
      <c r="F47" s="60">
        <f>'2023年'!F47</f>
        <v>16.8216</v>
      </c>
      <c r="G47" s="60">
        <f>'2023年'!G47</f>
        <v>42</v>
      </c>
      <c r="H47" s="67"/>
      <c r="I47" s="67"/>
      <c r="T47" s="62" t="s">
        <v>94</v>
      </c>
      <c r="AJ47" s="62" t="s">
        <v>31</v>
      </c>
      <c r="AK47" s="62" t="s">
        <v>94</v>
      </c>
    </row>
    <row r="48" spans="1:37">
      <c r="A48" s="54" t="s">
        <v>87</v>
      </c>
      <c r="B48" s="57" t="s">
        <v>105</v>
      </c>
      <c r="C48" s="61">
        <f>C40-C43-C44-C45-C47-C46</f>
        <v>-110.7323088567081</v>
      </c>
      <c r="D48" s="61">
        <f t="shared" ref="D48:H48" si="28">D40-D43-D44-D45-D47-D46</f>
        <v>-39.365848164225639</v>
      </c>
      <c r="E48" s="61">
        <f t="shared" si="28"/>
        <v>-52.639165161621222</v>
      </c>
      <c r="F48" s="61">
        <f t="shared" si="28"/>
        <v>-20.67021473590912</v>
      </c>
      <c r="G48" s="61">
        <f t="shared" si="28"/>
        <v>65.611725227791524</v>
      </c>
      <c r="H48" s="61" t="e">
        <f t="shared" si="28"/>
        <v>#DIV/0!</v>
      </c>
      <c r="I48" s="61"/>
      <c r="T48" s="57" t="s">
        <v>105</v>
      </c>
      <c r="AJ48" s="54" t="s">
        <v>104</v>
      </c>
      <c r="AK48" s="57" t="s">
        <v>105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0" activePane="bottomRight" state="frozen"/>
      <selection pane="topRight"/>
      <selection pane="bottomLeft"/>
      <selection pane="bottomRight" activeCell="F18" sqref="F18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200" t="s">
        <v>145</v>
      </c>
      <c r="B1" s="200"/>
      <c r="C1" s="204" t="s">
        <v>247</v>
      </c>
      <c r="D1" s="205"/>
      <c r="E1" s="205"/>
      <c r="F1" s="205"/>
      <c r="G1" s="205"/>
      <c r="H1" s="205"/>
      <c r="I1" s="206"/>
    </row>
    <row r="2" spans="1:38">
      <c r="A2" s="200" t="s">
        <v>146</v>
      </c>
      <c r="B2" s="200"/>
      <c r="C2" s="208" t="str">
        <f>'2023年'!C2:I2</f>
        <v>一汽解放</v>
      </c>
      <c r="D2" s="209"/>
      <c r="E2" s="209"/>
      <c r="F2" s="209"/>
      <c r="G2" s="209"/>
      <c r="H2" s="209"/>
      <c r="I2" s="210"/>
    </row>
    <row r="3" spans="1:38">
      <c r="A3" s="200" t="s">
        <v>147</v>
      </c>
      <c r="B3" s="200"/>
      <c r="C3" s="163" t="str">
        <f>销量!C5</f>
        <v>驾驶员座总成</v>
      </c>
      <c r="D3" s="163" t="str">
        <f>销量!D5</f>
        <v>副驾驶员座椅总成</v>
      </c>
      <c r="E3" s="163" t="str">
        <f>销量!E5</f>
        <v>驾驶员座椅总成</v>
      </c>
      <c r="F3" s="163" t="str">
        <f>销量!F5</f>
        <v>副驾驶员座椅总成</v>
      </c>
      <c r="G3" s="163" t="str">
        <f>销量!G5</f>
        <v>驾驶员座椅总成</v>
      </c>
      <c r="H3" s="163">
        <f>销量!H5</f>
        <v>0</v>
      </c>
      <c r="I3" s="201" t="s">
        <v>19</v>
      </c>
    </row>
    <row r="4" spans="1:38" ht="16.5" customHeight="1">
      <c r="A4" s="200" t="s">
        <v>148</v>
      </c>
      <c r="B4" s="200"/>
      <c r="C4" s="163" t="str">
        <f>销量!C6</f>
        <v>6800010AH95-C00</v>
      </c>
      <c r="D4" s="163" t="str">
        <f>销量!D6</f>
        <v>6903010-H87-C006905100-H87-C006905020-H87-C00</v>
      </c>
      <c r="E4" s="163" t="str">
        <f>销量!E6</f>
        <v>6800010-H95-C00</v>
      </c>
      <c r="F4" s="163" t="str">
        <f>销量!F6</f>
        <v>6903010-H95-C00690510-H95-C006905020-H95-C00</v>
      </c>
      <c r="G4" s="163" t="str">
        <f>销量!G6</f>
        <v>6800010DH26-C00</v>
      </c>
      <c r="H4" s="163">
        <f>销量!H6</f>
        <v>0</v>
      </c>
      <c r="I4" s="202"/>
    </row>
    <row r="5" spans="1:38">
      <c r="A5" s="200" t="s">
        <v>149</v>
      </c>
      <c r="B5" s="200"/>
      <c r="C5" s="53"/>
      <c r="D5" s="53"/>
      <c r="E5" s="53"/>
      <c r="F5" s="53"/>
      <c r="G5" s="53"/>
      <c r="H5" s="53"/>
      <c r="I5" s="203"/>
      <c r="AL5" s="50" t="s">
        <v>20</v>
      </c>
    </row>
    <row r="6" spans="1:38" ht="17.25">
      <c r="A6" s="54" t="s">
        <v>17</v>
      </c>
      <c r="B6" s="55" t="s">
        <v>150</v>
      </c>
      <c r="C6" s="23">
        <f>销量!C12</f>
        <v>2000</v>
      </c>
      <c r="D6" s="23">
        <f>销量!D12</f>
        <v>2000</v>
      </c>
      <c r="E6" s="23">
        <f>销量!E12</f>
        <v>2000</v>
      </c>
      <c r="F6" s="23">
        <f>销量!F12</f>
        <v>2000</v>
      </c>
      <c r="G6" s="23">
        <f>销量!G12</f>
        <v>2000</v>
      </c>
      <c r="H6" s="23">
        <f>销量!H12</f>
        <v>0</v>
      </c>
      <c r="I6" s="56">
        <f>SUM(C6:H6)</f>
        <v>10000</v>
      </c>
      <c r="T6" s="55" t="s">
        <v>3</v>
      </c>
      <c r="AJ6" s="54" t="s">
        <v>17</v>
      </c>
      <c r="AK6" s="55" t="s">
        <v>3</v>
      </c>
      <c r="AL6" s="50" t="s">
        <v>21</v>
      </c>
    </row>
    <row r="7" spans="1:38">
      <c r="A7" s="162">
        <v>1</v>
      </c>
      <c r="B7" s="55" t="s">
        <v>22</v>
      </c>
      <c r="C7" s="56">
        <f>C6*销量!C8</f>
        <v>1760000</v>
      </c>
      <c r="D7" s="56">
        <f>D6*销量!D8</f>
        <v>768800</v>
      </c>
      <c r="E7" s="56">
        <f>E6*销量!E8</f>
        <v>2900000</v>
      </c>
      <c r="F7" s="56">
        <f>F6*销量!F8</f>
        <v>841080</v>
      </c>
      <c r="G7" s="56">
        <f>G6*销量!G8</f>
        <v>2100000</v>
      </c>
      <c r="H7" s="56">
        <f>H6*销量!H8</f>
        <v>0</v>
      </c>
      <c r="I7" s="56">
        <f t="shared" ref="I7:I17" si="0">SUM(C7:H7)</f>
        <v>8369880</v>
      </c>
      <c r="J7" s="51"/>
      <c r="T7" s="55" t="s">
        <v>22</v>
      </c>
      <c r="AJ7" s="54" t="s">
        <v>23</v>
      </c>
      <c r="AK7" s="55" t="s">
        <v>22</v>
      </c>
      <c r="AL7" s="50" t="s">
        <v>21</v>
      </c>
    </row>
    <row r="8" spans="1:38">
      <c r="A8" s="162">
        <v>2</v>
      </c>
      <c r="B8" s="162" t="s">
        <v>24</v>
      </c>
      <c r="C8" s="56">
        <f>C7*(1-销量!$L$9)</f>
        <v>251020</v>
      </c>
      <c r="D8" s="56">
        <f>D7*(1-销量!$L$9)</f>
        <v>109650.1</v>
      </c>
      <c r="E8" s="56">
        <f>E7*(1-销量!$L$9)</f>
        <v>413612.5</v>
      </c>
      <c r="F8" s="56">
        <f>F7*(1-销量!$L$9)</f>
        <v>119959.035</v>
      </c>
      <c r="G8" s="56">
        <f>G7*(1-销量!$L$9)</f>
        <v>299512.5</v>
      </c>
      <c r="H8" s="56">
        <f>H7*(1-销量!$L$9)</f>
        <v>0</v>
      </c>
      <c r="I8" s="56">
        <f t="shared" si="0"/>
        <v>1193754.135</v>
      </c>
      <c r="J8" s="71"/>
      <c r="T8" s="162" t="s">
        <v>26</v>
      </c>
      <c r="AJ8" s="54" t="s">
        <v>25</v>
      </c>
      <c r="AK8" s="162" t="s">
        <v>26</v>
      </c>
      <c r="AL8" s="50" t="s">
        <v>21</v>
      </c>
    </row>
    <row r="9" spans="1:38">
      <c r="A9" s="162">
        <v>3</v>
      </c>
      <c r="B9" s="55" t="s">
        <v>27</v>
      </c>
      <c r="C9" s="56">
        <f>+C7-C8</f>
        <v>1508980</v>
      </c>
      <c r="D9" s="56">
        <f t="shared" ref="D9:H9" si="1">+D7-D8</f>
        <v>659149.9</v>
      </c>
      <c r="E9" s="56">
        <f t="shared" si="1"/>
        <v>2486387.5</v>
      </c>
      <c r="F9" s="56">
        <f t="shared" si="1"/>
        <v>721120.96499999997</v>
      </c>
      <c r="G9" s="56">
        <f t="shared" si="1"/>
        <v>1800487.5</v>
      </c>
      <c r="H9" s="56">
        <f t="shared" si="1"/>
        <v>0</v>
      </c>
      <c r="I9" s="56">
        <f t="shared" si="0"/>
        <v>7176125.8650000002</v>
      </c>
      <c r="T9" s="55" t="s">
        <v>27</v>
      </c>
      <c r="AJ9" s="54" t="s">
        <v>28</v>
      </c>
      <c r="AK9" s="55" t="s">
        <v>27</v>
      </c>
      <c r="AL9" s="50" t="s">
        <v>29</v>
      </c>
    </row>
    <row r="10" spans="1:38">
      <c r="A10" s="162">
        <v>4</v>
      </c>
      <c r="B10" s="54" t="s">
        <v>30</v>
      </c>
      <c r="C10" s="56">
        <f>C6*材料成本!H18</f>
        <v>1327799.5149999999</v>
      </c>
      <c r="D10" s="56">
        <f>D6*材料成本!H19</f>
        <v>521884.16249999986</v>
      </c>
      <c r="E10" s="56">
        <f>E6*材料成本!H20</f>
        <v>1848500.4999999995</v>
      </c>
      <c r="F10" s="56">
        <f>F6*材料成本!H21</f>
        <v>528537.39249999996</v>
      </c>
      <c r="G10" s="56">
        <f>G6*材料成本!H22</f>
        <v>1208898.7499999998</v>
      </c>
      <c r="H10" s="56"/>
      <c r="I10" s="56">
        <f t="shared" si="0"/>
        <v>5435620.3199999994</v>
      </c>
      <c r="T10" s="54" t="s">
        <v>30</v>
      </c>
      <c r="AJ10" s="54" t="s">
        <v>31</v>
      </c>
      <c r="AK10" s="54" t="s">
        <v>30</v>
      </c>
      <c r="AL10" s="50" t="s">
        <v>32</v>
      </c>
    </row>
    <row r="11" spans="1:38">
      <c r="A11" s="162">
        <v>5</v>
      </c>
      <c r="B11" s="54" t="s">
        <v>33</v>
      </c>
      <c r="C11" s="56">
        <f>+C6*C36</f>
        <v>98947.176015521414</v>
      </c>
      <c r="D11" s="56">
        <f t="shared" ref="D11:H11" si="2">+D6*D36</f>
        <v>43221.925523143669</v>
      </c>
      <c r="E11" s="56">
        <f t="shared" si="2"/>
        <v>163037.96048012053</v>
      </c>
      <c r="F11" s="56">
        <f t="shared" si="2"/>
        <v>47285.506138144745</v>
      </c>
      <c r="G11" s="56">
        <f t="shared" si="2"/>
        <v>118061.97138215623</v>
      </c>
      <c r="H11" s="56">
        <f t="shared" si="2"/>
        <v>0</v>
      </c>
      <c r="I11" s="56">
        <f t="shared" si="0"/>
        <v>470554.53953908663</v>
      </c>
      <c r="T11" s="54" t="s">
        <v>33</v>
      </c>
      <c r="AJ11" s="54" t="s">
        <v>34</v>
      </c>
      <c r="AK11" s="54" t="s">
        <v>33</v>
      </c>
    </row>
    <row r="12" spans="1:38">
      <c r="A12" s="162">
        <v>6</v>
      </c>
      <c r="B12" s="54" t="s">
        <v>35</v>
      </c>
      <c r="C12" s="56">
        <f>+C6*C37</f>
        <v>26533.741697894824</v>
      </c>
      <c r="D12" s="56">
        <f t="shared" ref="D12:H12" si="3">+D6*D37</f>
        <v>11590.420805307693</v>
      </c>
      <c r="E12" s="56">
        <f t="shared" si="3"/>
        <v>43720.369843122156</v>
      </c>
      <c r="F12" s="56">
        <f t="shared" si="3"/>
        <v>12680.113333673511</v>
      </c>
      <c r="G12" s="56">
        <f t="shared" si="3"/>
        <v>31659.57816226087</v>
      </c>
      <c r="H12" s="56">
        <f t="shared" si="3"/>
        <v>0</v>
      </c>
      <c r="I12" s="56">
        <f t="shared" si="0"/>
        <v>126184.22384225906</v>
      </c>
      <c r="T12" s="54" t="s">
        <v>35</v>
      </c>
      <c r="AJ12" s="54" t="s">
        <v>36</v>
      </c>
      <c r="AK12" s="54" t="s">
        <v>35</v>
      </c>
    </row>
    <row r="13" spans="1:38">
      <c r="A13" s="162">
        <v>7</v>
      </c>
      <c r="B13" s="54" t="s">
        <v>37</v>
      </c>
      <c r="C13" s="56">
        <f>+C6*C38</f>
        <v>70399.999999999985</v>
      </c>
      <c r="D13" s="56">
        <f t="shared" ref="D13:H13" si="4">+D6*D38</f>
        <v>73036</v>
      </c>
      <c r="E13" s="56">
        <f t="shared" si="4"/>
        <v>115999.99999999999</v>
      </c>
      <c r="F13" s="56">
        <f t="shared" si="4"/>
        <v>79902.600000000006</v>
      </c>
      <c r="G13" s="56">
        <f t="shared" si="4"/>
        <v>83999.999999999985</v>
      </c>
      <c r="H13" s="56">
        <f t="shared" si="4"/>
        <v>0</v>
      </c>
      <c r="I13" s="56">
        <f t="shared" si="0"/>
        <v>423338.6</v>
      </c>
      <c r="T13" s="54" t="s">
        <v>37</v>
      </c>
      <c r="AJ13" s="54" t="s">
        <v>38</v>
      </c>
      <c r="AK13" s="54" t="s">
        <v>37</v>
      </c>
      <c r="AL13" s="50" t="s">
        <v>21</v>
      </c>
    </row>
    <row r="14" spans="1:38">
      <c r="A14" s="162">
        <v>8</v>
      </c>
      <c r="B14" s="57" t="s">
        <v>39</v>
      </c>
      <c r="C14" s="56">
        <f>SUM(C11:C13)</f>
        <v>195880.91771341622</v>
      </c>
      <c r="D14" s="56">
        <f t="shared" ref="D14:H14" si="5">SUM(D11:D13)</f>
        <v>127848.34632845136</v>
      </c>
      <c r="E14" s="56">
        <f t="shared" si="5"/>
        <v>322758.3303232427</v>
      </c>
      <c r="F14" s="56">
        <f t="shared" si="5"/>
        <v>139868.21947181824</v>
      </c>
      <c r="G14" s="56">
        <f t="shared" si="5"/>
        <v>233721.54954441707</v>
      </c>
      <c r="H14" s="56">
        <f t="shared" si="5"/>
        <v>0</v>
      </c>
      <c r="I14" s="56">
        <f t="shared" si="0"/>
        <v>1020077.3633813455</v>
      </c>
      <c r="T14" s="57" t="s">
        <v>39</v>
      </c>
      <c r="AJ14" s="54" t="s">
        <v>40</v>
      </c>
      <c r="AK14" s="57" t="s">
        <v>39</v>
      </c>
    </row>
    <row r="15" spans="1:38">
      <c r="A15" s="162">
        <v>9</v>
      </c>
      <c r="B15" s="57" t="s">
        <v>41</v>
      </c>
      <c r="C15" s="56">
        <f>+C9-C10-C14</f>
        <v>-14700.432713416114</v>
      </c>
      <c r="D15" s="56">
        <f t="shared" ref="D15:H15" si="6">+D9-D10-D14</f>
        <v>9417.3911715488066</v>
      </c>
      <c r="E15" s="56">
        <f t="shared" si="6"/>
        <v>315128.66967675777</v>
      </c>
      <c r="F15" s="56">
        <f t="shared" si="6"/>
        <v>52715.353028181766</v>
      </c>
      <c r="G15" s="56">
        <f t="shared" si="6"/>
        <v>357867.20045558317</v>
      </c>
      <c r="H15" s="56">
        <f t="shared" si="6"/>
        <v>0</v>
      </c>
      <c r="I15" s="56">
        <f t="shared" si="0"/>
        <v>720428.18161865533</v>
      </c>
      <c r="T15" s="57" t="s">
        <v>41</v>
      </c>
      <c r="AJ15" s="54" t="s">
        <v>42</v>
      </c>
      <c r="AK15" s="57" t="s">
        <v>41</v>
      </c>
    </row>
    <row r="16" spans="1:38">
      <c r="A16" s="162">
        <v>10</v>
      </c>
      <c r="B16" s="54" t="s">
        <v>43</v>
      </c>
      <c r="C16" s="58">
        <f>+C15/C9</f>
        <v>-9.7419665690838281E-3</v>
      </c>
      <c r="D16" s="58">
        <f t="shared" ref="D16:H16" si="7">+D15/D9</f>
        <v>1.4287176819034344E-2</v>
      </c>
      <c r="E16" s="58">
        <f t="shared" si="7"/>
        <v>0.12674157575066547</v>
      </c>
      <c r="F16" s="58">
        <f t="shared" si="7"/>
        <v>7.3101955964047963E-2</v>
      </c>
      <c r="G16" s="58">
        <f t="shared" si="7"/>
        <v>0.198761280184163</v>
      </c>
      <c r="H16" s="58" t="e">
        <f t="shared" si="7"/>
        <v>#DIV/0!</v>
      </c>
      <c r="I16" s="58">
        <f t="shared" ref="I16" si="8">+I15/I9</f>
        <v>0.10039235587162536</v>
      </c>
      <c r="T16" s="54" t="s">
        <v>43</v>
      </c>
      <c r="AJ16" s="54" t="s">
        <v>44</v>
      </c>
      <c r="AK16" s="54" t="s">
        <v>43</v>
      </c>
    </row>
    <row r="17" spans="1:38">
      <c r="A17" s="162">
        <v>11</v>
      </c>
      <c r="B17" s="54" t="s">
        <v>45</v>
      </c>
      <c r="C17" s="56">
        <f>C6*C43+C18</f>
        <v>79200</v>
      </c>
      <c r="D17" s="56">
        <f t="shared" ref="D17:H17" si="9">D6*D43+D18</f>
        <v>34596</v>
      </c>
      <c r="E17" s="56">
        <f t="shared" si="9"/>
        <v>229100</v>
      </c>
      <c r="F17" s="56">
        <f t="shared" si="9"/>
        <v>37848.6</v>
      </c>
      <c r="G17" s="56">
        <f t="shared" si="9"/>
        <v>94500</v>
      </c>
      <c r="H17" s="56">
        <f t="shared" si="9"/>
        <v>0</v>
      </c>
      <c r="I17" s="56">
        <f t="shared" si="0"/>
        <v>475244.6</v>
      </c>
      <c r="J17" s="71"/>
      <c r="T17" s="54" t="s">
        <v>45</v>
      </c>
      <c r="AJ17" s="54" t="s">
        <v>46</v>
      </c>
      <c r="AK17" s="54" t="s">
        <v>45</v>
      </c>
    </row>
    <row r="18" spans="1:38" s="48" customFormat="1">
      <c r="A18" s="162">
        <v>12</v>
      </c>
      <c r="B18" s="59" t="s">
        <v>151</v>
      </c>
      <c r="C18" s="60">
        <f>$I$18/$I$6*C6</f>
        <v>0</v>
      </c>
      <c r="D18" s="60">
        <f t="shared" ref="D18:H18" si="10">$I$18/$I$6*D6</f>
        <v>0</v>
      </c>
      <c r="E18" s="60">
        <f t="shared" si="10"/>
        <v>0</v>
      </c>
      <c r="F18" s="60">
        <f t="shared" si="10"/>
        <v>0</v>
      </c>
      <c r="G18" s="60">
        <f t="shared" si="10"/>
        <v>0</v>
      </c>
      <c r="H18" s="60">
        <f t="shared" si="10"/>
        <v>0</v>
      </c>
      <c r="I18" s="60">
        <f>项目投资!D26</f>
        <v>0</v>
      </c>
      <c r="J18" s="72" t="s">
        <v>152</v>
      </c>
      <c r="K18" s="72"/>
      <c r="L18" s="72"/>
    </row>
    <row r="19" spans="1:38">
      <c r="A19" s="162">
        <v>13</v>
      </c>
      <c r="B19" s="54" t="s">
        <v>47</v>
      </c>
      <c r="C19" s="56">
        <f>C6*C44</f>
        <v>12320</v>
      </c>
      <c r="D19" s="56">
        <f t="shared" ref="D19:H19" si="11">D6*D44</f>
        <v>5381.5999999999995</v>
      </c>
      <c r="E19" s="56">
        <f t="shared" si="11"/>
        <v>20300</v>
      </c>
      <c r="F19" s="56">
        <f t="shared" si="11"/>
        <v>5887.56</v>
      </c>
      <c r="G19" s="56">
        <f t="shared" si="11"/>
        <v>14700.000000000002</v>
      </c>
      <c r="H19" s="56">
        <f t="shared" si="11"/>
        <v>0</v>
      </c>
      <c r="I19" s="56">
        <f t="shared" ref="I19:I20" si="12">SUM(C19:H19)</f>
        <v>58589.159999999996</v>
      </c>
      <c r="J19" s="48"/>
      <c r="T19" s="54" t="s">
        <v>47</v>
      </c>
      <c r="AJ19" s="54" t="s">
        <v>48</v>
      </c>
      <c r="AK19" s="54" t="s">
        <v>47</v>
      </c>
      <c r="AL19" s="50" t="s">
        <v>21</v>
      </c>
    </row>
    <row r="20" spans="1:38">
      <c r="A20" s="162">
        <v>14</v>
      </c>
      <c r="B20" s="54" t="s">
        <v>49</v>
      </c>
      <c r="C20" s="56">
        <f>C6*C45</f>
        <v>52800</v>
      </c>
      <c r="D20" s="56">
        <f t="shared" ref="D20:H20" si="13">D6*D45</f>
        <v>23063.999999999996</v>
      </c>
      <c r="E20" s="56">
        <f t="shared" si="13"/>
        <v>87000</v>
      </c>
      <c r="F20" s="56">
        <f t="shared" si="13"/>
        <v>25232.400000000001</v>
      </c>
      <c r="G20" s="56">
        <f t="shared" si="13"/>
        <v>63000</v>
      </c>
      <c r="H20" s="56">
        <f t="shared" si="13"/>
        <v>0</v>
      </c>
      <c r="I20" s="56">
        <f t="shared" si="12"/>
        <v>251096.4</v>
      </c>
      <c r="T20" s="54" t="s">
        <v>49</v>
      </c>
      <c r="AJ20" s="54" t="s">
        <v>50</v>
      </c>
      <c r="AK20" s="54" t="s">
        <v>49</v>
      </c>
    </row>
    <row r="21" spans="1:38">
      <c r="A21" s="162">
        <v>15</v>
      </c>
      <c r="B21" s="54" t="s">
        <v>51</v>
      </c>
      <c r="C21" s="61">
        <f>$I$21/$I$6*C6</f>
        <v>1580</v>
      </c>
      <c r="D21" s="61">
        <f t="shared" ref="D21:H21" si="14">$I$21/$I$6*D6</f>
        <v>1580</v>
      </c>
      <c r="E21" s="61">
        <f t="shared" si="14"/>
        <v>1580</v>
      </c>
      <c r="F21" s="61">
        <f t="shared" si="14"/>
        <v>1580</v>
      </c>
      <c r="G21" s="61">
        <f t="shared" si="14"/>
        <v>1580</v>
      </c>
      <c r="H21" s="61">
        <f t="shared" si="14"/>
        <v>0</v>
      </c>
      <c r="I21" s="56">
        <f>项目投资!D27</f>
        <v>7900</v>
      </c>
      <c r="T21" s="54" t="s">
        <v>51</v>
      </c>
      <c r="AJ21" s="54"/>
      <c r="AK21" s="54"/>
    </row>
    <row r="22" spans="1:38">
      <c r="A22" s="162">
        <v>16</v>
      </c>
      <c r="B22" s="54" t="s">
        <v>52</v>
      </c>
      <c r="C22" s="56">
        <f>C6*C47</f>
        <v>70400</v>
      </c>
      <c r="D22" s="56">
        <f t="shared" ref="D22:H22" si="15">D6*D47</f>
        <v>30752</v>
      </c>
      <c r="E22" s="56">
        <f t="shared" si="15"/>
        <v>116000</v>
      </c>
      <c r="F22" s="56">
        <f t="shared" si="15"/>
        <v>33643.199999999997</v>
      </c>
      <c r="G22" s="56">
        <f t="shared" si="15"/>
        <v>84000</v>
      </c>
      <c r="H22" s="56">
        <f t="shared" si="15"/>
        <v>0</v>
      </c>
      <c r="I22" s="56">
        <f t="shared" ref="I22" si="16">SUM(C22:H22)</f>
        <v>334795.2</v>
      </c>
      <c r="T22" s="54" t="s">
        <v>52</v>
      </c>
      <c r="AJ22" s="54" t="s">
        <v>53</v>
      </c>
      <c r="AK22" s="54" t="s">
        <v>52</v>
      </c>
    </row>
    <row r="23" spans="1:38">
      <c r="A23" s="162">
        <v>17</v>
      </c>
      <c r="B23" s="57" t="s">
        <v>54</v>
      </c>
      <c r="C23" s="61">
        <f>+C22+C21+C20+C19+C17</f>
        <v>216300</v>
      </c>
      <c r="D23" s="61">
        <f t="shared" ref="D23:H23" si="17">+D22+D21+D20+D19+D17</f>
        <v>95373.6</v>
      </c>
      <c r="E23" s="61">
        <f t="shared" si="17"/>
        <v>453980</v>
      </c>
      <c r="F23" s="61">
        <f t="shared" si="17"/>
        <v>104191.76000000001</v>
      </c>
      <c r="G23" s="61">
        <f t="shared" si="17"/>
        <v>257780</v>
      </c>
      <c r="H23" s="61">
        <f t="shared" si="17"/>
        <v>0</v>
      </c>
      <c r="I23" s="61">
        <f t="shared" ref="I23" si="18">+I22+I21+I20+I19+I17</f>
        <v>1127625.3599999999</v>
      </c>
      <c r="T23" s="57" t="s">
        <v>54</v>
      </c>
      <c r="AJ23" s="54" t="s">
        <v>55</v>
      </c>
      <c r="AK23" s="57" t="s">
        <v>54</v>
      </c>
    </row>
    <row r="24" spans="1:38">
      <c r="A24" s="162">
        <v>18</v>
      </c>
      <c r="B24" s="62" t="s">
        <v>56</v>
      </c>
      <c r="C24" s="61">
        <f>+C15-C23</f>
        <v>-231000.43271341611</v>
      </c>
      <c r="D24" s="61">
        <f t="shared" ref="D24:H24" si="19">+D15-D23</f>
        <v>-85956.208828451199</v>
      </c>
      <c r="E24" s="61">
        <f t="shared" si="19"/>
        <v>-138851.33032324223</v>
      </c>
      <c r="F24" s="61">
        <f t="shared" si="19"/>
        <v>-51476.406971818244</v>
      </c>
      <c r="G24" s="61">
        <f t="shared" si="19"/>
        <v>100087.20045558317</v>
      </c>
      <c r="H24" s="61">
        <f t="shared" si="19"/>
        <v>0</v>
      </c>
      <c r="I24" s="61">
        <f t="shared" ref="I24" si="20">+I15-I23</f>
        <v>-407197.17838134454</v>
      </c>
      <c r="K24" s="73"/>
      <c r="T24" s="54" t="s">
        <v>56</v>
      </c>
      <c r="AJ24" s="54" t="s">
        <v>57</v>
      </c>
      <c r="AK24" s="54" t="s">
        <v>56</v>
      </c>
    </row>
    <row r="25" spans="1:38">
      <c r="A25" s="162">
        <v>19</v>
      </c>
      <c r="B25" s="54" t="s">
        <v>153</v>
      </c>
      <c r="C25" s="61">
        <f>IF(C24&lt;0,0,C24*0.25)</f>
        <v>0</v>
      </c>
      <c r="D25" s="61">
        <f t="shared" ref="D25:I25" si="21">IF(D24&lt;0,0,D24*0.25)</f>
        <v>0</v>
      </c>
      <c r="E25" s="61">
        <f t="shared" si="21"/>
        <v>0</v>
      </c>
      <c r="F25" s="61">
        <f t="shared" si="21"/>
        <v>0</v>
      </c>
      <c r="G25" s="61">
        <f t="shared" si="21"/>
        <v>25021.800113895792</v>
      </c>
      <c r="H25" s="61">
        <f t="shared" si="21"/>
        <v>0</v>
      </c>
      <c r="I25" s="61">
        <f t="shared" si="21"/>
        <v>0</v>
      </c>
      <c r="J25" s="69"/>
      <c r="K25" s="69"/>
      <c r="L25" s="69"/>
      <c r="T25" s="54" t="s">
        <v>58</v>
      </c>
      <c r="AJ25" s="54" t="s">
        <v>59</v>
      </c>
      <c r="AK25" s="54" t="s">
        <v>58</v>
      </c>
    </row>
    <row r="26" spans="1:38">
      <c r="A26" s="162">
        <v>20</v>
      </c>
      <c r="B26" s="54" t="s">
        <v>60</v>
      </c>
      <c r="C26" s="61">
        <f t="shared" ref="C26:H26" si="22">C24-C25</f>
        <v>-231000.43271341611</v>
      </c>
      <c r="D26" s="61">
        <f t="shared" si="22"/>
        <v>-85956.208828451199</v>
      </c>
      <c r="E26" s="61">
        <f t="shared" si="22"/>
        <v>-138851.33032324223</v>
      </c>
      <c r="F26" s="61">
        <f t="shared" si="22"/>
        <v>-51476.406971818244</v>
      </c>
      <c r="G26" s="61">
        <f t="shared" si="22"/>
        <v>75065.400341687375</v>
      </c>
      <c r="H26" s="61">
        <f t="shared" si="22"/>
        <v>0</v>
      </c>
      <c r="I26" s="56">
        <f>+SUM(C26:H26)</f>
        <v>-432218.97849524039</v>
      </c>
      <c r="J26" s="69"/>
      <c r="K26" s="69"/>
      <c r="L26" s="69"/>
      <c r="T26" s="54" t="s">
        <v>60</v>
      </c>
      <c r="AJ26" s="54" t="s">
        <v>61</v>
      </c>
      <c r="AK26" s="54" t="s">
        <v>60</v>
      </c>
    </row>
    <row r="27" spans="1:38">
      <c r="A27" s="162">
        <v>21</v>
      </c>
      <c r="B27" s="54" t="s">
        <v>64</v>
      </c>
      <c r="C27" s="63">
        <f t="shared" ref="C27:I27" si="23">C26/C7</f>
        <v>-0.13125024585989553</v>
      </c>
      <c r="D27" s="63">
        <f t="shared" ref="D27:H27" si="24">D26/D7</f>
        <v>-0.11180568265927575</v>
      </c>
      <c r="E27" s="63">
        <f t="shared" si="24"/>
        <v>-4.7879769076980078E-2</v>
      </c>
      <c r="F27" s="63">
        <f t="shared" si="24"/>
        <v>-6.120274762426671E-2</v>
      </c>
      <c r="G27" s="63">
        <f t="shared" si="24"/>
        <v>3.5745428734136844E-2</v>
      </c>
      <c r="H27" s="63" t="e">
        <f t="shared" si="24"/>
        <v>#DIV/0!</v>
      </c>
      <c r="I27" s="63">
        <f t="shared" si="23"/>
        <v>-5.1639805886731997E-2</v>
      </c>
      <c r="J27" s="69"/>
      <c r="K27" s="69"/>
      <c r="L27" s="69"/>
      <c r="T27" s="54" t="s">
        <v>64</v>
      </c>
      <c r="AJ27" s="54" t="s">
        <v>63</v>
      </c>
      <c r="AK27" s="54" t="s">
        <v>64</v>
      </c>
    </row>
    <row r="28" spans="1:38">
      <c r="J28" s="69"/>
      <c r="K28" s="69"/>
      <c r="L28" s="69"/>
      <c r="T28" s="54"/>
    </row>
    <row r="29" spans="1:38">
      <c r="A29" s="50" t="s">
        <v>65</v>
      </c>
      <c r="I29" s="51" t="s">
        <v>154</v>
      </c>
      <c r="J29" s="69"/>
      <c r="K29" s="69"/>
      <c r="L29" s="69"/>
      <c r="T29" s="54"/>
      <c r="AJ29" s="50" t="s">
        <v>65</v>
      </c>
    </row>
    <row r="30" spans="1:38">
      <c r="A30" s="54" t="s">
        <v>70</v>
      </c>
      <c r="B30" s="57" t="s">
        <v>71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71</v>
      </c>
      <c r="AJ30" s="54" t="s">
        <v>72</v>
      </c>
      <c r="AK30" s="57" t="s">
        <v>71</v>
      </c>
    </row>
    <row r="31" spans="1:38">
      <c r="A31" s="162">
        <v>1</v>
      </c>
      <c r="B31" s="59" t="s">
        <v>73</v>
      </c>
      <c r="C31" s="65">
        <f>销量!C8</f>
        <v>880</v>
      </c>
      <c r="D31" s="65">
        <f>销量!D8</f>
        <v>384.4</v>
      </c>
      <c r="E31" s="65">
        <f>销量!E8</f>
        <v>1450</v>
      </c>
      <c r="F31" s="65">
        <f>销量!F8</f>
        <v>420.54</v>
      </c>
      <c r="G31" s="65">
        <f>销量!G8</f>
        <v>1050</v>
      </c>
      <c r="H31" s="65">
        <f>销量!H8</f>
        <v>0</v>
      </c>
      <c r="I31" s="61"/>
      <c r="J31" s="69"/>
      <c r="K31" s="69"/>
      <c r="L31" s="69"/>
      <c r="N31" s="69"/>
      <c r="T31" s="54" t="s">
        <v>73</v>
      </c>
      <c r="AJ31" s="54" t="s">
        <v>23</v>
      </c>
      <c r="AK31" s="54" t="s">
        <v>73</v>
      </c>
    </row>
    <row r="32" spans="1:38">
      <c r="A32" s="162">
        <v>2</v>
      </c>
      <c r="B32" s="54" t="s">
        <v>155</v>
      </c>
      <c r="C32" s="56">
        <f>C9/C6</f>
        <v>754.49</v>
      </c>
      <c r="D32" s="56">
        <f t="shared" ref="D32:H32" si="25">D9/D6</f>
        <v>329.57495</v>
      </c>
      <c r="E32" s="56">
        <f t="shared" si="25"/>
        <v>1243.1937499999999</v>
      </c>
      <c r="F32" s="56">
        <f t="shared" si="25"/>
        <v>360.56048249999998</v>
      </c>
      <c r="G32" s="56">
        <f t="shared" si="25"/>
        <v>900.24374999999998</v>
      </c>
      <c r="H32" s="56" t="e">
        <f t="shared" si="25"/>
        <v>#DIV/0!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2">
        <v>3</v>
      </c>
      <c r="B33" s="59" t="s">
        <v>74</v>
      </c>
      <c r="C33" s="56">
        <f>材料成本!H18</f>
        <v>663.89975749999996</v>
      </c>
      <c r="D33" s="56">
        <f>材料成本!H19</f>
        <v>260.94208124999994</v>
      </c>
      <c r="E33" s="56">
        <f>材料成本!H20</f>
        <v>924.25024999999982</v>
      </c>
      <c r="F33" s="56">
        <f>材料成本!H21</f>
        <v>264.26869625</v>
      </c>
      <c r="G33" s="56">
        <f>材料成本!H22</f>
        <v>604.44937499999992</v>
      </c>
      <c r="H33" s="56"/>
      <c r="I33" s="61"/>
      <c r="K33" s="69"/>
      <c r="L33" s="69"/>
      <c r="M33" s="69"/>
      <c r="N33" s="69"/>
      <c r="O33" s="69"/>
      <c r="P33" s="69"/>
      <c r="T33" s="54" t="s">
        <v>74</v>
      </c>
      <c r="AJ33" s="54" t="s">
        <v>25</v>
      </c>
      <c r="AK33" s="54" t="s">
        <v>74</v>
      </c>
    </row>
    <row r="34" spans="1:37" ht="17.25" customHeight="1">
      <c r="A34" s="162">
        <v>4</v>
      </c>
      <c r="B34" s="54" t="s">
        <v>76</v>
      </c>
      <c r="C34" s="66">
        <f>C32-C33</f>
        <v>90.590242500000045</v>
      </c>
      <c r="D34" s="66">
        <f t="shared" ref="D34:H34" si="26">D32-D33</f>
        <v>68.632868750000057</v>
      </c>
      <c r="E34" s="66">
        <f t="shared" si="26"/>
        <v>318.94350000000009</v>
      </c>
      <c r="F34" s="66">
        <f t="shared" si="26"/>
        <v>96.291786249999973</v>
      </c>
      <c r="G34" s="66">
        <f t="shared" si="26"/>
        <v>295.79437500000006</v>
      </c>
      <c r="H34" s="66" t="e">
        <f t="shared" si="26"/>
        <v>#DIV/0!</v>
      </c>
      <c r="I34" s="61"/>
      <c r="K34" s="69"/>
      <c r="L34" s="69"/>
      <c r="M34" s="69"/>
      <c r="N34" s="69"/>
      <c r="O34" s="69"/>
      <c r="P34" s="69"/>
      <c r="T34" s="54" t="s">
        <v>76</v>
      </c>
      <c r="AJ34" s="54" t="s">
        <v>75</v>
      </c>
      <c r="AK34" s="54" t="s">
        <v>76</v>
      </c>
    </row>
    <row r="35" spans="1:37">
      <c r="A35" s="54" t="s">
        <v>72</v>
      </c>
      <c r="B35" s="57" t="s">
        <v>9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9</v>
      </c>
      <c r="AJ35" s="54" t="s">
        <v>78</v>
      </c>
      <c r="AK35" s="57" t="s">
        <v>9</v>
      </c>
    </row>
    <row r="36" spans="1:37">
      <c r="A36" s="162">
        <v>1</v>
      </c>
      <c r="B36" s="54" t="s">
        <v>79</v>
      </c>
      <c r="C36" s="60">
        <f>'2023年'!C36</f>
        <v>49.473588007760711</v>
      </c>
      <c r="D36" s="60">
        <f>'2023年'!D36</f>
        <v>21.610962761571834</v>
      </c>
      <c r="E36" s="60">
        <f>'2023年'!E36</f>
        <v>81.518980240060259</v>
      </c>
      <c r="F36" s="60">
        <f>'2023年'!F36</f>
        <v>23.642753069072374</v>
      </c>
      <c r="G36" s="60">
        <f>'2023年'!G36</f>
        <v>59.030985691078115</v>
      </c>
      <c r="H36" s="60"/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79</v>
      </c>
      <c r="AJ36" s="54" t="s">
        <v>75</v>
      </c>
      <c r="AK36" s="54" t="s">
        <v>79</v>
      </c>
    </row>
    <row r="37" spans="1:37">
      <c r="A37" s="162">
        <v>2</v>
      </c>
      <c r="B37" s="54" t="s">
        <v>80</v>
      </c>
      <c r="C37" s="60">
        <f>'2023年'!C37</f>
        <v>13.266870848947413</v>
      </c>
      <c r="D37" s="60">
        <f>'2023年'!D37</f>
        <v>5.7952104026538462</v>
      </c>
      <c r="E37" s="60">
        <f>'2023年'!E37</f>
        <v>21.860184921561078</v>
      </c>
      <c r="F37" s="60">
        <f>'2023年'!F37</f>
        <v>6.3400566668367553</v>
      </c>
      <c r="G37" s="60">
        <f>'2023年'!G37</f>
        <v>15.829789081130436</v>
      </c>
      <c r="H37" s="60"/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80</v>
      </c>
      <c r="AJ37" s="54" t="s">
        <v>28</v>
      </c>
      <c r="AK37" s="54" t="s">
        <v>80</v>
      </c>
    </row>
    <row r="38" spans="1:37">
      <c r="A38" s="162">
        <v>3</v>
      </c>
      <c r="B38" s="54" t="s">
        <v>81</v>
      </c>
      <c r="C38" s="60">
        <f>'2023年'!C38</f>
        <v>35.199999999999996</v>
      </c>
      <c r="D38" s="60">
        <f>'2023年'!D38</f>
        <v>36.518000000000001</v>
      </c>
      <c r="E38" s="60">
        <f>'2023年'!E38</f>
        <v>57.999999999999993</v>
      </c>
      <c r="F38" s="60">
        <f>'2023年'!F38</f>
        <v>39.951300000000003</v>
      </c>
      <c r="G38" s="60">
        <f>'2023年'!G38</f>
        <v>41.999999999999993</v>
      </c>
      <c r="H38" s="60"/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81</v>
      </c>
      <c r="AJ38" s="54" t="s">
        <v>34</v>
      </c>
      <c r="AK38" s="54" t="s">
        <v>81</v>
      </c>
    </row>
    <row r="39" spans="1:37">
      <c r="A39" s="54" t="s">
        <v>78</v>
      </c>
      <c r="B39" s="57" t="s">
        <v>83</v>
      </c>
      <c r="C39" s="61"/>
      <c r="D39" s="61"/>
      <c r="E39" s="61"/>
      <c r="F39" s="61"/>
      <c r="G39" s="61"/>
      <c r="H39" s="61"/>
      <c r="I39" s="61"/>
      <c r="T39" s="57" t="s">
        <v>83</v>
      </c>
      <c r="AJ39" s="54" t="s">
        <v>82</v>
      </c>
      <c r="AK39" s="57" t="s">
        <v>83</v>
      </c>
    </row>
    <row r="40" spans="1:37">
      <c r="A40" s="162">
        <v>1</v>
      </c>
      <c r="B40" s="54" t="s">
        <v>85</v>
      </c>
      <c r="C40" s="61">
        <f>C34-C36-C37-C38</f>
        <v>-7.3502163567080743</v>
      </c>
      <c r="D40" s="61">
        <f t="shared" ref="D40:H40" si="27">D34-D36-D37-D38</f>
        <v>4.7086955857743789</v>
      </c>
      <c r="E40" s="61">
        <f t="shared" si="27"/>
        <v>157.56433483837873</v>
      </c>
      <c r="F40" s="61">
        <f t="shared" si="27"/>
        <v>26.357676514090841</v>
      </c>
      <c r="G40" s="61">
        <f t="shared" si="27"/>
        <v>178.93360022779152</v>
      </c>
      <c r="H40" s="61" t="e">
        <f t="shared" si="27"/>
        <v>#DIV/0!</v>
      </c>
      <c r="I40" s="61"/>
      <c r="T40" s="54" t="s">
        <v>85</v>
      </c>
      <c r="AJ40" s="54" t="s">
        <v>23</v>
      </c>
      <c r="AK40" s="54" t="s">
        <v>85</v>
      </c>
    </row>
    <row r="41" spans="1:37">
      <c r="A41" s="162">
        <v>2</v>
      </c>
      <c r="B41" s="54" t="s">
        <v>86</v>
      </c>
      <c r="C41" s="61"/>
      <c r="D41" s="61"/>
      <c r="E41" s="61"/>
      <c r="F41" s="61"/>
      <c r="G41" s="61"/>
      <c r="H41" s="61"/>
      <c r="I41" s="61"/>
      <c r="T41" s="54" t="s">
        <v>86</v>
      </c>
      <c r="AJ41" s="54" t="s">
        <v>25</v>
      </c>
      <c r="AK41" s="54" t="s">
        <v>86</v>
      </c>
    </row>
    <row r="42" spans="1:37">
      <c r="A42" s="54" t="s">
        <v>82</v>
      </c>
      <c r="B42" s="57" t="s">
        <v>88</v>
      </c>
      <c r="C42" s="61"/>
      <c r="D42" s="61"/>
      <c r="E42" s="61"/>
      <c r="F42" s="61"/>
      <c r="G42" s="61"/>
      <c r="H42" s="61"/>
      <c r="I42" s="61"/>
      <c r="T42" s="57" t="s">
        <v>88</v>
      </c>
      <c r="AJ42" s="54" t="s">
        <v>87</v>
      </c>
      <c r="AK42" s="57" t="s">
        <v>88</v>
      </c>
    </row>
    <row r="43" spans="1:37">
      <c r="A43" s="162">
        <v>1</v>
      </c>
      <c r="B43" s="62" t="s">
        <v>89</v>
      </c>
      <c r="C43" s="60">
        <f>'2023年'!C43</f>
        <v>39.6</v>
      </c>
      <c r="D43" s="60">
        <f>'2023年'!D43</f>
        <v>17.297999999999998</v>
      </c>
      <c r="E43" s="60">
        <f>'2023年'!E43</f>
        <v>114.55</v>
      </c>
      <c r="F43" s="60">
        <f>'2023年'!F43</f>
        <v>18.924299999999999</v>
      </c>
      <c r="G43" s="60">
        <f>'2023年'!G43</f>
        <v>47.25</v>
      </c>
      <c r="H43" s="60"/>
      <c r="I43" s="61"/>
      <c r="T43" s="54" t="s">
        <v>89</v>
      </c>
      <c r="AJ43" s="54" t="s">
        <v>23</v>
      </c>
      <c r="AK43" s="54" t="s">
        <v>89</v>
      </c>
    </row>
    <row r="44" spans="1:37">
      <c r="A44" s="162">
        <v>2</v>
      </c>
      <c r="B44" s="62" t="s">
        <v>90</v>
      </c>
      <c r="C44" s="60">
        <f>'2023年'!C44</f>
        <v>6.16</v>
      </c>
      <c r="D44" s="60">
        <f>'2023年'!D44</f>
        <v>2.6907999999999999</v>
      </c>
      <c r="E44" s="60">
        <f>'2023年'!E44</f>
        <v>10.15</v>
      </c>
      <c r="F44" s="60">
        <f>'2023年'!F44</f>
        <v>2.9437800000000003</v>
      </c>
      <c r="G44" s="60">
        <f>'2023年'!G44</f>
        <v>7.3500000000000005</v>
      </c>
      <c r="H44" s="60"/>
      <c r="I44" s="61"/>
      <c r="T44" s="54" t="s">
        <v>90</v>
      </c>
      <c r="AJ44" s="54" t="s">
        <v>25</v>
      </c>
      <c r="AK44" s="54" t="s">
        <v>90</v>
      </c>
    </row>
    <row r="45" spans="1:37">
      <c r="A45" s="162">
        <v>3</v>
      </c>
      <c r="B45" s="62" t="s">
        <v>91</v>
      </c>
      <c r="C45" s="60">
        <f>'2023年'!C45</f>
        <v>26.4</v>
      </c>
      <c r="D45" s="60">
        <f>'2023年'!D45</f>
        <v>11.531999999999998</v>
      </c>
      <c r="E45" s="60">
        <f>'2023年'!E45</f>
        <v>43.5</v>
      </c>
      <c r="F45" s="60">
        <f>'2023年'!F45</f>
        <v>12.616200000000001</v>
      </c>
      <c r="G45" s="60">
        <f>'2023年'!G45</f>
        <v>31.5</v>
      </c>
      <c r="H45" s="60"/>
      <c r="I45" s="61"/>
      <c r="T45" s="54" t="s">
        <v>91</v>
      </c>
      <c r="AJ45" s="54" t="s">
        <v>75</v>
      </c>
      <c r="AK45" s="54" t="s">
        <v>91</v>
      </c>
    </row>
    <row r="46" spans="1:37" s="49" customFormat="1">
      <c r="A46" s="162">
        <v>4</v>
      </c>
      <c r="B46" s="62" t="s">
        <v>92</v>
      </c>
      <c r="C46" s="67">
        <f>C21/C6</f>
        <v>0.79</v>
      </c>
      <c r="D46" s="67">
        <f t="shared" ref="D46:H46" si="28">D21/D6</f>
        <v>0.79</v>
      </c>
      <c r="E46" s="67">
        <f t="shared" si="28"/>
        <v>0.79</v>
      </c>
      <c r="F46" s="67">
        <f t="shared" si="28"/>
        <v>0.79</v>
      </c>
      <c r="G46" s="67">
        <f t="shared" si="28"/>
        <v>0.79</v>
      </c>
      <c r="H46" s="67" t="e">
        <f t="shared" si="28"/>
        <v>#DIV/0!</v>
      </c>
      <c r="I46" s="67"/>
      <c r="T46" s="62" t="s">
        <v>94</v>
      </c>
      <c r="AJ46" s="62" t="s">
        <v>31</v>
      </c>
      <c r="AK46" s="62" t="s">
        <v>94</v>
      </c>
    </row>
    <row r="47" spans="1:37" s="49" customFormat="1">
      <c r="A47" s="162">
        <v>5</v>
      </c>
      <c r="B47" s="62" t="s">
        <v>94</v>
      </c>
      <c r="C47" s="60">
        <f>'2023年'!C47</f>
        <v>35.200000000000003</v>
      </c>
      <c r="D47" s="60">
        <f>'2023年'!D47</f>
        <v>15.375999999999999</v>
      </c>
      <c r="E47" s="60">
        <f>'2023年'!E47</f>
        <v>58</v>
      </c>
      <c r="F47" s="60">
        <f>'2023年'!F47</f>
        <v>16.8216</v>
      </c>
      <c r="G47" s="60">
        <f>'2023年'!G47</f>
        <v>42</v>
      </c>
      <c r="H47" s="67"/>
      <c r="I47" s="67"/>
      <c r="T47" s="62" t="s">
        <v>94</v>
      </c>
      <c r="AJ47" s="62" t="s">
        <v>31</v>
      </c>
      <c r="AK47" s="62" t="s">
        <v>94</v>
      </c>
    </row>
    <row r="48" spans="1:37">
      <c r="A48" s="54" t="s">
        <v>87</v>
      </c>
      <c r="B48" s="57" t="s">
        <v>105</v>
      </c>
      <c r="C48" s="61">
        <f>C40-C43-C44-C45-C47-C46</f>
        <v>-115.50021635670808</v>
      </c>
      <c r="D48" s="61">
        <f t="shared" ref="D48:H48" si="29">D40-D43-D44-D45-D47-D46</f>
        <v>-42.978104414225612</v>
      </c>
      <c r="E48" s="61">
        <f t="shared" si="29"/>
        <v>-69.425665161621268</v>
      </c>
      <c r="F48" s="61">
        <f t="shared" si="29"/>
        <v>-25.73820348590916</v>
      </c>
      <c r="G48" s="61">
        <f t="shared" si="29"/>
        <v>50.043600227791522</v>
      </c>
      <c r="H48" s="61" t="e">
        <f t="shared" si="29"/>
        <v>#DIV/0!</v>
      </c>
      <c r="I48" s="61"/>
      <c r="T48" s="57" t="s">
        <v>105</v>
      </c>
      <c r="AJ48" s="54" t="s">
        <v>104</v>
      </c>
      <c r="AK48" s="57" t="s">
        <v>105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7" activePane="bottomRight" state="frozen"/>
      <selection pane="topRight"/>
      <selection pane="bottomLeft"/>
      <selection pane="bottomRight" activeCell="C24" sqref="C24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200" t="s">
        <v>145</v>
      </c>
      <c r="B1" s="200"/>
      <c r="C1" s="204" t="s">
        <v>248</v>
      </c>
      <c r="D1" s="205"/>
      <c r="E1" s="205"/>
      <c r="F1" s="205"/>
      <c r="G1" s="205"/>
      <c r="H1" s="205"/>
      <c r="I1" s="206"/>
    </row>
    <row r="2" spans="1:38">
      <c r="A2" s="200" t="s">
        <v>146</v>
      </c>
      <c r="B2" s="200"/>
      <c r="C2" s="207" t="str">
        <f>'2023年'!C2:I2</f>
        <v>一汽解放</v>
      </c>
      <c r="D2" s="207"/>
      <c r="E2" s="207"/>
      <c r="F2" s="207"/>
      <c r="G2" s="207"/>
      <c r="H2" s="207"/>
      <c r="I2" s="207"/>
    </row>
    <row r="3" spans="1:38">
      <c r="A3" s="200" t="s">
        <v>147</v>
      </c>
      <c r="B3" s="200"/>
      <c r="C3" s="163" t="str">
        <f>销量!C5</f>
        <v>驾驶员座总成</v>
      </c>
      <c r="D3" s="163" t="str">
        <f>销量!D5</f>
        <v>副驾驶员座椅总成</v>
      </c>
      <c r="E3" s="163" t="str">
        <f>销量!E5</f>
        <v>驾驶员座椅总成</v>
      </c>
      <c r="F3" s="163" t="str">
        <f>销量!F5</f>
        <v>副驾驶员座椅总成</v>
      </c>
      <c r="G3" s="163" t="str">
        <f>销量!G5</f>
        <v>驾驶员座椅总成</v>
      </c>
      <c r="H3" s="163">
        <f>销量!H5</f>
        <v>0</v>
      </c>
      <c r="I3" s="201" t="s">
        <v>19</v>
      </c>
    </row>
    <row r="4" spans="1:38" ht="28.5">
      <c r="A4" s="200" t="s">
        <v>148</v>
      </c>
      <c r="B4" s="200"/>
      <c r="C4" s="163" t="str">
        <f>销量!C6</f>
        <v>6800010AH95-C00</v>
      </c>
      <c r="D4" s="163" t="str">
        <f>销量!D6</f>
        <v>6903010-H87-C006905100-H87-C006905020-H87-C00</v>
      </c>
      <c r="E4" s="163" t="str">
        <f>销量!E6</f>
        <v>6800010-H95-C00</v>
      </c>
      <c r="F4" s="163" t="str">
        <f>销量!F6</f>
        <v>6903010-H95-C00690510-H95-C006905020-H95-C00</v>
      </c>
      <c r="G4" s="163" t="str">
        <f>销量!G6</f>
        <v>6800010DH26-C00</v>
      </c>
      <c r="H4" s="163">
        <f>销量!H6</f>
        <v>0</v>
      </c>
      <c r="I4" s="202"/>
    </row>
    <row r="5" spans="1:38">
      <c r="A5" s="200" t="s">
        <v>149</v>
      </c>
      <c r="B5" s="200"/>
      <c r="C5" s="53"/>
      <c r="D5" s="53"/>
      <c r="E5" s="53"/>
      <c r="F5" s="53"/>
      <c r="G5" s="53"/>
      <c r="H5" s="53"/>
      <c r="I5" s="203"/>
      <c r="AL5" s="50" t="s">
        <v>20</v>
      </c>
    </row>
    <row r="6" spans="1:38" ht="17.25">
      <c r="A6" s="54" t="s">
        <v>17</v>
      </c>
      <c r="B6" s="55" t="s">
        <v>150</v>
      </c>
      <c r="C6" s="23">
        <f>销量!C13</f>
        <v>2000</v>
      </c>
      <c r="D6" s="23">
        <f>销量!D13</f>
        <v>2000</v>
      </c>
      <c r="E6" s="23">
        <f>销量!E13</f>
        <v>2000</v>
      </c>
      <c r="F6" s="23">
        <f>销量!F13</f>
        <v>2000</v>
      </c>
      <c r="G6" s="23">
        <f>销量!G13</f>
        <v>2000</v>
      </c>
      <c r="H6" s="23">
        <f>销量!H13</f>
        <v>0</v>
      </c>
      <c r="I6" s="56">
        <f>SUM(C6:H6)</f>
        <v>10000</v>
      </c>
      <c r="T6" s="55" t="s">
        <v>3</v>
      </c>
      <c r="AJ6" s="54" t="s">
        <v>17</v>
      </c>
      <c r="AK6" s="55" t="s">
        <v>3</v>
      </c>
      <c r="AL6" s="50" t="s">
        <v>21</v>
      </c>
    </row>
    <row r="7" spans="1:38">
      <c r="A7" s="162">
        <v>1</v>
      </c>
      <c r="B7" s="55" t="s">
        <v>22</v>
      </c>
      <c r="C7" s="56">
        <f>C6*销量!C8</f>
        <v>1760000</v>
      </c>
      <c r="D7" s="56">
        <f>D6*销量!D8</f>
        <v>768800</v>
      </c>
      <c r="E7" s="56">
        <f>E6*销量!E8</f>
        <v>2900000</v>
      </c>
      <c r="F7" s="56">
        <f>F6*销量!F8</f>
        <v>841080</v>
      </c>
      <c r="G7" s="56">
        <f>G6*销量!G8</f>
        <v>2100000</v>
      </c>
      <c r="H7" s="56">
        <f>H6*销量!H8</f>
        <v>0</v>
      </c>
      <c r="I7" s="56">
        <f t="shared" ref="I7:I22" si="0">SUM(C7:H7)</f>
        <v>8369880</v>
      </c>
      <c r="J7" s="51"/>
      <c r="T7" s="55" t="s">
        <v>22</v>
      </c>
      <c r="AJ7" s="54" t="s">
        <v>23</v>
      </c>
      <c r="AK7" s="55" t="s">
        <v>22</v>
      </c>
      <c r="AL7" s="50" t="s">
        <v>21</v>
      </c>
    </row>
    <row r="8" spans="1:38">
      <c r="A8" s="162">
        <v>2</v>
      </c>
      <c r="B8" s="162" t="s">
        <v>24</v>
      </c>
      <c r="C8" s="56">
        <f>C7*(1-销量!$L$10)</f>
        <v>326469.00000000023</v>
      </c>
      <c r="D8" s="56">
        <f>D7*(1-销量!$L$10)</f>
        <v>142607.59500000009</v>
      </c>
      <c r="E8" s="56">
        <f>E7*(1-销量!$L$10)</f>
        <v>537931.87500000035</v>
      </c>
      <c r="F8" s="56">
        <f>F7*(1-销量!$L$10)</f>
        <v>156015.08325000011</v>
      </c>
      <c r="G8" s="56">
        <f>G7*(1-销量!$L$10)</f>
        <v>389536.87500000023</v>
      </c>
      <c r="H8" s="56">
        <f>H7*(1-销量!$L$10)</f>
        <v>0</v>
      </c>
      <c r="I8" s="56">
        <f t="shared" si="0"/>
        <v>1552560.428250001</v>
      </c>
      <c r="J8" s="71"/>
      <c r="T8" s="162" t="s">
        <v>26</v>
      </c>
      <c r="AJ8" s="54" t="s">
        <v>25</v>
      </c>
      <c r="AK8" s="162" t="s">
        <v>26</v>
      </c>
      <c r="AL8" s="50" t="s">
        <v>21</v>
      </c>
    </row>
    <row r="9" spans="1:38">
      <c r="A9" s="162">
        <v>3</v>
      </c>
      <c r="B9" s="55" t="s">
        <v>27</v>
      </c>
      <c r="C9" s="56">
        <f>+C7-C8</f>
        <v>1433530.9999999998</v>
      </c>
      <c r="D9" s="56">
        <f t="shared" ref="D9:H9" si="1">+D7-D8</f>
        <v>626192.40499999991</v>
      </c>
      <c r="E9" s="56">
        <f t="shared" si="1"/>
        <v>2362068.1249999995</v>
      </c>
      <c r="F9" s="56">
        <f t="shared" si="1"/>
        <v>685064.91674999986</v>
      </c>
      <c r="G9" s="56">
        <f t="shared" si="1"/>
        <v>1710463.1249999998</v>
      </c>
      <c r="H9" s="56">
        <f t="shared" si="1"/>
        <v>0</v>
      </c>
      <c r="I9" s="56">
        <f t="shared" si="0"/>
        <v>6817319.5717499992</v>
      </c>
      <c r="T9" s="55" t="s">
        <v>27</v>
      </c>
      <c r="AJ9" s="54" t="s">
        <v>28</v>
      </c>
      <c r="AK9" s="55" t="s">
        <v>27</v>
      </c>
      <c r="AL9" s="50" t="s">
        <v>29</v>
      </c>
    </row>
    <row r="10" spans="1:38">
      <c r="A10" s="162">
        <v>4</v>
      </c>
      <c r="B10" s="54" t="s">
        <v>30</v>
      </c>
      <c r="C10" s="56">
        <f>C6*材料成本!I18</f>
        <v>1261409.5392499999</v>
      </c>
      <c r="D10" s="56">
        <f>D6*材料成本!I19</f>
        <v>495789.95437499986</v>
      </c>
      <c r="E10" s="56">
        <f>E6*材料成本!I20</f>
        <v>1756075.4749999996</v>
      </c>
      <c r="F10" s="56">
        <f>F6*材料成本!I21</f>
        <v>502110.52287499997</v>
      </c>
      <c r="G10" s="56">
        <f>G6*材料成本!I22</f>
        <v>1148453.8124999998</v>
      </c>
      <c r="H10" s="56"/>
      <c r="I10" s="56">
        <f t="shared" si="0"/>
        <v>5163839.3039999986</v>
      </c>
      <c r="T10" s="54" t="s">
        <v>30</v>
      </c>
      <c r="AJ10" s="54" t="s">
        <v>31</v>
      </c>
      <c r="AK10" s="54" t="s">
        <v>30</v>
      </c>
      <c r="AL10" s="50" t="s">
        <v>32</v>
      </c>
    </row>
    <row r="11" spans="1:38">
      <c r="A11" s="162">
        <v>5</v>
      </c>
      <c r="B11" s="54" t="s">
        <v>33</v>
      </c>
      <c r="C11" s="56">
        <f>+C6*C36</f>
        <v>98947.176015521414</v>
      </c>
      <c r="D11" s="56">
        <f t="shared" ref="D11:H11" si="2">+D6*D36</f>
        <v>43221.925523143669</v>
      </c>
      <c r="E11" s="56">
        <f t="shared" si="2"/>
        <v>163037.96048012053</v>
      </c>
      <c r="F11" s="56">
        <f t="shared" si="2"/>
        <v>47285.506138144745</v>
      </c>
      <c r="G11" s="56">
        <f t="shared" si="2"/>
        <v>118061.97138215623</v>
      </c>
      <c r="H11" s="56">
        <f t="shared" si="2"/>
        <v>0</v>
      </c>
      <c r="I11" s="56">
        <f t="shared" si="0"/>
        <v>470554.53953908663</v>
      </c>
      <c r="T11" s="54" t="s">
        <v>33</v>
      </c>
      <c r="AJ11" s="54" t="s">
        <v>34</v>
      </c>
      <c r="AK11" s="54" t="s">
        <v>33</v>
      </c>
    </row>
    <row r="12" spans="1:38">
      <c r="A12" s="162">
        <v>6</v>
      </c>
      <c r="B12" s="54" t="s">
        <v>35</v>
      </c>
      <c r="C12" s="56">
        <f>+C6*C37</f>
        <v>26533.741697894824</v>
      </c>
      <c r="D12" s="56">
        <f t="shared" ref="D12:H12" si="3">+D6*D37</f>
        <v>11590.420805307693</v>
      </c>
      <c r="E12" s="56">
        <f t="shared" si="3"/>
        <v>43720.369843122156</v>
      </c>
      <c r="F12" s="56">
        <f t="shared" si="3"/>
        <v>12680.113333673511</v>
      </c>
      <c r="G12" s="56">
        <f t="shared" si="3"/>
        <v>31659.57816226087</v>
      </c>
      <c r="H12" s="56">
        <f t="shared" si="3"/>
        <v>0</v>
      </c>
      <c r="I12" s="56">
        <f t="shared" si="0"/>
        <v>126184.22384225906</v>
      </c>
      <c r="T12" s="54" t="s">
        <v>35</v>
      </c>
      <c r="AJ12" s="54" t="s">
        <v>36</v>
      </c>
      <c r="AK12" s="54" t="s">
        <v>35</v>
      </c>
    </row>
    <row r="13" spans="1:38">
      <c r="A13" s="162">
        <v>7</v>
      </c>
      <c r="B13" s="54" t="s">
        <v>37</v>
      </c>
      <c r="C13" s="56">
        <f>+C6*C38</f>
        <v>70399.999999999985</v>
      </c>
      <c r="D13" s="56">
        <f t="shared" ref="D13:H13" si="4">+D6*D38</f>
        <v>73036</v>
      </c>
      <c r="E13" s="56">
        <f t="shared" si="4"/>
        <v>115999.99999999999</v>
      </c>
      <c r="F13" s="56">
        <f t="shared" si="4"/>
        <v>79902.600000000006</v>
      </c>
      <c r="G13" s="56">
        <f t="shared" si="4"/>
        <v>83999.999999999985</v>
      </c>
      <c r="H13" s="56">
        <f t="shared" si="4"/>
        <v>0</v>
      </c>
      <c r="I13" s="56">
        <f t="shared" si="0"/>
        <v>423338.6</v>
      </c>
      <c r="T13" s="54" t="s">
        <v>37</v>
      </c>
      <c r="AJ13" s="54" t="s">
        <v>38</v>
      </c>
      <c r="AK13" s="54" t="s">
        <v>37</v>
      </c>
      <c r="AL13" s="50" t="s">
        <v>21</v>
      </c>
    </row>
    <row r="14" spans="1:38">
      <c r="A14" s="162">
        <v>8</v>
      </c>
      <c r="B14" s="57" t="s">
        <v>39</v>
      </c>
      <c r="C14" s="56">
        <f>SUM(C11:C13)</f>
        <v>195880.91771341622</v>
      </c>
      <c r="D14" s="56">
        <f t="shared" ref="D14:H14" si="5">SUM(D11:D13)</f>
        <v>127848.34632845136</v>
      </c>
      <c r="E14" s="56">
        <f t="shared" si="5"/>
        <v>322758.3303232427</v>
      </c>
      <c r="F14" s="56">
        <f t="shared" si="5"/>
        <v>139868.21947181824</v>
      </c>
      <c r="G14" s="56">
        <f t="shared" si="5"/>
        <v>233721.54954441707</v>
      </c>
      <c r="H14" s="56">
        <f t="shared" si="5"/>
        <v>0</v>
      </c>
      <c r="I14" s="56">
        <f t="shared" si="0"/>
        <v>1020077.3633813455</v>
      </c>
      <c r="T14" s="57" t="s">
        <v>39</v>
      </c>
      <c r="AJ14" s="54" t="s">
        <v>40</v>
      </c>
      <c r="AK14" s="57" t="s">
        <v>39</v>
      </c>
    </row>
    <row r="15" spans="1:38">
      <c r="A15" s="162">
        <v>9</v>
      </c>
      <c r="B15" s="57" t="s">
        <v>41</v>
      </c>
      <c r="C15" s="56">
        <f>+C9-C10-C14</f>
        <v>-23759.456963416364</v>
      </c>
      <c r="D15" s="56">
        <f t="shared" ref="D15:H15" si="6">+D9-D10-D14</f>
        <v>2554.1042965486995</v>
      </c>
      <c r="E15" s="56">
        <f t="shared" si="6"/>
        <v>283234.31967675721</v>
      </c>
      <c r="F15" s="56">
        <f t="shared" si="6"/>
        <v>43086.174403181649</v>
      </c>
      <c r="G15" s="56">
        <f t="shared" si="6"/>
        <v>328287.76295558293</v>
      </c>
      <c r="H15" s="56">
        <f t="shared" si="6"/>
        <v>0</v>
      </c>
      <c r="I15" s="56">
        <f t="shared" si="0"/>
        <v>633402.90436865413</v>
      </c>
      <c r="T15" s="57" t="s">
        <v>41</v>
      </c>
      <c r="AJ15" s="54" t="s">
        <v>42</v>
      </c>
      <c r="AK15" s="57" t="s">
        <v>41</v>
      </c>
    </row>
    <row r="16" spans="1:38">
      <c r="A16" s="162">
        <v>10</v>
      </c>
      <c r="B16" s="54" t="s">
        <v>43</v>
      </c>
      <c r="C16" s="58">
        <f>+C15/C9</f>
        <v>-1.6574079642097984E-2</v>
      </c>
      <c r="D16" s="58">
        <f t="shared" ref="D16:H16" si="7">+D15/D9</f>
        <v>4.0787851723444327E-3</v>
      </c>
      <c r="E16" s="58">
        <f t="shared" si="7"/>
        <v>0.11990946267765129</v>
      </c>
      <c r="F16" s="58">
        <f t="shared" si="7"/>
        <v>6.2893564317358042E-2</v>
      </c>
      <c r="G16" s="58">
        <f t="shared" si="7"/>
        <v>0.19192916711114891</v>
      </c>
      <c r="H16" s="58" t="e">
        <f t="shared" si="7"/>
        <v>#DIV/0!</v>
      </c>
      <c r="I16" s="58">
        <f t="shared" ref="I16" si="8">+I15/I9</f>
        <v>9.2910842406946192E-2</v>
      </c>
      <c r="T16" s="54" t="s">
        <v>43</v>
      </c>
      <c r="AJ16" s="54" t="s">
        <v>44</v>
      </c>
      <c r="AK16" s="54" t="s">
        <v>43</v>
      </c>
    </row>
    <row r="17" spans="1:38">
      <c r="A17" s="162">
        <v>11</v>
      </c>
      <c r="B17" s="54" t="s">
        <v>45</v>
      </c>
      <c r="C17" s="56">
        <f>C6*C43+C18</f>
        <v>79200</v>
      </c>
      <c r="D17" s="56">
        <f t="shared" ref="D17:H17" si="9">D6*D43+D18</f>
        <v>34596</v>
      </c>
      <c r="E17" s="56">
        <f t="shared" si="9"/>
        <v>229100</v>
      </c>
      <c r="F17" s="56">
        <f t="shared" si="9"/>
        <v>37848.6</v>
      </c>
      <c r="G17" s="56">
        <f t="shared" si="9"/>
        <v>94500</v>
      </c>
      <c r="H17" s="56">
        <f t="shared" si="9"/>
        <v>0</v>
      </c>
      <c r="I17" s="56">
        <f t="shared" si="0"/>
        <v>475244.6</v>
      </c>
      <c r="J17" s="71"/>
      <c r="T17" s="54" t="s">
        <v>45</v>
      </c>
      <c r="AJ17" s="54" t="s">
        <v>46</v>
      </c>
      <c r="AK17" s="54" t="s">
        <v>45</v>
      </c>
    </row>
    <row r="18" spans="1:38" s="48" customFormat="1">
      <c r="A18" s="162">
        <v>12</v>
      </c>
      <c r="B18" s="59" t="s">
        <v>151</v>
      </c>
      <c r="C18" s="60">
        <f>$I$18/$I$6*C6</f>
        <v>0</v>
      </c>
      <c r="D18" s="60">
        <f t="shared" ref="D18:H18" si="10">$I$18/$I$6*D6</f>
        <v>0</v>
      </c>
      <c r="E18" s="60">
        <f t="shared" si="10"/>
        <v>0</v>
      </c>
      <c r="F18" s="60">
        <f t="shared" si="10"/>
        <v>0</v>
      </c>
      <c r="G18" s="60">
        <f t="shared" si="10"/>
        <v>0</v>
      </c>
      <c r="H18" s="60">
        <f t="shared" si="10"/>
        <v>0</v>
      </c>
      <c r="I18" s="60">
        <f>项目投资!D26</f>
        <v>0</v>
      </c>
      <c r="J18" s="72" t="s">
        <v>152</v>
      </c>
      <c r="K18" s="72"/>
      <c r="L18" s="72"/>
    </row>
    <row r="19" spans="1:38">
      <c r="A19" s="162">
        <v>13</v>
      </c>
      <c r="B19" s="54" t="s">
        <v>47</v>
      </c>
      <c r="C19" s="56">
        <f>C6*C44</f>
        <v>12320</v>
      </c>
      <c r="D19" s="56">
        <f t="shared" ref="D19:H19" si="11">D6*D44</f>
        <v>5381.5999999999995</v>
      </c>
      <c r="E19" s="56">
        <f t="shared" si="11"/>
        <v>20300</v>
      </c>
      <c r="F19" s="56">
        <f t="shared" si="11"/>
        <v>5887.56</v>
      </c>
      <c r="G19" s="56">
        <f t="shared" si="11"/>
        <v>14700.000000000002</v>
      </c>
      <c r="H19" s="56">
        <f t="shared" si="11"/>
        <v>0</v>
      </c>
      <c r="I19" s="56">
        <f t="shared" si="0"/>
        <v>58589.159999999996</v>
      </c>
      <c r="J19" s="48"/>
      <c r="T19" s="54" t="s">
        <v>47</v>
      </c>
      <c r="AJ19" s="54" t="s">
        <v>48</v>
      </c>
      <c r="AK19" s="54" t="s">
        <v>47</v>
      </c>
      <c r="AL19" s="50" t="s">
        <v>21</v>
      </c>
    </row>
    <row r="20" spans="1:38">
      <c r="A20" s="162">
        <v>14</v>
      </c>
      <c r="B20" s="54" t="s">
        <v>49</v>
      </c>
      <c r="C20" s="56">
        <f>C6*C45</f>
        <v>52800</v>
      </c>
      <c r="D20" s="56">
        <f t="shared" ref="D20:H20" si="12">D6*D45</f>
        <v>23063.999999999996</v>
      </c>
      <c r="E20" s="56">
        <f t="shared" si="12"/>
        <v>87000</v>
      </c>
      <c r="F20" s="56">
        <f t="shared" si="12"/>
        <v>25232.400000000001</v>
      </c>
      <c r="G20" s="56">
        <f t="shared" si="12"/>
        <v>63000</v>
      </c>
      <c r="H20" s="56">
        <f t="shared" si="12"/>
        <v>0</v>
      </c>
      <c r="I20" s="56">
        <f t="shared" si="0"/>
        <v>251096.4</v>
      </c>
      <c r="T20" s="54" t="s">
        <v>49</v>
      </c>
      <c r="AJ20" s="54" t="s">
        <v>50</v>
      </c>
      <c r="AK20" s="54" t="s">
        <v>49</v>
      </c>
    </row>
    <row r="21" spans="1:38">
      <c r="A21" s="162">
        <v>15</v>
      </c>
      <c r="B21" s="54" t="s">
        <v>51</v>
      </c>
      <c r="C21" s="61">
        <f>$I$21/$I$6*C6</f>
        <v>1580</v>
      </c>
      <c r="D21" s="61">
        <f t="shared" ref="D21:H21" si="13">$I$21/$I$6*D6</f>
        <v>1580</v>
      </c>
      <c r="E21" s="61">
        <f t="shared" si="13"/>
        <v>1580</v>
      </c>
      <c r="F21" s="61">
        <f t="shared" si="13"/>
        <v>1580</v>
      </c>
      <c r="G21" s="61">
        <f t="shared" si="13"/>
        <v>1580</v>
      </c>
      <c r="H21" s="61">
        <f t="shared" si="13"/>
        <v>0</v>
      </c>
      <c r="I21" s="56">
        <f>项目投资!D27</f>
        <v>7900</v>
      </c>
      <c r="T21" s="54" t="s">
        <v>51</v>
      </c>
      <c r="AJ21" s="54"/>
      <c r="AK21" s="54"/>
    </row>
    <row r="22" spans="1:38">
      <c r="A22" s="162">
        <v>16</v>
      </c>
      <c r="B22" s="54" t="s">
        <v>52</v>
      </c>
      <c r="C22" s="56">
        <f>C6*C47</f>
        <v>70400</v>
      </c>
      <c r="D22" s="56">
        <f t="shared" ref="D22:H22" si="14">D6*D47</f>
        <v>30752</v>
      </c>
      <c r="E22" s="56">
        <f t="shared" si="14"/>
        <v>116000</v>
      </c>
      <c r="F22" s="56">
        <f t="shared" si="14"/>
        <v>33643.199999999997</v>
      </c>
      <c r="G22" s="56">
        <f t="shared" si="14"/>
        <v>84000</v>
      </c>
      <c r="H22" s="56">
        <f t="shared" si="14"/>
        <v>0</v>
      </c>
      <c r="I22" s="56">
        <f t="shared" si="0"/>
        <v>334795.2</v>
      </c>
      <c r="T22" s="54" t="s">
        <v>52</v>
      </c>
      <c r="AJ22" s="54" t="s">
        <v>53</v>
      </c>
      <c r="AK22" s="54" t="s">
        <v>52</v>
      </c>
    </row>
    <row r="23" spans="1:38">
      <c r="A23" s="162">
        <v>17</v>
      </c>
      <c r="B23" s="57" t="s">
        <v>54</v>
      </c>
      <c r="C23" s="61">
        <f>+C22+C21+C20+C19+C17</f>
        <v>216300</v>
      </c>
      <c r="D23" s="61">
        <f t="shared" ref="D23:H23" si="15">+D22+D21+D20+D19+D17</f>
        <v>95373.6</v>
      </c>
      <c r="E23" s="61">
        <f t="shared" si="15"/>
        <v>453980</v>
      </c>
      <c r="F23" s="61">
        <f t="shared" si="15"/>
        <v>104191.76000000001</v>
      </c>
      <c r="G23" s="61">
        <f t="shared" si="15"/>
        <v>257780</v>
      </c>
      <c r="H23" s="61">
        <f t="shared" si="15"/>
        <v>0</v>
      </c>
      <c r="I23" s="61">
        <f t="shared" ref="I23" si="16">+I22+I21+I20+I19+I17</f>
        <v>1127625.3599999999</v>
      </c>
      <c r="T23" s="57" t="s">
        <v>54</v>
      </c>
      <c r="AJ23" s="54" t="s">
        <v>55</v>
      </c>
      <c r="AK23" s="57" t="s">
        <v>54</v>
      </c>
    </row>
    <row r="24" spans="1:38">
      <c r="A24" s="162">
        <v>18</v>
      </c>
      <c r="B24" s="62" t="s">
        <v>56</v>
      </c>
      <c r="C24" s="61">
        <f>+C15-C23</f>
        <v>-240059.45696341636</v>
      </c>
      <c r="D24" s="61">
        <f t="shared" ref="D24:H24" si="17">+D15-D23</f>
        <v>-92819.495703451306</v>
      </c>
      <c r="E24" s="61">
        <f t="shared" si="17"/>
        <v>-170745.68032324279</v>
      </c>
      <c r="F24" s="61">
        <f t="shared" si="17"/>
        <v>-61105.585596818361</v>
      </c>
      <c r="G24" s="61">
        <f t="shared" si="17"/>
        <v>70507.762955582934</v>
      </c>
      <c r="H24" s="61">
        <f t="shared" si="17"/>
        <v>0</v>
      </c>
      <c r="I24" s="61">
        <f t="shared" ref="I24" si="18">+I15-I23</f>
        <v>-494222.45563134574</v>
      </c>
      <c r="K24" s="73"/>
      <c r="T24" s="54" t="s">
        <v>56</v>
      </c>
      <c r="AJ24" s="54" t="s">
        <v>57</v>
      </c>
      <c r="AK24" s="54" t="s">
        <v>56</v>
      </c>
    </row>
    <row r="25" spans="1:38">
      <c r="A25" s="162">
        <v>19</v>
      </c>
      <c r="B25" s="54" t="s">
        <v>153</v>
      </c>
      <c r="C25" s="61">
        <f>IF(C24&lt;0,0,C24*0.25)</f>
        <v>0</v>
      </c>
      <c r="D25" s="61">
        <f>IF(D24&lt;0,0,D24*0.15)</f>
        <v>0</v>
      </c>
      <c r="E25" s="61">
        <f t="shared" ref="E25:I25" si="19">IF(E24&lt;0,0,E24*0.25)</f>
        <v>0</v>
      </c>
      <c r="F25" s="61">
        <f>IF(F24&lt;0,0,F24*0.15)</f>
        <v>0</v>
      </c>
      <c r="G25" s="61">
        <f t="shared" si="19"/>
        <v>17626.940738895733</v>
      </c>
      <c r="H25" s="61">
        <f t="shared" si="19"/>
        <v>0</v>
      </c>
      <c r="I25" s="61">
        <f t="shared" si="19"/>
        <v>0</v>
      </c>
      <c r="J25" s="69"/>
      <c r="K25" s="69"/>
      <c r="L25" s="69"/>
      <c r="T25" s="54" t="s">
        <v>58</v>
      </c>
      <c r="AJ25" s="54" t="s">
        <v>59</v>
      </c>
      <c r="AK25" s="54" t="s">
        <v>58</v>
      </c>
    </row>
    <row r="26" spans="1:38">
      <c r="A26" s="162">
        <v>20</v>
      </c>
      <c r="B26" s="54" t="s">
        <v>60</v>
      </c>
      <c r="C26" s="61">
        <f t="shared" ref="C26:H26" si="20">C24-C25</f>
        <v>-240059.45696341636</v>
      </c>
      <c r="D26" s="61">
        <f t="shared" si="20"/>
        <v>-92819.495703451306</v>
      </c>
      <c r="E26" s="61">
        <f t="shared" si="20"/>
        <v>-170745.68032324279</v>
      </c>
      <c r="F26" s="61">
        <f t="shared" si="20"/>
        <v>-61105.585596818361</v>
      </c>
      <c r="G26" s="61">
        <f t="shared" si="20"/>
        <v>52880.8222166872</v>
      </c>
      <c r="H26" s="61">
        <f t="shared" si="20"/>
        <v>0</v>
      </c>
      <c r="I26" s="56">
        <f>+SUM(C26:H26)</f>
        <v>-511849.39637024159</v>
      </c>
      <c r="J26" s="69"/>
      <c r="K26" s="69"/>
      <c r="L26" s="69"/>
      <c r="T26" s="54" t="s">
        <v>60</v>
      </c>
      <c r="AJ26" s="54" t="s">
        <v>61</v>
      </c>
      <c r="AK26" s="54" t="s">
        <v>60</v>
      </c>
    </row>
    <row r="27" spans="1:38">
      <c r="A27" s="162">
        <v>21</v>
      </c>
      <c r="B27" s="54" t="s">
        <v>64</v>
      </c>
      <c r="C27" s="63">
        <f t="shared" ref="C27:I27" si="21">C26/C7</f>
        <v>-0.13639741872921385</v>
      </c>
      <c r="D27" s="63">
        <f t="shared" ref="D27:H27" si="22">D26/D7</f>
        <v>-0.12073295486921345</v>
      </c>
      <c r="E27" s="63">
        <f t="shared" si="22"/>
        <v>-5.8877820801118204E-2</v>
      </c>
      <c r="F27" s="63">
        <f t="shared" si="22"/>
        <v>-7.2651335897677222E-2</v>
      </c>
      <c r="G27" s="63">
        <f t="shared" si="22"/>
        <v>2.5181343912708192E-2</v>
      </c>
      <c r="H27" s="63" t="e">
        <f t="shared" si="22"/>
        <v>#DIV/0!</v>
      </c>
      <c r="I27" s="63">
        <f t="shared" si="21"/>
        <v>-6.1153731758429225E-2</v>
      </c>
      <c r="J27" s="69"/>
      <c r="K27" s="69"/>
      <c r="L27" s="69"/>
      <c r="T27" s="54" t="s">
        <v>64</v>
      </c>
      <c r="AJ27" s="54" t="s">
        <v>63</v>
      </c>
      <c r="AK27" s="54" t="s">
        <v>64</v>
      </c>
    </row>
    <row r="28" spans="1:38">
      <c r="J28" s="69"/>
      <c r="K28" s="69"/>
      <c r="L28" s="69"/>
      <c r="T28" s="54"/>
    </row>
    <row r="29" spans="1:38">
      <c r="A29" s="50" t="s">
        <v>65</v>
      </c>
      <c r="I29" s="51" t="s">
        <v>154</v>
      </c>
      <c r="J29" s="69"/>
      <c r="K29" s="69"/>
      <c r="L29" s="69"/>
      <c r="T29" s="54"/>
      <c r="AJ29" s="50" t="s">
        <v>65</v>
      </c>
    </row>
    <row r="30" spans="1:38">
      <c r="A30" s="54" t="s">
        <v>70</v>
      </c>
      <c r="B30" s="57" t="s">
        <v>71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71</v>
      </c>
      <c r="AJ30" s="54" t="s">
        <v>72</v>
      </c>
      <c r="AK30" s="57" t="s">
        <v>71</v>
      </c>
    </row>
    <row r="31" spans="1:38">
      <c r="A31" s="162">
        <v>1</v>
      </c>
      <c r="B31" s="59" t="s">
        <v>73</v>
      </c>
      <c r="C31" s="65">
        <f>销量!C8</f>
        <v>880</v>
      </c>
      <c r="D31" s="65">
        <f>销量!D8</f>
        <v>384.4</v>
      </c>
      <c r="E31" s="65">
        <f>销量!E8</f>
        <v>1450</v>
      </c>
      <c r="F31" s="65">
        <f>销量!F8</f>
        <v>420.54</v>
      </c>
      <c r="G31" s="65">
        <f>销量!G8</f>
        <v>1050</v>
      </c>
      <c r="H31" s="65">
        <f>销量!H8</f>
        <v>0</v>
      </c>
      <c r="I31" s="61"/>
      <c r="J31" s="69"/>
      <c r="K31" s="69"/>
      <c r="L31" s="69"/>
      <c r="N31" s="69"/>
      <c r="T31" s="54" t="s">
        <v>73</v>
      </c>
      <c r="AJ31" s="54" t="s">
        <v>23</v>
      </c>
      <c r="AK31" s="54" t="s">
        <v>73</v>
      </c>
    </row>
    <row r="32" spans="1:38">
      <c r="A32" s="162">
        <v>2</v>
      </c>
      <c r="B32" s="54" t="s">
        <v>155</v>
      </c>
      <c r="C32" s="56">
        <f>C9/C6</f>
        <v>716.76549999999986</v>
      </c>
      <c r="D32" s="56">
        <f t="shared" ref="D32:H32" si="23">D9/D6</f>
        <v>313.09620249999995</v>
      </c>
      <c r="E32" s="56">
        <f t="shared" si="23"/>
        <v>1181.0340624999997</v>
      </c>
      <c r="F32" s="56">
        <f t="shared" si="23"/>
        <v>342.53245837499992</v>
      </c>
      <c r="G32" s="56">
        <f t="shared" si="23"/>
        <v>855.23156249999988</v>
      </c>
      <c r="H32" s="56" t="e">
        <f t="shared" si="23"/>
        <v>#DIV/0!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2">
        <v>3</v>
      </c>
      <c r="B33" s="59" t="s">
        <v>74</v>
      </c>
      <c r="C33" s="56">
        <f>材料成本!I18</f>
        <v>630.70476962499993</v>
      </c>
      <c r="D33" s="56">
        <f>材料成本!I19</f>
        <v>247.89497718749993</v>
      </c>
      <c r="E33" s="56">
        <f>材料成本!I20</f>
        <v>878.03773749999982</v>
      </c>
      <c r="F33" s="56">
        <f>材料成本!I21</f>
        <v>251.05526143749998</v>
      </c>
      <c r="G33" s="56">
        <f>材料成本!I22</f>
        <v>574.22690624999984</v>
      </c>
      <c r="H33" s="56"/>
      <c r="I33" s="61"/>
      <c r="K33" s="69"/>
      <c r="L33" s="69"/>
      <c r="M33" s="69"/>
      <c r="N33" s="69"/>
      <c r="O33" s="69"/>
      <c r="P33" s="69"/>
      <c r="T33" s="54" t="s">
        <v>74</v>
      </c>
      <c r="AJ33" s="54" t="s">
        <v>25</v>
      </c>
      <c r="AK33" s="54" t="s">
        <v>74</v>
      </c>
    </row>
    <row r="34" spans="1:37" ht="17.25" customHeight="1">
      <c r="A34" s="162">
        <v>4</v>
      </c>
      <c r="B34" s="54" t="s">
        <v>76</v>
      </c>
      <c r="C34" s="66">
        <f>C32-C33</f>
        <v>86.060730374999935</v>
      </c>
      <c r="D34" s="66">
        <f t="shared" ref="D34:H34" si="24">D32-D33</f>
        <v>65.201225312500014</v>
      </c>
      <c r="E34" s="66">
        <f t="shared" si="24"/>
        <v>302.99632499999984</v>
      </c>
      <c r="F34" s="66">
        <f t="shared" si="24"/>
        <v>91.47719693749994</v>
      </c>
      <c r="G34" s="66">
        <f t="shared" si="24"/>
        <v>281.00465625000004</v>
      </c>
      <c r="H34" s="66" t="e">
        <f t="shared" si="24"/>
        <v>#DIV/0!</v>
      </c>
      <c r="I34" s="61"/>
      <c r="K34" s="69"/>
      <c r="L34" s="69"/>
      <c r="M34" s="69"/>
      <c r="N34" s="69"/>
      <c r="O34" s="69"/>
      <c r="P34" s="69"/>
      <c r="T34" s="54" t="s">
        <v>76</v>
      </c>
      <c r="AJ34" s="54" t="s">
        <v>75</v>
      </c>
      <c r="AK34" s="54" t="s">
        <v>76</v>
      </c>
    </row>
    <row r="35" spans="1:37">
      <c r="A35" s="54" t="s">
        <v>72</v>
      </c>
      <c r="B35" s="57" t="s">
        <v>9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9</v>
      </c>
      <c r="AJ35" s="54" t="s">
        <v>78</v>
      </c>
      <c r="AK35" s="57" t="s">
        <v>9</v>
      </c>
    </row>
    <row r="36" spans="1:37">
      <c r="A36" s="162">
        <v>1</v>
      </c>
      <c r="B36" s="54" t="s">
        <v>79</v>
      </c>
      <c r="C36" s="60">
        <f>'2023年'!C36</f>
        <v>49.473588007760711</v>
      </c>
      <c r="D36" s="60">
        <f>'2023年'!D36</f>
        <v>21.610962761571834</v>
      </c>
      <c r="E36" s="60">
        <f>'2023年'!E36</f>
        <v>81.518980240060259</v>
      </c>
      <c r="F36" s="60">
        <f>'2023年'!F36</f>
        <v>23.642753069072374</v>
      </c>
      <c r="G36" s="60">
        <f>'2023年'!G36</f>
        <v>59.030985691078115</v>
      </c>
      <c r="H36" s="60"/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79</v>
      </c>
      <c r="AJ36" s="54" t="s">
        <v>75</v>
      </c>
      <c r="AK36" s="54" t="s">
        <v>79</v>
      </c>
    </row>
    <row r="37" spans="1:37">
      <c r="A37" s="162">
        <v>2</v>
      </c>
      <c r="B37" s="54" t="s">
        <v>80</v>
      </c>
      <c r="C37" s="60">
        <f>'2023年'!C37</f>
        <v>13.266870848947413</v>
      </c>
      <c r="D37" s="60">
        <f>'2023年'!D37</f>
        <v>5.7952104026538462</v>
      </c>
      <c r="E37" s="60">
        <f>'2023年'!E37</f>
        <v>21.860184921561078</v>
      </c>
      <c r="F37" s="60">
        <f>'2023年'!F37</f>
        <v>6.3400566668367553</v>
      </c>
      <c r="G37" s="60">
        <f>'2023年'!G37</f>
        <v>15.829789081130436</v>
      </c>
      <c r="H37" s="60"/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80</v>
      </c>
      <c r="AJ37" s="54" t="s">
        <v>28</v>
      </c>
      <c r="AK37" s="54" t="s">
        <v>80</v>
      </c>
    </row>
    <row r="38" spans="1:37">
      <c r="A38" s="162">
        <v>3</v>
      </c>
      <c r="B38" s="54" t="s">
        <v>81</v>
      </c>
      <c r="C38" s="60">
        <f>'2023年'!C38</f>
        <v>35.199999999999996</v>
      </c>
      <c r="D38" s="60">
        <f>'2023年'!D38</f>
        <v>36.518000000000001</v>
      </c>
      <c r="E38" s="60">
        <f>'2023年'!E38</f>
        <v>57.999999999999993</v>
      </c>
      <c r="F38" s="60">
        <f>'2023年'!F38</f>
        <v>39.951300000000003</v>
      </c>
      <c r="G38" s="60">
        <f>'2023年'!G38</f>
        <v>41.999999999999993</v>
      </c>
      <c r="H38" s="60"/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81</v>
      </c>
      <c r="AJ38" s="54" t="s">
        <v>34</v>
      </c>
      <c r="AK38" s="54" t="s">
        <v>81</v>
      </c>
    </row>
    <row r="39" spans="1:37">
      <c r="A39" s="54" t="s">
        <v>78</v>
      </c>
      <c r="B39" s="57" t="s">
        <v>83</v>
      </c>
      <c r="C39" s="61"/>
      <c r="D39" s="61"/>
      <c r="E39" s="61"/>
      <c r="F39" s="61"/>
      <c r="G39" s="61"/>
      <c r="H39" s="61"/>
      <c r="I39" s="61"/>
      <c r="T39" s="57" t="s">
        <v>83</v>
      </c>
      <c r="AJ39" s="54" t="s">
        <v>82</v>
      </c>
      <c r="AK39" s="57" t="s">
        <v>83</v>
      </c>
    </row>
    <row r="40" spans="1:37">
      <c r="A40" s="162">
        <v>1</v>
      </c>
      <c r="B40" s="54" t="s">
        <v>85</v>
      </c>
      <c r="C40" s="61">
        <f>C34-C36-C37-C38</f>
        <v>-11.879728481708185</v>
      </c>
      <c r="D40" s="61">
        <f t="shared" ref="D40:H40" si="25">D34-D36-D37-D38</f>
        <v>1.2770521482743362</v>
      </c>
      <c r="E40" s="61">
        <f t="shared" si="25"/>
        <v>141.61715983837848</v>
      </c>
      <c r="F40" s="61">
        <f t="shared" si="25"/>
        <v>21.543087201590808</v>
      </c>
      <c r="G40" s="61">
        <f t="shared" si="25"/>
        <v>164.1438814777915</v>
      </c>
      <c r="H40" s="61" t="e">
        <f t="shared" si="25"/>
        <v>#DIV/0!</v>
      </c>
      <c r="I40" s="61"/>
      <c r="T40" s="54" t="s">
        <v>85</v>
      </c>
      <c r="AJ40" s="54" t="s">
        <v>23</v>
      </c>
      <c r="AK40" s="54" t="s">
        <v>85</v>
      </c>
    </row>
    <row r="41" spans="1:37">
      <c r="A41" s="162">
        <v>2</v>
      </c>
      <c r="B41" s="54" t="s">
        <v>86</v>
      </c>
      <c r="C41" s="61"/>
      <c r="D41" s="61"/>
      <c r="E41" s="61"/>
      <c r="F41" s="61"/>
      <c r="G41" s="61"/>
      <c r="H41" s="61"/>
      <c r="I41" s="61"/>
      <c r="T41" s="54" t="s">
        <v>86</v>
      </c>
      <c r="AJ41" s="54" t="s">
        <v>25</v>
      </c>
      <c r="AK41" s="54" t="s">
        <v>86</v>
      </c>
    </row>
    <row r="42" spans="1:37">
      <c r="A42" s="54" t="s">
        <v>82</v>
      </c>
      <c r="B42" s="57" t="s">
        <v>88</v>
      </c>
      <c r="C42" s="61"/>
      <c r="D42" s="61"/>
      <c r="E42" s="61"/>
      <c r="F42" s="61"/>
      <c r="G42" s="61"/>
      <c r="H42" s="61"/>
      <c r="I42" s="61"/>
      <c r="T42" s="57" t="s">
        <v>88</v>
      </c>
      <c r="AJ42" s="54" t="s">
        <v>87</v>
      </c>
      <c r="AK42" s="57" t="s">
        <v>88</v>
      </c>
    </row>
    <row r="43" spans="1:37">
      <c r="A43" s="162">
        <v>1</v>
      </c>
      <c r="B43" s="62" t="s">
        <v>89</v>
      </c>
      <c r="C43" s="60">
        <f>'2023年'!C43</f>
        <v>39.6</v>
      </c>
      <c r="D43" s="60">
        <f>'2023年'!D43</f>
        <v>17.297999999999998</v>
      </c>
      <c r="E43" s="60">
        <f>'2023年'!E43</f>
        <v>114.55</v>
      </c>
      <c r="F43" s="60">
        <f>'2023年'!F43</f>
        <v>18.924299999999999</v>
      </c>
      <c r="G43" s="60">
        <f>'2023年'!G43</f>
        <v>47.25</v>
      </c>
      <c r="H43" s="60"/>
      <c r="I43" s="61"/>
      <c r="T43" s="54" t="s">
        <v>89</v>
      </c>
      <c r="AJ43" s="54" t="s">
        <v>23</v>
      </c>
      <c r="AK43" s="54" t="s">
        <v>89</v>
      </c>
    </row>
    <row r="44" spans="1:37">
      <c r="A44" s="162">
        <v>2</v>
      </c>
      <c r="B44" s="62" t="s">
        <v>90</v>
      </c>
      <c r="C44" s="60">
        <f>'2023年'!C44</f>
        <v>6.16</v>
      </c>
      <c r="D44" s="60">
        <f>'2023年'!D44</f>
        <v>2.6907999999999999</v>
      </c>
      <c r="E44" s="60">
        <f>'2023年'!E44</f>
        <v>10.15</v>
      </c>
      <c r="F44" s="60">
        <f>'2023年'!F44</f>
        <v>2.9437800000000003</v>
      </c>
      <c r="G44" s="60">
        <f>'2023年'!G44</f>
        <v>7.3500000000000005</v>
      </c>
      <c r="H44" s="60"/>
      <c r="I44" s="61"/>
      <c r="T44" s="54" t="s">
        <v>90</v>
      </c>
      <c r="AJ44" s="54" t="s">
        <v>25</v>
      </c>
      <c r="AK44" s="54" t="s">
        <v>90</v>
      </c>
    </row>
    <row r="45" spans="1:37">
      <c r="A45" s="162">
        <v>3</v>
      </c>
      <c r="B45" s="62" t="s">
        <v>91</v>
      </c>
      <c r="C45" s="60">
        <f>'2023年'!C45</f>
        <v>26.4</v>
      </c>
      <c r="D45" s="60">
        <f>'2023年'!D45</f>
        <v>11.531999999999998</v>
      </c>
      <c r="E45" s="60">
        <f>'2023年'!E45</f>
        <v>43.5</v>
      </c>
      <c r="F45" s="60">
        <f>'2023年'!F45</f>
        <v>12.616200000000001</v>
      </c>
      <c r="G45" s="60">
        <f>'2023年'!G45</f>
        <v>31.5</v>
      </c>
      <c r="H45" s="60"/>
      <c r="I45" s="61"/>
      <c r="T45" s="54" t="s">
        <v>91</v>
      </c>
      <c r="AJ45" s="54" t="s">
        <v>75</v>
      </c>
      <c r="AK45" s="54" t="s">
        <v>91</v>
      </c>
    </row>
    <row r="46" spans="1:37" s="49" customFormat="1">
      <c r="A46" s="162">
        <v>4</v>
      </c>
      <c r="B46" s="62" t="s">
        <v>92</v>
      </c>
      <c r="C46" s="67">
        <f>C21/C6</f>
        <v>0.79</v>
      </c>
      <c r="D46" s="67">
        <f t="shared" ref="D46:H46" si="26">D21/D6</f>
        <v>0.79</v>
      </c>
      <c r="E46" s="67">
        <f t="shared" si="26"/>
        <v>0.79</v>
      </c>
      <c r="F46" s="67">
        <f t="shared" si="26"/>
        <v>0.79</v>
      </c>
      <c r="G46" s="67">
        <f t="shared" si="26"/>
        <v>0.79</v>
      </c>
      <c r="H46" s="67" t="e">
        <f t="shared" si="26"/>
        <v>#DIV/0!</v>
      </c>
      <c r="I46" s="67"/>
      <c r="T46" s="62" t="s">
        <v>94</v>
      </c>
      <c r="AJ46" s="62" t="s">
        <v>31</v>
      </c>
      <c r="AK46" s="62" t="s">
        <v>94</v>
      </c>
    </row>
    <row r="47" spans="1:37" s="49" customFormat="1">
      <c r="A47" s="162">
        <v>5</v>
      </c>
      <c r="B47" s="62" t="s">
        <v>94</v>
      </c>
      <c r="C47" s="60">
        <f>'2023年'!C47</f>
        <v>35.200000000000003</v>
      </c>
      <c r="D47" s="60">
        <f>'2023年'!D47</f>
        <v>15.375999999999999</v>
      </c>
      <c r="E47" s="60">
        <f>'2023年'!E47</f>
        <v>58</v>
      </c>
      <c r="F47" s="60">
        <f>'2023年'!F47</f>
        <v>16.8216</v>
      </c>
      <c r="G47" s="60">
        <f>'2023年'!G47</f>
        <v>42</v>
      </c>
      <c r="H47" s="67"/>
      <c r="I47" s="67"/>
      <c r="T47" s="62" t="s">
        <v>94</v>
      </c>
      <c r="AJ47" s="62" t="s">
        <v>31</v>
      </c>
      <c r="AK47" s="62" t="s">
        <v>94</v>
      </c>
    </row>
    <row r="48" spans="1:37">
      <c r="A48" s="54" t="s">
        <v>87</v>
      </c>
      <c r="B48" s="57" t="s">
        <v>105</v>
      </c>
      <c r="C48" s="61">
        <f>C40-C43-C44-C45-C47-C46</f>
        <v>-120.02972848170819</v>
      </c>
      <c r="D48" s="61">
        <f t="shared" ref="D48:H48" si="27">D40-D43-D44-D45-D47-D46</f>
        <v>-46.409747851725655</v>
      </c>
      <c r="E48" s="61">
        <f t="shared" si="27"/>
        <v>-85.372840161621511</v>
      </c>
      <c r="F48" s="61">
        <f t="shared" si="27"/>
        <v>-30.552792798409193</v>
      </c>
      <c r="G48" s="61">
        <f t="shared" si="27"/>
        <v>35.253881477791502</v>
      </c>
      <c r="H48" s="61" t="e">
        <f t="shared" si="27"/>
        <v>#DIV/0!</v>
      </c>
      <c r="I48" s="61"/>
      <c r="T48" s="57" t="s">
        <v>105</v>
      </c>
      <c r="AJ48" s="54" t="s">
        <v>104</v>
      </c>
      <c r="AK48" s="57" t="s">
        <v>105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15" activePane="bottomRight" state="frozen"/>
      <selection pane="topRight"/>
      <selection pane="bottomLeft"/>
      <selection pane="bottomRight" activeCell="C19" sqref="C19"/>
    </sheetView>
  </sheetViews>
  <sheetFormatPr defaultColWidth="9" defaultRowHeight="13.5"/>
  <cols>
    <col min="1" max="1" width="20.625" customWidth="1"/>
    <col min="2" max="2" width="14.25" style="27" customWidth="1"/>
    <col min="3" max="3" width="13.125" customWidth="1"/>
    <col min="4" max="6" width="14.5" customWidth="1"/>
    <col min="7" max="8" width="13.5" customWidth="1"/>
    <col min="9" max="9" width="24.75" customWidth="1"/>
    <col min="10" max="10" width="14.125" customWidth="1"/>
  </cols>
  <sheetData>
    <row r="1" spans="1:8" ht="20.25">
      <c r="A1" s="220" t="s">
        <v>156</v>
      </c>
      <c r="B1" s="220"/>
      <c r="C1" s="220"/>
      <c r="E1" s="211" t="s">
        <v>302</v>
      </c>
      <c r="F1" s="212"/>
      <c r="G1" s="212"/>
      <c r="H1" s="213"/>
    </row>
    <row r="2" spans="1:8" ht="23.45" customHeight="1">
      <c r="A2" s="28" t="s">
        <v>1</v>
      </c>
      <c r="B2" s="29" t="s">
        <v>157</v>
      </c>
      <c r="C2" s="30" t="s">
        <v>158</v>
      </c>
      <c r="E2" s="1" t="s">
        <v>159</v>
      </c>
      <c r="F2" s="1" t="s">
        <v>1</v>
      </c>
      <c r="G2" s="31" t="s">
        <v>160</v>
      </c>
      <c r="H2" s="1" t="s">
        <v>158</v>
      </c>
    </row>
    <row r="3" spans="1:8" ht="15.75" customHeight="1">
      <c r="A3" s="32" t="s">
        <v>161</v>
      </c>
      <c r="B3" s="33"/>
      <c r="C3" s="34"/>
      <c r="E3" s="214" t="s">
        <v>162</v>
      </c>
      <c r="F3" s="2" t="s">
        <v>163</v>
      </c>
      <c r="G3" s="35"/>
      <c r="H3" s="2"/>
    </row>
    <row r="4" spans="1:8" ht="15.75" customHeight="1">
      <c r="A4" s="32" t="s">
        <v>164</v>
      </c>
      <c r="B4" s="33"/>
      <c r="C4" s="36"/>
      <c r="E4" s="215"/>
      <c r="F4" s="2" t="s">
        <v>165</v>
      </c>
      <c r="G4" s="35"/>
      <c r="H4" s="2"/>
    </row>
    <row r="5" spans="1:8" ht="15.75" customHeight="1">
      <c r="A5" s="32" t="s">
        <v>166</v>
      </c>
      <c r="B5" s="37">
        <f>SUM(G3:G4)</f>
        <v>0</v>
      </c>
      <c r="C5" s="34"/>
      <c r="E5" s="216" t="s">
        <v>167</v>
      </c>
      <c r="F5" s="38" t="s">
        <v>168</v>
      </c>
      <c r="G5" s="177"/>
      <c r="H5" s="192"/>
    </row>
    <row r="6" spans="1:8" ht="15.75" customHeight="1">
      <c r="A6" s="32" t="s">
        <v>169</v>
      </c>
      <c r="B6" s="33"/>
      <c r="C6" s="34"/>
      <c r="E6" s="217"/>
      <c r="F6" s="38" t="s">
        <v>170</v>
      </c>
      <c r="G6" s="177"/>
      <c r="H6" s="192"/>
    </row>
    <row r="7" spans="1:8" ht="15.75" customHeight="1">
      <c r="A7" s="39" t="s">
        <v>171</v>
      </c>
      <c r="B7" s="37">
        <f>SUM(B3:B6)</f>
        <v>0</v>
      </c>
      <c r="C7" s="34"/>
      <c r="E7" s="217"/>
      <c r="F7" s="38" t="s">
        <v>172</v>
      </c>
      <c r="G7" s="177"/>
      <c r="H7" s="192"/>
    </row>
    <row r="8" spans="1:8" ht="15.75" customHeight="1">
      <c r="A8" s="40" t="s">
        <v>173</v>
      </c>
      <c r="B8" s="37">
        <f>SUM(G5:G12)</f>
        <v>0</v>
      </c>
      <c r="C8" s="41"/>
      <c r="E8" s="217"/>
      <c r="F8" s="38" t="s">
        <v>174</v>
      </c>
      <c r="G8" s="177"/>
      <c r="H8" s="2"/>
    </row>
    <row r="9" spans="1:8" ht="15.75" customHeight="1">
      <c r="A9" s="32" t="s">
        <v>175</v>
      </c>
      <c r="B9" s="37">
        <f>SUM(G13:G21)</f>
        <v>3.95</v>
      </c>
      <c r="C9" s="34"/>
      <c r="E9" s="217"/>
      <c r="F9" s="2" t="s">
        <v>176</v>
      </c>
      <c r="G9" s="177"/>
      <c r="H9" s="164"/>
    </row>
    <row r="10" spans="1:8" ht="15.75" customHeight="1">
      <c r="A10" s="36" t="s">
        <v>19</v>
      </c>
      <c r="B10" s="37">
        <f>B7+B8+B9</f>
        <v>3.95</v>
      </c>
      <c r="C10" s="34"/>
      <c r="E10" s="217"/>
      <c r="F10" s="2" t="s">
        <v>177</v>
      </c>
      <c r="G10" s="178"/>
      <c r="H10" s="2"/>
    </row>
    <row r="11" spans="1:8" ht="15.75" customHeight="1">
      <c r="E11" s="217"/>
      <c r="F11" s="2" t="s">
        <v>178</v>
      </c>
      <c r="G11" s="178"/>
      <c r="H11" s="2"/>
    </row>
    <row r="12" spans="1:8" ht="15.75" customHeight="1">
      <c r="E12" s="218"/>
      <c r="F12" s="2" t="s">
        <v>179</v>
      </c>
      <c r="G12" s="177" t="s">
        <v>126</v>
      </c>
      <c r="H12" s="164"/>
    </row>
    <row r="13" spans="1:8" ht="15.75" customHeight="1">
      <c r="E13" s="214" t="s">
        <v>51</v>
      </c>
      <c r="F13" s="2" t="s">
        <v>180</v>
      </c>
      <c r="G13" s="177">
        <v>2</v>
      </c>
      <c r="H13" s="42"/>
    </row>
    <row r="14" spans="1:8" ht="15.75" customHeight="1">
      <c r="E14" s="215"/>
      <c r="F14" s="2" t="s">
        <v>181</v>
      </c>
      <c r="G14" s="177">
        <v>0.3</v>
      </c>
      <c r="H14" s="2"/>
    </row>
    <row r="15" spans="1:8" ht="15.75" customHeight="1">
      <c r="E15" s="215"/>
      <c r="F15" s="2" t="s">
        <v>182</v>
      </c>
      <c r="G15" s="177"/>
      <c r="H15" s="2"/>
    </row>
    <row r="16" spans="1:8" ht="15.75" customHeight="1">
      <c r="E16" s="215"/>
      <c r="F16" s="2" t="s">
        <v>183</v>
      </c>
      <c r="G16" s="177">
        <v>0.5</v>
      </c>
      <c r="H16" s="2"/>
    </row>
    <row r="17" spans="1:10" ht="15.75" customHeight="1">
      <c r="E17" s="215"/>
      <c r="F17" s="2" t="s">
        <v>184</v>
      </c>
      <c r="G17" s="177"/>
      <c r="H17" s="2"/>
    </row>
    <row r="18" spans="1:10" ht="15.75" customHeight="1">
      <c r="E18" s="215"/>
      <c r="F18" s="2" t="s">
        <v>185</v>
      </c>
      <c r="G18" s="177">
        <v>0.6</v>
      </c>
      <c r="H18" s="2"/>
    </row>
    <row r="19" spans="1:10" ht="15.75" customHeight="1">
      <c r="E19" s="215"/>
      <c r="F19" s="2" t="s">
        <v>186</v>
      </c>
      <c r="G19" s="177">
        <v>0.55000000000000004</v>
      </c>
      <c r="H19" s="2"/>
    </row>
    <row r="20" spans="1:10" ht="15.75" customHeight="1">
      <c r="E20" s="215"/>
      <c r="F20" s="2" t="s">
        <v>187</v>
      </c>
      <c r="G20" s="177"/>
      <c r="H20" s="2"/>
    </row>
    <row r="21" spans="1:10" ht="15.75" customHeight="1">
      <c r="E21" s="219"/>
      <c r="F21" s="2" t="s">
        <v>133</v>
      </c>
      <c r="G21" s="177"/>
      <c r="H21" s="2"/>
    </row>
    <row r="22" spans="1:10" ht="15.75" customHeight="1">
      <c r="E22" s="1" t="s">
        <v>19</v>
      </c>
      <c r="F22" s="2"/>
      <c r="G22" s="31">
        <f>SUM(G3:G21)</f>
        <v>3.95</v>
      </c>
      <c r="H22" s="2"/>
    </row>
    <row r="23" spans="1:10" ht="30.75" customHeight="1">
      <c r="E23" s="221" t="s">
        <v>188</v>
      </c>
      <c r="F23" s="221"/>
      <c r="G23" s="221"/>
      <c r="H23" s="221"/>
    </row>
    <row r="25" spans="1:10" ht="17.25">
      <c r="A25" s="19" t="s">
        <v>1</v>
      </c>
      <c r="B25" s="19" t="s">
        <v>157</v>
      </c>
      <c r="C25" s="19" t="s">
        <v>189</v>
      </c>
      <c r="D25" s="179" t="s">
        <v>18</v>
      </c>
      <c r="E25" s="179" t="s">
        <v>190</v>
      </c>
      <c r="F25" s="179" t="s">
        <v>191</v>
      </c>
      <c r="G25" s="179" t="s">
        <v>192</v>
      </c>
      <c r="H25" s="179" t="s">
        <v>242</v>
      </c>
      <c r="I25" s="22" t="s">
        <v>19</v>
      </c>
      <c r="J25" s="46" t="s">
        <v>193</v>
      </c>
    </row>
    <row r="26" spans="1:10" ht="16.5">
      <c r="A26" s="43" t="s">
        <v>151</v>
      </c>
      <c r="B26" s="44">
        <f>(B5+B8)*10000</f>
        <v>0</v>
      </c>
      <c r="C26" s="45">
        <v>0.05</v>
      </c>
      <c r="D26" s="13">
        <f>B26*(1-C26)/5</f>
        <v>0</v>
      </c>
      <c r="E26" s="13">
        <f t="shared" ref="E26:H27" si="0">D26</f>
        <v>0</v>
      </c>
      <c r="F26" s="13">
        <f t="shared" si="0"/>
        <v>0</v>
      </c>
      <c r="G26" s="13">
        <f t="shared" si="0"/>
        <v>0</v>
      </c>
      <c r="H26" s="13">
        <f>G26</f>
        <v>0</v>
      </c>
      <c r="I26" s="13">
        <f>SUM(D26:H26)</f>
        <v>0</v>
      </c>
      <c r="J26" s="13">
        <f>B26*0.05</f>
        <v>0</v>
      </c>
    </row>
    <row r="27" spans="1:10" ht="16.5">
      <c r="A27" s="43" t="s">
        <v>194</v>
      </c>
      <c r="B27" s="292">
        <f>B9*10000</f>
        <v>39500</v>
      </c>
      <c r="C27" s="293"/>
      <c r="D27" s="293">
        <f>B27/5</f>
        <v>7900</v>
      </c>
      <c r="E27" s="293">
        <f t="shared" si="0"/>
        <v>7900</v>
      </c>
      <c r="F27" s="293">
        <f t="shared" si="0"/>
        <v>7900</v>
      </c>
      <c r="G27" s="293">
        <f t="shared" si="0"/>
        <v>7900</v>
      </c>
      <c r="H27" s="293">
        <f t="shared" si="0"/>
        <v>7900</v>
      </c>
      <c r="I27" s="293">
        <f>SUM(D27:H27)</f>
        <v>39500</v>
      </c>
      <c r="J27" s="13"/>
    </row>
    <row r="28" spans="1:10" ht="16.5">
      <c r="A28" s="222" t="s">
        <v>113</v>
      </c>
      <c r="B28" s="223"/>
      <c r="C28" s="224"/>
      <c r="D28" s="13">
        <f>SUM(D26:D27)</f>
        <v>7900</v>
      </c>
      <c r="E28" s="13">
        <f t="shared" ref="E28:H28" si="1">SUM(E26:E27)</f>
        <v>7900</v>
      </c>
      <c r="F28" s="13">
        <f t="shared" si="1"/>
        <v>7900</v>
      </c>
      <c r="G28" s="13">
        <f t="shared" si="1"/>
        <v>7900</v>
      </c>
      <c r="H28" s="13">
        <f t="shared" si="1"/>
        <v>7900</v>
      </c>
      <c r="I28" s="47"/>
      <c r="J28" s="47"/>
    </row>
    <row r="41" ht="37.5" customHeight="1"/>
  </sheetData>
  <mergeCells count="7">
    <mergeCell ref="E23:H23"/>
    <mergeCell ref="A28:C28"/>
    <mergeCell ref="E3:E4"/>
    <mergeCell ref="E5:E12"/>
    <mergeCell ref="E13:E21"/>
    <mergeCell ref="A1:C1"/>
    <mergeCell ref="E1:H1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2022-11-10T05:15:57Z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