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525" windowHeight="7125" tabRatio="711" activeTab="5"/>
  </bookViews>
  <sheets>
    <sheet name="包装方案" sheetId="1" r:id="rId1"/>
    <sheet name="循环包装成本测算" sheetId="2" r:id="rId2"/>
    <sheet name="循环运输成本测算" sheetId="3" r:id="rId3"/>
    <sheet name="一次性包装物流成本测算" sheetId="5" r:id="rId4"/>
    <sheet name="成本对比" sheetId="4" r:id="rId5"/>
    <sheet name="投入" sheetId="6" r:id="rId6"/>
    <sheet name="Sheet1" sheetId="7" r:id="rId7"/>
  </sheets>
  <definedNames>
    <definedName name="_xlnm._FilterDatabase" localSheetId="0" hidden="1">包装方案!$A$2:$J$19</definedName>
    <definedName name="_xlnm.Print_Area" localSheetId="0">包装方案!$A$1:$K$19</definedName>
  </definedNames>
  <calcPr calcId="162913"/>
</workbook>
</file>

<file path=xl/calcChain.xml><?xml version="1.0" encoding="utf-8"?>
<calcChain xmlns="http://schemas.openxmlformats.org/spreadsheetml/2006/main">
  <c r="K53" i="6" l="1"/>
  <c r="J53" i="6"/>
  <c r="L46" i="6"/>
  <c r="L47" i="6"/>
  <c r="L49" i="6" l="1"/>
  <c r="L50" i="6"/>
  <c r="L51" i="6"/>
  <c r="L52" i="6"/>
  <c r="L48" i="6"/>
  <c r="D48" i="6"/>
  <c r="E48" i="6" s="1"/>
  <c r="D33" i="6"/>
  <c r="D32" i="6"/>
  <c r="D31" i="6"/>
  <c r="D30" i="6"/>
  <c r="B26" i="6"/>
  <c r="D47" i="6" s="1"/>
  <c r="E47" i="6" s="1"/>
  <c r="E20" i="6"/>
  <c r="D20" i="6"/>
  <c r="D34" i="6" l="1"/>
  <c r="I30" i="6" s="1"/>
  <c r="K30" i="6" s="1"/>
  <c r="D39" i="6"/>
  <c r="E39" i="6" s="1"/>
  <c r="D36" i="6"/>
  <c r="E36" i="6" s="1"/>
  <c r="D40" i="6"/>
  <c r="E40" i="6" s="1"/>
  <c r="D45" i="6"/>
  <c r="D37" i="6"/>
  <c r="E37" i="6" s="1"/>
  <c r="D41" i="6"/>
  <c r="E41" i="6" s="1"/>
  <c r="D46" i="6"/>
  <c r="E46" i="6" s="1"/>
  <c r="D51" i="6"/>
  <c r="D38" i="6"/>
  <c r="E38" i="6" s="1"/>
  <c r="D52" i="6"/>
  <c r="D42" i="6"/>
  <c r="E42" i="6" s="1"/>
  <c r="E43" i="6" l="1"/>
  <c r="E45" i="6"/>
  <c r="E49" i="6" s="1"/>
  <c r="I32" i="6" s="1"/>
  <c r="K32" i="6" s="1"/>
  <c r="D49" i="6"/>
  <c r="I33" i="6" s="1"/>
  <c r="K33" i="6" s="1"/>
  <c r="D43" i="6"/>
  <c r="I31" i="6" s="1"/>
  <c r="K31" i="6" s="1"/>
  <c r="D53" i="6"/>
  <c r="I34" i="6" s="1"/>
  <c r="I35" i="6" l="1"/>
  <c r="K35" i="6" s="1"/>
  <c r="K34" i="6"/>
  <c r="K36" i="6" s="1"/>
  <c r="H38" i="6" s="1"/>
  <c r="I28" i="5" l="1"/>
  <c r="I27" i="5"/>
  <c r="F7" i="5"/>
  <c r="D21" i="5" s="1"/>
  <c r="E21" i="5" s="1"/>
  <c r="D24" i="3"/>
  <c r="E24" i="3" s="1"/>
  <c r="D19" i="3"/>
  <c r="E19" i="3" s="1"/>
  <c r="D16" i="3"/>
  <c r="E16" i="3" s="1"/>
  <c r="I15" i="3"/>
  <c r="I14" i="3"/>
  <c r="I13" i="3"/>
  <c r="F8" i="3"/>
  <c r="D29" i="3" s="1"/>
  <c r="D30" i="3" s="1"/>
  <c r="D52" i="2"/>
  <c r="D51" i="2"/>
  <c r="D53" i="2" s="1"/>
  <c r="I34" i="2" s="1"/>
  <c r="D46" i="2"/>
  <c r="E46" i="2" s="1"/>
  <c r="D41" i="2"/>
  <c r="E41" i="2" s="1"/>
  <c r="D38" i="2"/>
  <c r="E38" i="2" s="1"/>
  <c r="D33" i="2"/>
  <c r="D32" i="2"/>
  <c r="D31" i="2"/>
  <c r="D30" i="2"/>
  <c r="D34" i="2" s="1"/>
  <c r="I30" i="2" s="1"/>
  <c r="K30" i="2" s="1"/>
  <c r="B26" i="2"/>
  <c r="D37" i="2" s="1"/>
  <c r="E37" i="2" s="1"/>
  <c r="E20" i="2"/>
  <c r="D20" i="2"/>
  <c r="D25" i="3" l="1"/>
  <c r="E25" i="3" s="1"/>
  <c r="D14" i="3"/>
  <c r="E14" i="3" s="1"/>
  <c r="I35" i="2"/>
  <c r="K35" i="2" s="1"/>
  <c r="K34" i="2"/>
  <c r="H15" i="3"/>
  <c r="H14" i="3"/>
  <c r="D22" i="5"/>
  <c r="E22" i="5" s="1"/>
  <c r="D47" i="2"/>
  <c r="E47" i="2" s="1"/>
  <c r="D17" i="3"/>
  <c r="E17" i="3" s="1"/>
  <c r="D11" i="5"/>
  <c r="E11" i="5" s="1"/>
  <c r="D13" i="5"/>
  <c r="E13" i="5" s="1"/>
  <c r="D15" i="5"/>
  <c r="E15" i="5" s="1"/>
  <c r="D19" i="5"/>
  <c r="D36" i="2"/>
  <c r="D39" i="2"/>
  <c r="E39" i="2" s="1"/>
  <c r="D48" i="2"/>
  <c r="E48" i="2" s="1"/>
  <c r="D13" i="3"/>
  <c r="E13" i="3" s="1"/>
  <c r="D15" i="3"/>
  <c r="E15" i="3" s="1"/>
  <c r="D22" i="3"/>
  <c r="E22" i="3" s="1"/>
  <c r="D28" i="3"/>
  <c r="D20" i="5"/>
  <c r="E20" i="5" s="1"/>
  <c r="D25" i="5"/>
  <c r="D42" i="2"/>
  <c r="E42" i="2" s="1"/>
  <c r="D40" i="2"/>
  <c r="E40" i="2" s="1"/>
  <c r="D45" i="2"/>
  <c r="D18" i="3"/>
  <c r="E18" i="3" s="1"/>
  <c r="D23" i="3"/>
  <c r="E23" i="3" s="1"/>
  <c r="D16" i="5"/>
  <c r="E16" i="5" s="1"/>
  <c r="D26" i="5"/>
  <c r="D27" i="5" s="1"/>
  <c r="D10" i="5"/>
  <c r="D12" i="5"/>
  <c r="E12" i="5" s="1"/>
  <c r="D14" i="5"/>
  <c r="E14" i="5" s="1"/>
  <c r="E20" i="3" l="1"/>
  <c r="E10" i="5"/>
  <c r="E17" i="5" s="1"/>
  <c r="D17" i="5"/>
  <c r="I11" i="5" s="1"/>
  <c r="K11" i="5" s="1"/>
  <c r="E36" i="2"/>
  <c r="E43" i="2" s="1"/>
  <c r="I32" i="2" s="1"/>
  <c r="K32" i="2" s="1"/>
  <c r="D43" i="2"/>
  <c r="I31" i="2" s="1"/>
  <c r="K31" i="2" s="1"/>
  <c r="K36" i="2" s="1"/>
  <c r="H28" i="5"/>
  <c r="I14" i="5"/>
  <c r="K14" i="5" s="1"/>
  <c r="E19" i="5"/>
  <c r="E23" i="5" s="1"/>
  <c r="D23" i="5"/>
  <c r="I12" i="5" s="1"/>
  <c r="K12" i="5" s="1"/>
  <c r="E45" i="2"/>
  <c r="E49" i="2" s="1"/>
  <c r="D49" i="2"/>
  <c r="I33" i="2" s="1"/>
  <c r="K33" i="2" s="1"/>
  <c r="E26" i="3"/>
  <c r="H13" i="3"/>
  <c r="H16" i="3" s="1"/>
  <c r="H17" i="3" s="1"/>
  <c r="C3" i="4" l="1"/>
  <c r="H21" i="3"/>
  <c r="E3" i="4" s="1"/>
  <c r="B3" i="4"/>
  <c r="H38" i="2"/>
  <c r="D3" i="4" s="1"/>
  <c r="H27" i="5"/>
  <c r="H29" i="5" s="1"/>
  <c r="H30" i="5" s="1"/>
  <c r="I13" i="5"/>
  <c r="K13" i="5" s="1"/>
  <c r="K15" i="5" s="1"/>
  <c r="B2" i="4" l="1"/>
  <c r="H17" i="5"/>
  <c r="D2" i="4" s="1"/>
  <c r="F3" i="4"/>
  <c r="H33" i="5"/>
  <c r="E2" i="4" s="1"/>
  <c r="C2" i="4"/>
  <c r="F2" i="4" l="1"/>
</calcChain>
</file>

<file path=xl/sharedStrings.xml><?xml version="1.0" encoding="utf-8"?>
<sst xmlns="http://schemas.openxmlformats.org/spreadsheetml/2006/main" count="459" uniqueCount="148">
  <si>
    <t>零件信息</t>
  </si>
  <si>
    <t>正式包装（循环包装）</t>
  </si>
  <si>
    <t>临时包装方案</t>
  </si>
  <si>
    <t>项目</t>
  </si>
  <si>
    <t>零件号</t>
  </si>
  <si>
    <t>零件名称</t>
  </si>
  <si>
    <t>尺寸</t>
  </si>
  <si>
    <t>重量</t>
  </si>
  <si>
    <t>包装</t>
  </si>
  <si>
    <t>包装图片</t>
  </si>
  <si>
    <t>参考装箱数量</t>
  </si>
  <si>
    <t>摆放方式</t>
  </si>
  <si>
    <t>托盘尺寸</t>
  </si>
  <si>
    <t>托盘承载量</t>
  </si>
  <si>
    <t>J6L主驾</t>
  </si>
  <si>
    <t>SHT0014630</t>
  </si>
  <si>
    <t>靠背泡棉总成</t>
  </si>
  <si>
    <t>480*610*180</t>
  </si>
  <si>
    <t>6丝2*2m
塑料袋</t>
  </si>
  <si>
    <t>叠装</t>
  </si>
  <si>
    <t>-</t>
  </si>
  <si>
    <t>散装</t>
  </si>
  <si>
    <t>SHT0015048</t>
  </si>
  <si>
    <t>靠背泡棉总成（先使用SHT0013536）</t>
  </si>
  <si>
    <t>SHT0012340</t>
  </si>
  <si>
    <t>主驾驶座垫泡沫总成</t>
  </si>
  <si>
    <r>
      <rPr>
        <sz val="12"/>
        <rFont val="等线"/>
        <family val="3"/>
        <charset val="134"/>
        <scheme val="minor"/>
      </rPr>
      <t>495*540*130</t>
    </r>
  </si>
  <si>
    <t>J6L前座</t>
  </si>
  <si>
    <t>SHT0015073</t>
  </si>
  <si>
    <t>座垫泡沫总成</t>
  </si>
  <si>
    <t>495*540*130</t>
  </si>
  <si>
    <t>SHT0013338</t>
  </si>
  <si>
    <t>主边调角器总成</t>
  </si>
  <si>
    <t>186*128*38</t>
  </si>
  <si>
    <t>EU4622</t>
  </si>
  <si>
    <t>1200*800
塑料托盘+上盖</t>
  </si>
  <si>
    <t xml:space="preserve">
16箱/托盘
（4箱/层）</t>
  </si>
  <si>
    <t>600*400*300
对口纸箱</t>
  </si>
  <si>
    <t>1200*800*125
木托盘</t>
  </si>
  <si>
    <t xml:space="preserve">
20箱/托盘
（4箱/层）</t>
  </si>
  <si>
    <t>SHT0001838</t>
  </si>
  <si>
    <t>SHT0001839</t>
  </si>
  <si>
    <t>副边调角器总成</t>
  </si>
  <si>
    <t>186*128*39</t>
  </si>
  <si>
    <t>SHT0011962</t>
  </si>
  <si>
    <t>座垫前部罩壳</t>
  </si>
  <si>
    <t>328*75*58</t>
  </si>
  <si>
    <t>SHT0012564</t>
  </si>
  <si>
    <t>扶手支架焊接总成</t>
  </si>
  <si>
    <t>103*105*92</t>
  </si>
  <si>
    <t>SHT0011613</t>
  </si>
  <si>
    <t>右侧扶手本体总成</t>
  </si>
  <si>
    <t>478*63*100</t>
  </si>
  <si>
    <t>0.8482</t>
  </si>
  <si>
    <t>SHT0011975</t>
  </si>
  <si>
    <t>加热通风底座</t>
  </si>
  <si>
    <t>——</t>
  </si>
  <si>
    <t>SHT0014002</t>
  </si>
  <si>
    <t>左侧罩壳（带气袋腰托）</t>
  </si>
  <si>
    <t>556*240*125</t>
  </si>
  <si>
    <t>EU8633</t>
  </si>
  <si>
    <t>12箱/托盘
（4箱/层）</t>
  </si>
  <si>
    <t>800*600*300
对口纸箱</t>
  </si>
  <si>
    <t>10箱/托盘
（2箱/层）</t>
  </si>
  <si>
    <t>SHT0012959</t>
  </si>
  <si>
    <t>左侧罩壳</t>
  </si>
  <si>
    <t>SHT0011961</t>
  </si>
  <si>
    <t>右侧罩壳</t>
  </si>
  <si>
    <t>560*240*195</t>
  </si>
  <si>
    <t>SHT0013891</t>
  </si>
  <si>
    <t>调角器右罩壳</t>
  </si>
  <si>
    <t>SHT0014482</t>
  </si>
  <si>
    <t>高配底座模块化</t>
  </si>
  <si>
    <t>围板箱
1200*1000
围板886</t>
  </si>
  <si>
    <t>中空板垫板：1085*925
中空板隔档：按图</t>
  </si>
  <si>
    <t>大纸箱
1140*900**1000</t>
  </si>
  <si>
    <t>SHT0014483</t>
  </si>
  <si>
    <t>低配底座模块化</t>
  </si>
  <si>
    <t>日产峰值</t>
  </si>
  <si>
    <t>12月</t>
  </si>
  <si>
    <t>1月</t>
  </si>
  <si>
    <t>2月</t>
  </si>
  <si>
    <t>生命周期</t>
  </si>
  <si>
    <t>loop day</t>
  </si>
  <si>
    <t>.</t>
  </si>
  <si>
    <t>生产</t>
  </si>
  <si>
    <t>安全库存</t>
  </si>
  <si>
    <t xml:space="preserve"> </t>
  </si>
  <si>
    <t>低储</t>
  </si>
  <si>
    <t>在途</t>
  </si>
  <si>
    <t>空器具</t>
  </si>
  <si>
    <t>合计</t>
  </si>
  <si>
    <t>标包</t>
  </si>
  <si>
    <t>塑料袋</t>
  </si>
  <si>
    <t>规格</t>
  </si>
  <si>
    <t>计算数量（含10%损耗）</t>
  </si>
  <si>
    <t>单价</t>
  </si>
  <si>
    <t>总价</t>
  </si>
  <si>
    <t>大塑料袋</t>
  </si>
  <si>
    <t>6丝2*2m</t>
  </si>
  <si>
    <t>EU4622塑料箱</t>
  </si>
  <si>
    <t>600*400*230</t>
  </si>
  <si>
    <t>托盘+上盖</t>
  </si>
  <si>
    <t>1200*800</t>
  </si>
  <si>
    <t>EU8633塑料箱</t>
  </si>
  <si>
    <t>800*600*340</t>
  </si>
  <si>
    <t>围板箱</t>
  </si>
  <si>
    <t>1200*1000围板高度886</t>
  </si>
  <si>
    <t>塑料箱</t>
  </si>
  <si>
    <t>托盘</t>
  </si>
  <si>
    <t>内衬</t>
  </si>
  <si>
    <t>按图</t>
  </si>
  <si>
    <t>单台套包装费</t>
  </si>
  <si>
    <t>*按13.5半挂理论计算</t>
  </si>
  <si>
    <t>车数</t>
  </si>
  <si>
    <t>装载率</t>
  </si>
  <si>
    <t>塑料箱往返车数</t>
  </si>
  <si>
    <t>围板箱送货车数</t>
  </si>
  <si>
    <t>围板箱返空车数</t>
  </si>
  <si>
    <t>总运费</t>
  </si>
  <si>
    <t>单台套运输费</t>
  </si>
  <si>
    <t>纸箱1</t>
  </si>
  <si>
    <t>投入数量</t>
  </si>
  <si>
    <t>600*400*300</t>
  </si>
  <si>
    <t>纸箱2</t>
  </si>
  <si>
    <t>800*600*300</t>
  </si>
  <si>
    <t>1200*800*125</t>
  </si>
  <si>
    <t>大纸箱</t>
  </si>
  <si>
    <t>1140*900**920</t>
  </si>
  <si>
    <t>纸箱1+2</t>
  </si>
  <si>
    <t>包装费</t>
  </si>
  <si>
    <t>运费</t>
  </si>
  <si>
    <t>单套包装费</t>
  </si>
  <si>
    <t>单套运费</t>
  </si>
  <si>
    <t>单套物流成本</t>
  </si>
  <si>
    <t>一次性包装</t>
  </si>
  <si>
    <t>循环包装</t>
  </si>
  <si>
    <t>生命周期产量</t>
  </si>
  <si>
    <t>一次性包装物流成本</t>
  </si>
  <si>
    <t>循环包装物流成本</t>
  </si>
  <si>
    <t>一次性包装总投入费用</t>
  </si>
  <si>
    <t>循环包装总投入费用</t>
  </si>
  <si>
    <t>第一批次投入</t>
    <phoneticPr fontId="8" type="noConversion"/>
  </si>
  <si>
    <t>第二批次投入</t>
    <phoneticPr fontId="8" type="noConversion"/>
  </si>
  <si>
    <t>金额</t>
    <phoneticPr fontId="8" type="noConversion"/>
  </si>
  <si>
    <t>数量总计</t>
    <phoneticPr fontId="8" type="noConversion"/>
  </si>
  <si>
    <t>气泡膜</t>
    <phoneticPr fontId="8" type="noConversion"/>
  </si>
  <si>
    <t>600宽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</si>
</sst>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0.0000_);[Red]\(0.0000\)"/>
    <numFmt numFmtId="178" formatCode="_ * #,##0.0000_ ;_ * \-#,##0.0000_ ;_ * &quot;-&quot;????_ ;_ @_ "/>
    <numFmt numFmtId="179" formatCode="0_);[Red]\(0\)"/>
    <numFmt numFmtId="180" formatCode="0.000_);[Red]\(0.000\)"/>
  </numFmts>
  <fonts count="9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77" fontId="1" fillId="0" borderId="1" xfId="5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178" fontId="1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1" fillId="0" borderId="1" xfId="10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80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10" applyBorder="1" applyAlignment="1">
      <alignment horizontal="center" vertical="center"/>
    </xf>
    <xf numFmtId="0" fontId="7" fillId="2" borderId="3" xfId="10" applyFill="1" applyBorder="1" applyAlignment="1">
      <alignment horizontal="center" vertical="center"/>
    </xf>
    <xf numFmtId="0" fontId="7" fillId="0" borderId="0" xfId="10">
      <alignment vertical="center"/>
    </xf>
    <xf numFmtId="0" fontId="7" fillId="0" borderId="0" xfId="10" applyAlignment="1">
      <alignment horizontal="center" vertical="center"/>
    </xf>
    <xf numFmtId="0" fontId="7" fillId="2" borderId="0" xfId="10" applyFill="1" applyAlignment="1">
      <alignment horizontal="center" vertical="center"/>
    </xf>
    <xf numFmtId="0" fontId="7" fillId="2" borderId="1" xfId="10" applyFill="1" applyBorder="1" applyAlignment="1">
      <alignment horizontal="center" vertical="center"/>
    </xf>
    <xf numFmtId="0" fontId="7" fillId="0" borderId="1" xfId="10" applyFill="1" applyBorder="1" applyAlignment="1">
      <alignment horizontal="center" vertical="center"/>
    </xf>
    <xf numFmtId="0" fontId="7" fillId="0" borderId="0" xfId="10" applyBorder="1" applyAlignment="1">
      <alignment horizontal="center" vertical="center"/>
    </xf>
    <xf numFmtId="0" fontId="7" fillId="0" borderId="0" xfId="10" applyBorder="1">
      <alignment vertical="center"/>
    </xf>
    <xf numFmtId="0" fontId="7" fillId="0" borderId="1" xfId="10" applyFont="1" applyBorder="1" applyAlignment="1">
      <alignment horizontal="center" vertical="center"/>
    </xf>
    <xf numFmtId="4" fontId="7" fillId="3" borderId="1" xfId="10" applyNumberFormat="1" applyFill="1" applyBorder="1" applyAlignment="1">
      <alignment horizontal="center" vertical="center"/>
    </xf>
    <xf numFmtId="0" fontId="7" fillId="0" borderId="2" xfId="10" applyBorder="1" applyAlignment="1">
      <alignment horizontal="center" vertical="center"/>
    </xf>
    <xf numFmtId="0" fontId="7" fillId="0" borderId="0" xfId="10" applyFill="1" applyAlignment="1">
      <alignment horizontal="center" vertical="center"/>
    </xf>
    <xf numFmtId="0" fontId="7" fillId="7" borderId="1" xfId="10" applyFill="1" applyBorder="1" applyAlignment="1">
      <alignment horizontal="center" vertical="center"/>
    </xf>
    <xf numFmtId="0" fontId="7" fillId="8" borderId="1" xfId="1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10" applyBorder="1" applyAlignment="1">
      <alignment horizontal="center" vertical="center"/>
    </xf>
    <xf numFmtId="0" fontId="7" fillId="0" borderId="4" xfId="10" applyBorder="1" applyAlignment="1">
      <alignment horizontal="center" vertical="center"/>
    </xf>
  </cellXfs>
  <cellStyles count="11">
    <cellStyle name="BOM_Level_Below3 2" xfId="9"/>
    <cellStyle name="常规" xfId="0" builtinId="0"/>
    <cellStyle name="常规 41" xfId="10"/>
    <cellStyle name="常规 42" xfId="4"/>
    <cellStyle name="常规 43" xfId="5"/>
    <cellStyle name="常规 44" xfId="1"/>
    <cellStyle name="常规 45" xfId="8"/>
    <cellStyle name="常规 47" xfId="3"/>
    <cellStyle name="常规 48" xfId="6"/>
    <cellStyle name="常规 49" xfId="7"/>
    <cellStyle name="超链接" xfId="2" builtin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物流成本分析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成本对比!$B$7</c:f>
              <c:strCache>
                <c:ptCount val="1"/>
                <c:pt idx="0">
                  <c:v>生命周期产量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成本对比!$B$8:$B$13</c:f>
              <c:numCache>
                <c:formatCode>General</c:formatCode>
                <c:ptCount val="6"/>
                <c:pt idx="0">
                  <c:v>5000</c:v>
                </c:pt>
                <c:pt idx="1">
                  <c:v>5500</c:v>
                </c:pt>
                <c:pt idx="2">
                  <c:v>10000</c:v>
                </c:pt>
                <c:pt idx="3">
                  <c:v>30000</c:v>
                </c:pt>
                <c:pt idx="4">
                  <c:v>60000</c:v>
                </c:pt>
                <c:pt idx="5">
                  <c:v>120000</c:v>
                </c:pt>
              </c:numCache>
            </c:numRef>
          </c:cat>
          <c:val>
            <c:numRef>
              <c:f>成本对比!$C$8:$C$13</c:f>
              <c:numCache>
                <c:formatCode>0.00_);[Red]\(0.00\)</c:formatCode>
                <c:ptCount val="6"/>
                <c:pt idx="0" formatCode="General">
                  <c:v>63.33</c:v>
                </c:pt>
                <c:pt idx="1">
                  <c:v>62.880145454545399</c:v>
                </c:pt>
                <c:pt idx="2" formatCode="General">
                  <c:v>61.08</c:v>
                </c:pt>
                <c:pt idx="3" formatCode="General">
                  <c:v>61.04</c:v>
                </c:pt>
                <c:pt idx="4" formatCode="General">
                  <c:v>60.84</c:v>
                </c:pt>
                <c:pt idx="5" formatCode="General">
                  <c:v>60.84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C-440B-833B-D4B84A7230C7}"/>
            </c:ext>
          </c:extLst>
        </c:ser>
        <c:ser>
          <c:idx val="1"/>
          <c:order val="1"/>
          <c:tx>
            <c:strRef>
              <c:f>成本对比!$C$7</c:f>
              <c:strCache>
                <c:ptCount val="1"/>
                <c:pt idx="0">
                  <c:v>一次性包装物流成本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成本对比!$B$8:$B$13</c:f>
              <c:numCache>
                <c:formatCode>General</c:formatCode>
                <c:ptCount val="6"/>
                <c:pt idx="0">
                  <c:v>5000</c:v>
                </c:pt>
                <c:pt idx="1">
                  <c:v>5500</c:v>
                </c:pt>
                <c:pt idx="2">
                  <c:v>10000</c:v>
                </c:pt>
                <c:pt idx="3">
                  <c:v>30000</c:v>
                </c:pt>
                <c:pt idx="4">
                  <c:v>60000</c:v>
                </c:pt>
                <c:pt idx="5">
                  <c:v>120000</c:v>
                </c:pt>
              </c:numCache>
            </c:numRef>
          </c:cat>
          <c:val>
            <c:numRef>
              <c:f>成本对比!$C$8:$C$13</c:f>
              <c:numCache>
                <c:formatCode>0.00_);[Red]\(0.00\)</c:formatCode>
                <c:ptCount val="6"/>
                <c:pt idx="0" formatCode="General">
                  <c:v>63.33</c:v>
                </c:pt>
                <c:pt idx="1">
                  <c:v>62.880145454545399</c:v>
                </c:pt>
                <c:pt idx="2" formatCode="General">
                  <c:v>61.08</c:v>
                </c:pt>
                <c:pt idx="3" formatCode="General">
                  <c:v>61.04</c:v>
                </c:pt>
                <c:pt idx="4" formatCode="General">
                  <c:v>60.84</c:v>
                </c:pt>
                <c:pt idx="5" formatCode="General">
                  <c:v>60.84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C-440B-833B-D4B84A7230C7}"/>
            </c:ext>
          </c:extLst>
        </c:ser>
        <c:ser>
          <c:idx val="2"/>
          <c:order val="2"/>
          <c:tx>
            <c:strRef>
              <c:f>成本对比!$D$7</c:f>
              <c:strCache>
                <c:ptCount val="1"/>
                <c:pt idx="0">
                  <c:v>循环包装物流成本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成本对比!$B$8:$B$13</c:f>
              <c:numCache>
                <c:formatCode>General</c:formatCode>
                <c:ptCount val="6"/>
                <c:pt idx="0">
                  <c:v>5000</c:v>
                </c:pt>
                <c:pt idx="1">
                  <c:v>5500</c:v>
                </c:pt>
                <c:pt idx="2">
                  <c:v>10000</c:v>
                </c:pt>
                <c:pt idx="3">
                  <c:v>30000</c:v>
                </c:pt>
                <c:pt idx="4">
                  <c:v>60000</c:v>
                </c:pt>
                <c:pt idx="5">
                  <c:v>120000</c:v>
                </c:pt>
              </c:numCache>
            </c:numRef>
          </c:cat>
          <c:val>
            <c:numRef>
              <c:f>成本对比!$D$8:$D$13</c:f>
              <c:numCache>
                <c:formatCode>0.00_);[Red]\(0.00\)</c:formatCode>
                <c:ptCount val="6"/>
                <c:pt idx="0" formatCode="General">
                  <c:v>66.510000000000005</c:v>
                </c:pt>
                <c:pt idx="1">
                  <c:v>62.900545454545501</c:v>
                </c:pt>
                <c:pt idx="2" formatCode="General">
                  <c:v>48.56</c:v>
                </c:pt>
                <c:pt idx="3" formatCode="General">
                  <c:v>36.25</c:v>
                </c:pt>
                <c:pt idx="4" formatCode="General">
                  <c:v>33.770000000000003</c:v>
                </c:pt>
                <c:pt idx="5" formatCode="General">
                  <c:v>32.54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C-440B-833B-D4B84A72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110816"/>
        <c:axId val="2070112480"/>
      </c:lineChart>
      <c:catAx>
        <c:axId val="20701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70112480"/>
        <c:crosses val="autoZero"/>
        <c:auto val="1"/>
        <c:lblAlgn val="ctr"/>
        <c:lblOffset val="100"/>
        <c:noMultiLvlLbl val="0"/>
      </c:catAx>
      <c:valAx>
        <c:axId val="207011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7011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247651</xdr:colOff>
      <xdr:row>9</xdr:row>
      <xdr:rowOff>23840</xdr:rowOff>
    </xdr:from>
    <xdr:to>
      <xdr:col>8</xdr:col>
      <xdr:colOff>1104900</xdr:colOff>
      <xdr:row>9</xdr:row>
      <xdr:rowOff>748920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29800" y="4614545"/>
          <a:ext cx="857250" cy="72517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17</xdr:row>
      <xdr:rowOff>152400</xdr:rowOff>
    </xdr:from>
    <xdr:to>
      <xdr:col>8</xdr:col>
      <xdr:colOff>1228725</xdr:colOff>
      <xdr:row>18</xdr:row>
      <xdr:rowOff>604623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6450" y="10839450"/>
          <a:ext cx="1114425" cy="121412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209551</xdr:colOff>
      <xdr:row>7</xdr:row>
      <xdr:rowOff>183133</xdr:rowOff>
    </xdr:from>
    <xdr:to>
      <xdr:col>8</xdr:col>
      <xdr:colOff>1066800</xdr:colOff>
      <xdr:row>8</xdr:row>
      <xdr:rowOff>137282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791700" y="3249930"/>
          <a:ext cx="857250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8</xdr:row>
      <xdr:rowOff>657225</xdr:rowOff>
    </xdr:from>
    <xdr:to>
      <xdr:col>6</xdr:col>
      <xdr:colOff>1076325</xdr:colOff>
      <xdr:row>10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448627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17</xdr:row>
      <xdr:rowOff>401441</xdr:rowOff>
    </xdr:from>
    <xdr:to>
      <xdr:col>6</xdr:col>
      <xdr:colOff>1045870</xdr:colOff>
      <xdr:row>18</xdr:row>
      <xdr:rowOff>428625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9950" y="11088370"/>
          <a:ext cx="960120" cy="7893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14</xdr:row>
      <xdr:rowOff>342879</xdr:rowOff>
    </xdr:from>
    <xdr:to>
      <xdr:col>8</xdr:col>
      <xdr:colOff>1242349</xdr:colOff>
      <xdr:row>15</xdr:row>
      <xdr:rowOff>561975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677400" y="8743315"/>
          <a:ext cx="1146810" cy="98171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390524</xdr:rowOff>
    </xdr:from>
    <xdr:to>
      <xdr:col>6</xdr:col>
      <xdr:colOff>1091323</xdr:colOff>
      <xdr:row>15</xdr:row>
      <xdr:rowOff>514349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0900" y="8790940"/>
          <a:ext cx="102425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159683</xdr:colOff>
      <xdr:row>2</xdr:row>
      <xdr:rowOff>53555</xdr:rowOff>
    </xdr:from>
    <xdr:to>
      <xdr:col>6</xdr:col>
      <xdr:colOff>1045642</xdr:colOff>
      <xdr:row>5</xdr:row>
      <xdr:rowOff>123265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93610" y="783590"/>
          <a:ext cx="885825" cy="12509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11</xdr:row>
      <xdr:rowOff>25602</xdr:rowOff>
    </xdr:from>
    <xdr:to>
      <xdr:col>8</xdr:col>
      <xdr:colOff>1095375</xdr:colOff>
      <xdr:row>11</xdr:row>
      <xdr:rowOff>739321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29800" y="6140450"/>
          <a:ext cx="847725" cy="71374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257176</xdr:colOff>
      <xdr:row>10</xdr:row>
      <xdr:rowOff>44121</xdr:rowOff>
    </xdr:from>
    <xdr:to>
      <xdr:col>8</xdr:col>
      <xdr:colOff>1076325</xdr:colOff>
      <xdr:row>10</xdr:row>
      <xdr:rowOff>732714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39325" y="5396865"/>
          <a:ext cx="819150" cy="688340"/>
        </a:xfrm>
        <a:prstGeom prst="rect">
          <a:avLst/>
        </a:prstGeom>
      </xdr:spPr>
    </xdr:pic>
    <xdr:clientData/>
  </xdr:twoCellAnchor>
  <xdr:twoCellAnchor editAs="oneCell">
    <xdr:from>
      <xdr:col>9</xdr:col>
      <xdr:colOff>156884</xdr:colOff>
      <xdr:row>10</xdr:row>
      <xdr:rowOff>407965</xdr:rowOff>
    </xdr:from>
    <xdr:to>
      <xdr:col>9</xdr:col>
      <xdr:colOff>1225221</xdr:colOff>
      <xdr:row>11</xdr:row>
      <xdr:rowOff>201704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34395" y="5760720"/>
          <a:ext cx="1068070" cy="5556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9</xdr:row>
      <xdr:rowOff>236332</xdr:rowOff>
    </xdr:from>
    <xdr:to>
      <xdr:col>9</xdr:col>
      <xdr:colOff>1270596</xdr:colOff>
      <xdr:row>10</xdr:row>
      <xdr:rowOff>257736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415" y="4827270"/>
          <a:ext cx="1080135" cy="782955"/>
        </a:xfrm>
        <a:prstGeom prst="rect">
          <a:avLst/>
        </a:prstGeom>
      </xdr:spPr>
    </xdr:pic>
    <xdr:clientData/>
  </xdr:twoCellAnchor>
  <xdr:twoCellAnchor editAs="oneCell">
    <xdr:from>
      <xdr:col>4</xdr:col>
      <xdr:colOff>683557</xdr:colOff>
      <xdr:row>25</xdr:row>
      <xdr:rowOff>8516</xdr:rowOff>
    </xdr:from>
    <xdr:to>
      <xdr:col>7</xdr:col>
      <xdr:colOff>1154205</xdr:colOff>
      <xdr:row>38</xdr:row>
      <xdr:rowOff>163369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41060" y="13286105"/>
          <a:ext cx="3499485" cy="2466340"/>
        </a:xfrm>
        <a:prstGeom prst="rect">
          <a:avLst/>
        </a:prstGeom>
      </xdr:spPr>
    </xdr:pic>
    <xdr:clientData/>
  </xdr:twoCellAnchor>
  <xdr:twoCellAnchor editAs="oneCell">
    <xdr:from>
      <xdr:col>10</xdr:col>
      <xdr:colOff>145677</xdr:colOff>
      <xdr:row>7</xdr:row>
      <xdr:rowOff>537881</xdr:rowOff>
    </xdr:from>
    <xdr:to>
      <xdr:col>10</xdr:col>
      <xdr:colOff>1400735</xdr:colOff>
      <xdr:row>9</xdr:row>
      <xdr:rowOff>415515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140" y="3604895"/>
          <a:ext cx="1254760" cy="1401445"/>
        </a:xfrm>
        <a:prstGeom prst="rect">
          <a:avLst/>
        </a:prstGeom>
      </xdr:spPr>
    </xdr:pic>
    <xdr:clientData/>
  </xdr:twoCellAnchor>
  <xdr:twoCellAnchor editAs="oneCell">
    <xdr:from>
      <xdr:col>14</xdr:col>
      <xdr:colOff>123264</xdr:colOff>
      <xdr:row>9</xdr:row>
      <xdr:rowOff>627529</xdr:rowOff>
    </xdr:from>
    <xdr:to>
      <xdr:col>14</xdr:col>
      <xdr:colOff>1162423</xdr:colOff>
      <xdr:row>10</xdr:row>
      <xdr:rowOff>733607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3940" y="5218430"/>
          <a:ext cx="1038860" cy="868045"/>
        </a:xfrm>
        <a:prstGeom prst="rect">
          <a:avLst/>
        </a:prstGeom>
      </xdr:spPr>
    </xdr:pic>
    <xdr:clientData/>
  </xdr:twoCellAnchor>
  <xdr:twoCellAnchor editAs="oneCell">
    <xdr:from>
      <xdr:col>12</xdr:col>
      <xdr:colOff>100853</xdr:colOff>
      <xdr:row>17</xdr:row>
      <xdr:rowOff>324970</xdr:rowOff>
    </xdr:from>
    <xdr:to>
      <xdr:col>12</xdr:col>
      <xdr:colOff>1089798</xdr:colOff>
      <xdr:row>18</xdr:row>
      <xdr:rowOff>358587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3155" y="11011535"/>
          <a:ext cx="989330" cy="795655"/>
        </a:xfrm>
        <a:prstGeom prst="rect">
          <a:avLst/>
        </a:prstGeom>
      </xdr:spPr>
    </xdr:pic>
    <xdr:clientData/>
  </xdr:twoCellAnchor>
  <xdr:twoCellAnchor editAs="oneCell">
    <xdr:from>
      <xdr:col>12</xdr:col>
      <xdr:colOff>93972</xdr:colOff>
      <xdr:row>9</xdr:row>
      <xdr:rowOff>739587</xdr:rowOff>
    </xdr:from>
    <xdr:to>
      <xdr:col>12</xdr:col>
      <xdr:colOff>1103410</xdr:colOff>
      <xdr:row>11</xdr:row>
      <xdr:rowOff>35611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6170" y="5330190"/>
          <a:ext cx="1009650" cy="820420"/>
        </a:xfrm>
        <a:prstGeom prst="rect">
          <a:avLst/>
        </a:prstGeom>
      </xdr:spPr>
    </xdr:pic>
    <xdr:clientData/>
  </xdr:twoCellAnchor>
  <xdr:twoCellAnchor editAs="oneCell">
    <xdr:from>
      <xdr:col>14</xdr:col>
      <xdr:colOff>930089</xdr:colOff>
      <xdr:row>17</xdr:row>
      <xdr:rowOff>112058</xdr:rowOff>
    </xdr:from>
    <xdr:to>
      <xdr:col>15</xdr:col>
      <xdr:colOff>623470</xdr:colOff>
      <xdr:row>18</xdr:row>
      <xdr:rowOff>658798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360390" y="10798810"/>
          <a:ext cx="1093470" cy="1308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168089</xdr:colOff>
      <xdr:row>7</xdr:row>
      <xdr:rowOff>478068</xdr:rowOff>
    </xdr:from>
    <xdr:to>
      <xdr:col>15</xdr:col>
      <xdr:colOff>1467971</xdr:colOff>
      <xdr:row>9</xdr:row>
      <xdr:rowOff>321872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98565" y="3544570"/>
          <a:ext cx="1299845" cy="136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" y="0"/>
          <a:ext cx="7470140" cy="900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66930</xdr:rowOff>
    </xdr:from>
    <xdr:to>
      <xdr:col>7</xdr:col>
      <xdr:colOff>811696</xdr:colOff>
      <xdr:row>16</xdr:row>
      <xdr:rowOff>144771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8017"/>
          <a:ext cx="7412935" cy="2082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</xdr:colOff>
      <xdr:row>6</xdr:row>
      <xdr:rowOff>41415</xdr:rowOff>
    </xdr:from>
    <xdr:to>
      <xdr:col>2</xdr:col>
      <xdr:colOff>684139</xdr:colOff>
      <xdr:row>9</xdr:row>
      <xdr:rowOff>56667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" y="1108075"/>
          <a:ext cx="334645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16564</xdr:colOff>
      <xdr:row>0</xdr:row>
      <xdr:rowOff>0</xdr:rowOff>
    </xdr:from>
    <xdr:to>
      <xdr:col>7</xdr:col>
      <xdr:colOff>604629</xdr:colOff>
      <xdr:row>5</xdr:row>
      <xdr:rowOff>11876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" y="0"/>
          <a:ext cx="7465060" cy="900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" y="0"/>
          <a:ext cx="7470140" cy="900430"/>
        </a:xfrm>
        <a:prstGeom prst="rect">
          <a:avLst/>
        </a:prstGeom>
      </xdr:spPr>
    </xdr:pic>
    <xdr:clientData/>
  </xdr:twoCellAnchor>
  <xdr:twoCellAnchor editAs="oneCell">
    <xdr:from>
      <xdr:col>5</xdr:col>
      <xdr:colOff>679175</xdr:colOff>
      <xdr:row>18</xdr:row>
      <xdr:rowOff>173936</xdr:rowOff>
    </xdr:from>
    <xdr:to>
      <xdr:col>8</xdr:col>
      <xdr:colOff>510206</xdr:colOff>
      <xdr:row>22</xdr:row>
      <xdr:rowOff>6971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1790" y="3373755"/>
          <a:ext cx="3345815" cy="5441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210820</xdr:colOff>
      <xdr:row>5</xdr:row>
      <xdr:rowOff>25400</xdr:rowOff>
    </xdr:from>
    <xdr:to>
      <xdr:col>13</xdr:col>
      <xdr:colOff>668020</xdr:colOff>
      <xdr:row>21</xdr:row>
      <xdr:rowOff>53975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4" y="0"/>
          <a:ext cx="7470499" cy="916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66930</xdr:rowOff>
    </xdr:from>
    <xdr:to>
      <xdr:col>7</xdr:col>
      <xdr:colOff>811696</xdr:colOff>
      <xdr:row>16</xdr:row>
      <xdr:rowOff>144771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805"/>
          <a:ext cx="7412521" cy="2068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70" zoomScaleNormal="70" zoomScaleSheetLayoutView="85" workbookViewId="0">
      <selection activeCell="U11" sqref="U11"/>
    </sheetView>
  </sheetViews>
  <sheetFormatPr defaultColWidth="9" defaultRowHeight="14.25" x14ac:dyDescent="0.2"/>
  <cols>
    <col min="1" max="1" width="8.5" customWidth="1"/>
    <col min="2" max="2" width="11.625" customWidth="1"/>
    <col min="3" max="3" width="36.125" customWidth="1"/>
    <col min="4" max="4" width="12.75" customWidth="1"/>
    <col min="5" max="5" width="9.5" customWidth="1"/>
    <col min="6" max="7" width="15.125" customWidth="1"/>
    <col min="8" max="9" width="17" style="23" customWidth="1"/>
    <col min="10" max="10" width="18.375" customWidth="1"/>
    <col min="11" max="11" width="20.375" customWidth="1"/>
    <col min="12" max="13" width="15.125" customWidth="1"/>
    <col min="14" max="14" width="17" style="23" customWidth="1"/>
    <col min="15" max="15" width="18.375" customWidth="1"/>
    <col min="16" max="16" width="20.375" customWidth="1"/>
  </cols>
  <sheetData>
    <row r="1" spans="1:16" ht="43.5" customHeight="1" x14ac:dyDescent="0.2">
      <c r="A1" s="71" t="s">
        <v>0</v>
      </c>
      <c r="B1" s="71"/>
      <c r="C1" s="71"/>
      <c r="D1" s="71"/>
      <c r="E1" s="71"/>
      <c r="F1" s="72" t="s">
        <v>1</v>
      </c>
      <c r="G1" s="72"/>
      <c r="H1" s="72"/>
      <c r="I1" s="72"/>
      <c r="J1" s="72"/>
      <c r="K1" s="72"/>
      <c r="L1" s="73" t="s">
        <v>2</v>
      </c>
      <c r="M1" s="74"/>
      <c r="N1" s="74"/>
      <c r="O1" s="74"/>
      <c r="P1" s="74"/>
    </row>
    <row r="2" spans="1:16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2" t="s">
        <v>8</v>
      </c>
      <c r="M2" s="2" t="s">
        <v>9</v>
      </c>
      <c r="N2" s="13" t="s">
        <v>10</v>
      </c>
      <c r="O2" s="13" t="s">
        <v>12</v>
      </c>
      <c r="P2" s="13" t="s">
        <v>13</v>
      </c>
    </row>
    <row r="3" spans="1:16" ht="15.75" x14ac:dyDescent="0.2">
      <c r="A3" s="24" t="s">
        <v>14</v>
      </c>
      <c r="B3" s="25" t="s">
        <v>15</v>
      </c>
      <c r="C3" s="26" t="s">
        <v>16</v>
      </c>
      <c r="D3" s="27" t="s">
        <v>17</v>
      </c>
      <c r="E3" s="28">
        <v>1.3988</v>
      </c>
      <c r="F3" s="61" t="s">
        <v>18</v>
      </c>
      <c r="G3" s="65"/>
      <c r="H3" s="75">
        <v>10</v>
      </c>
      <c r="I3" s="78" t="s">
        <v>19</v>
      </c>
      <c r="J3" s="69" t="s">
        <v>20</v>
      </c>
      <c r="K3" s="69" t="s">
        <v>20</v>
      </c>
      <c r="L3" s="61" t="s">
        <v>21</v>
      </c>
      <c r="M3" s="65" t="s">
        <v>20</v>
      </c>
      <c r="N3" s="75" t="s">
        <v>20</v>
      </c>
      <c r="O3" s="69" t="s">
        <v>20</v>
      </c>
      <c r="P3" s="69" t="s">
        <v>20</v>
      </c>
    </row>
    <row r="4" spans="1:16" ht="15.75" x14ac:dyDescent="0.2">
      <c r="A4" s="24" t="s">
        <v>14</v>
      </c>
      <c r="B4" s="25" t="s">
        <v>22</v>
      </c>
      <c r="C4" s="29" t="s">
        <v>23</v>
      </c>
      <c r="D4" s="27" t="s">
        <v>17</v>
      </c>
      <c r="E4" s="28">
        <v>1.3988</v>
      </c>
      <c r="F4" s="62"/>
      <c r="G4" s="62"/>
      <c r="H4" s="76"/>
      <c r="I4" s="78"/>
      <c r="J4" s="69"/>
      <c r="K4" s="69"/>
      <c r="L4" s="62"/>
      <c r="M4" s="62"/>
      <c r="N4" s="76"/>
      <c r="O4" s="69"/>
      <c r="P4" s="69"/>
    </row>
    <row r="5" spans="1:16" ht="15.75" x14ac:dyDescent="0.2">
      <c r="A5" s="24" t="s">
        <v>14</v>
      </c>
      <c r="B5" s="25" t="s">
        <v>24</v>
      </c>
      <c r="C5" s="26" t="s">
        <v>25</v>
      </c>
      <c r="D5" s="27" t="s">
        <v>26</v>
      </c>
      <c r="E5" s="28">
        <v>0.86719999999999997</v>
      </c>
      <c r="F5" s="62"/>
      <c r="G5" s="62"/>
      <c r="H5" s="76"/>
      <c r="I5" s="78"/>
      <c r="J5" s="69"/>
      <c r="K5" s="69"/>
      <c r="L5" s="62"/>
      <c r="M5" s="62"/>
      <c r="N5" s="76"/>
      <c r="O5" s="69"/>
      <c r="P5" s="69"/>
    </row>
    <row r="6" spans="1:16" ht="15.75" x14ac:dyDescent="0.2">
      <c r="A6" s="24" t="s">
        <v>27</v>
      </c>
      <c r="B6" s="30" t="s">
        <v>28</v>
      </c>
      <c r="C6" s="31" t="s">
        <v>29</v>
      </c>
      <c r="D6" s="32" t="s">
        <v>30</v>
      </c>
      <c r="E6" s="33">
        <v>0.89</v>
      </c>
      <c r="F6" s="63"/>
      <c r="G6" s="63"/>
      <c r="H6" s="77"/>
      <c r="I6" s="78"/>
      <c r="J6" s="69"/>
      <c r="K6" s="69"/>
      <c r="L6" s="63"/>
      <c r="M6" s="63"/>
      <c r="N6" s="77"/>
      <c r="O6" s="69"/>
      <c r="P6" s="69"/>
    </row>
    <row r="7" spans="1:16" ht="60" customHeight="1" x14ac:dyDescent="0.2">
      <c r="A7" s="24" t="s">
        <v>14</v>
      </c>
      <c r="B7" s="25" t="s">
        <v>31</v>
      </c>
      <c r="C7" s="26" t="s">
        <v>32</v>
      </c>
      <c r="D7" s="27" t="s">
        <v>33</v>
      </c>
      <c r="E7" s="28">
        <v>1.4954000000000001</v>
      </c>
      <c r="F7" s="65" t="s">
        <v>34</v>
      </c>
      <c r="G7" s="65"/>
      <c r="H7" s="34">
        <v>10</v>
      </c>
      <c r="I7" s="79"/>
      <c r="J7" s="70" t="s">
        <v>35</v>
      </c>
      <c r="K7" s="70" t="s">
        <v>36</v>
      </c>
      <c r="L7" s="61" t="s">
        <v>37</v>
      </c>
      <c r="M7" s="65"/>
      <c r="N7" s="34">
        <v>10</v>
      </c>
      <c r="O7" s="70" t="s">
        <v>38</v>
      </c>
      <c r="P7" s="61" t="s">
        <v>39</v>
      </c>
    </row>
    <row r="8" spans="1:16" ht="60" customHeight="1" x14ac:dyDescent="0.2">
      <c r="A8" s="24" t="s">
        <v>14</v>
      </c>
      <c r="B8" s="35" t="s">
        <v>40</v>
      </c>
      <c r="C8" s="26" t="s">
        <v>32</v>
      </c>
      <c r="D8" s="27" t="s">
        <v>33</v>
      </c>
      <c r="E8" s="28">
        <v>1.4954000000000001</v>
      </c>
      <c r="F8" s="62"/>
      <c r="G8" s="62"/>
      <c r="H8" s="34">
        <v>10</v>
      </c>
      <c r="I8" s="79"/>
      <c r="J8" s="69"/>
      <c r="K8" s="69"/>
      <c r="L8" s="62"/>
      <c r="M8" s="62"/>
      <c r="N8" s="34">
        <v>10</v>
      </c>
      <c r="O8" s="69"/>
      <c r="P8" s="80"/>
    </row>
    <row r="9" spans="1:16" ht="60" customHeight="1" x14ac:dyDescent="0.2">
      <c r="A9" s="24" t="s">
        <v>14</v>
      </c>
      <c r="B9" s="35" t="s">
        <v>41</v>
      </c>
      <c r="C9" s="26" t="s">
        <v>42</v>
      </c>
      <c r="D9" s="27" t="s">
        <v>43</v>
      </c>
      <c r="E9" s="28">
        <v>0.95299999999999996</v>
      </c>
      <c r="F9" s="62"/>
      <c r="G9" s="62"/>
      <c r="H9" s="34">
        <v>10</v>
      </c>
      <c r="I9" s="79"/>
      <c r="J9" s="69"/>
      <c r="K9" s="69"/>
      <c r="L9" s="62"/>
      <c r="M9" s="62"/>
      <c r="N9" s="34">
        <v>10</v>
      </c>
      <c r="O9" s="69"/>
      <c r="P9" s="80"/>
    </row>
    <row r="10" spans="1:16" ht="60" customHeight="1" x14ac:dyDescent="0.2">
      <c r="A10" s="24" t="s">
        <v>14</v>
      </c>
      <c r="B10" s="35" t="s">
        <v>44</v>
      </c>
      <c r="C10" s="29" t="s">
        <v>45</v>
      </c>
      <c r="D10" s="27" t="s">
        <v>46</v>
      </c>
      <c r="E10" s="36">
        <v>0.1124</v>
      </c>
      <c r="F10" s="62"/>
      <c r="G10" s="62"/>
      <c r="H10" s="34">
        <v>24</v>
      </c>
      <c r="I10" s="34"/>
      <c r="J10" s="69"/>
      <c r="K10" s="69"/>
      <c r="L10" s="62"/>
      <c r="M10" s="62"/>
      <c r="N10" s="34">
        <v>24</v>
      </c>
      <c r="O10" s="69"/>
      <c r="P10" s="80"/>
    </row>
    <row r="11" spans="1:16" ht="60" customHeight="1" x14ac:dyDescent="0.2">
      <c r="A11" s="24" t="s">
        <v>14</v>
      </c>
      <c r="B11" s="37" t="s">
        <v>47</v>
      </c>
      <c r="C11" s="38" t="s">
        <v>48</v>
      </c>
      <c r="D11" s="39" t="s">
        <v>49</v>
      </c>
      <c r="E11" s="40">
        <v>0.32200000000000001</v>
      </c>
      <c r="F11" s="62"/>
      <c r="G11" s="62"/>
      <c r="H11" s="13">
        <v>36</v>
      </c>
      <c r="I11" s="13"/>
      <c r="J11" s="69"/>
      <c r="K11" s="69"/>
      <c r="L11" s="62"/>
      <c r="M11" s="62"/>
      <c r="N11" s="13">
        <v>36</v>
      </c>
      <c r="O11" s="69"/>
      <c r="P11" s="80"/>
    </row>
    <row r="12" spans="1:16" ht="60" customHeight="1" x14ac:dyDescent="0.2">
      <c r="A12" s="24" t="s">
        <v>14</v>
      </c>
      <c r="B12" s="25" t="s">
        <v>50</v>
      </c>
      <c r="C12" s="29" t="s">
        <v>51</v>
      </c>
      <c r="D12" s="27" t="s">
        <v>52</v>
      </c>
      <c r="E12" s="36" t="s">
        <v>53</v>
      </c>
      <c r="F12" s="62"/>
      <c r="G12" s="62"/>
      <c r="H12" s="13">
        <v>10</v>
      </c>
      <c r="I12" s="13"/>
      <c r="J12" s="69"/>
      <c r="K12" s="69"/>
      <c r="L12" s="62"/>
      <c r="M12" s="62"/>
      <c r="N12" s="13">
        <v>10</v>
      </c>
      <c r="O12" s="69"/>
      <c r="P12" s="80"/>
    </row>
    <row r="13" spans="1:16" ht="60" customHeight="1" x14ac:dyDescent="0.2">
      <c r="A13" s="24" t="s">
        <v>14</v>
      </c>
      <c r="B13" s="25" t="s">
        <v>54</v>
      </c>
      <c r="C13" s="29" t="s">
        <v>55</v>
      </c>
      <c r="D13" s="27" t="s">
        <v>56</v>
      </c>
      <c r="E13" s="36">
        <v>0.115</v>
      </c>
      <c r="F13" s="63"/>
      <c r="G13" s="63"/>
      <c r="H13" s="41">
        <v>100</v>
      </c>
      <c r="I13" s="13" t="s">
        <v>21</v>
      </c>
      <c r="J13" s="69"/>
      <c r="K13" s="69"/>
      <c r="L13" s="63"/>
      <c r="M13" s="62"/>
      <c r="N13" s="41">
        <v>100</v>
      </c>
      <c r="O13" s="69"/>
      <c r="P13" s="80"/>
    </row>
    <row r="14" spans="1:16" ht="60" customHeight="1" x14ac:dyDescent="0.2">
      <c r="A14" s="24" t="s">
        <v>14</v>
      </c>
      <c r="B14" s="25" t="s">
        <v>57</v>
      </c>
      <c r="C14" s="29" t="s">
        <v>58</v>
      </c>
      <c r="D14" s="27" t="s">
        <v>59</v>
      </c>
      <c r="E14" s="36">
        <v>0.29099999999999998</v>
      </c>
      <c r="F14" s="65" t="s">
        <v>60</v>
      </c>
      <c r="G14" s="65"/>
      <c r="H14" s="34">
        <v>16</v>
      </c>
      <c r="I14" s="66"/>
      <c r="J14" s="69"/>
      <c r="K14" s="70" t="s">
        <v>61</v>
      </c>
      <c r="L14" s="61" t="s">
        <v>62</v>
      </c>
      <c r="M14" s="62"/>
      <c r="N14" s="34">
        <v>16</v>
      </c>
      <c r="O14" s="69"/>
      <c r="P14" s="70" t="s">
        <v>63</v>
      </c>
    </row>
    <row r="15" spans="1:16" ht="60" customHeight="1" x14ac:dyDescent="0.2">
      <c r="A15" s="24" t="s">
        <v>14</v>
      </c>
      <c r="B15" s="25" t="s">
        <v>64</v>
      </c>
      <c r="C15" s="29" t="s">
        <v>65</v>
      </c>
      <c r="D15" s="27" t="s">
        <v>59</v>
      </c>
      <c r="E15" s="28">
        <v>0.29099999999999998</v>
      </c>
      <c r="F15" s="62"/>
      <c r="G15" s="62"/>
      <c r="H15" s="34">
        <v>16</v>
      </c>
      <c r="I15" s="66"/>
      <c r="J15" s="69"/>
      <c r="K15" s="69"/>
      <c r="L15" s="62"/>
      <c r="M15" s="62"/>
      <c r="N15" s="34">
        <v>16</v>
      </c>
      <c r="O15" s="69"/>
      <c r="P15" s="69"/>
    </row>
    <row r="16" spans="1:16" ht="60" customHeight="1" x14ac:dyDescent="0.2">
      <c r="A16" s="24" t="s">
        <v>14</v>
      </c>
      <c r="B16" s="25" t="s">
        <v>66</v>
      </c>
      <c r="C16" s="29" t="s">
        <v>67</v>
      </c>
      <c r="D16" s="27" t="s">
        <v>68</v>
      </c>
      <c r="E16" s="28">
        <v>0.30120000000000002</v>
      </c>
      <c r="F16" s="62"/>
      <c r="G16" s="62"/>
      <c r="H16" s="34">
        <v>16</v>
      </c>
      <c r="I16" s="66"/>
      <c r="J16" s="69"/>
      <c r="K16" s="69"/>
      <c r="L16" s="62"/>
      <c r="M16" s="62"/>
      <c r="N16" s="34">
        <v>16</v>
      </c>
      <c r="O16" s="69"/>
      <c r="P16" s="69"/>
    </row>
    <row r="17" spans="1:16" ht="60" customHeight="1" x14ac:dyDescent="0.2">
      <c r="A17" s="24" t="s">
        <v>14</v>
      </c>
      <c r="B17" s="25" t="s">
        <v>69</v>
      </c>
      <c r="C17" s="29" t="s">
        <v>70</v>
      </c>
      <c r="D17" s="27" t="s">
        <v>56</v>
      </c>
      <c r="E17" s="28">
        <v>0.316</v>
      </c>
      <c r="F17" s="63"/>
      <c r="G17" s="63"/>
      <c r="H17" s="13">
        <v>16</v>
      </c>
      <c r="I17" s="66"/>
      <c r="J17" s="69"/>
      <c r="K17" s="69"/>
      <c r="L17" s="63"/>
      <c r="M17" s="63"/>
      <c r="N17" s="13">
        <v>16</v>
      </c>
      <c r="O17" s="69"/>
      <c r="P17" s="69"/>
    </row>
    <row r="18" spans="1:16" ht="60" customHeight="1" x14ac:dyDescent="0.2">
      <c r="A18" s="24" t="s">
        <v>14</v>
      </c>
      <c r="B18" s="35" t="s">
        <v>71</v>
      </c>
      <c r="C18" s="26" t="s">
        <v>72</v>
      </c>
      <c r="D18" s="27" t="s">
        <v>56</v>
      </c>
      <c r="E18" s="28" t="s">
        <v>56</v>
      </c>
      <c r="F18" s="61" t="s">
        <v>73</v>
      </c>
      <c r="G18" s="65"/>
      <c r="H18" s="34">
        <v>20</v>
      </c>
      <c r="I18" s="67"/>
      <c r="J18" s="57" t="s">
        <v>74</v>
      </c>
      <c r="K18" s="58"/>
      <c r="L18" s="61" t="s">
        <v>75</v>
      </c>
      <c r="M18" s="65"/>
      <c r="N18" s="34">
        <v>20</v>
      </c>
      <c r="O18" s="57"/>
      <c r="P18" s="58"/>
    </row>
    <row r="19" spans="1:16" ht="60" customHeight="1" x14ac:dyDescent="0.2">
      <c r="A19" s="24" t="s">
        <v>14</v>
      </c>
      <c r="B19" s="35" t="s">
        <v>76</v>
      </c>
      <c r="C19" s="26" t="s">
        <v>77</v>
      </c>
      <c r="D19" s="27" t="s">
        <v>56</v>
      </c>
      <c r="E19" s="28" t="s">
        <v>56</v>
      </c>
      <c r="F19" s="64"/>
      <c r="G19" s="63"/>
      <c r="H19" s="34">
        <v>20</v>
      </c>
      <c r="I19" s="68"/>
      <c r="J19" s="59"/>
      <c r="K19" s="60"/>
      <c r="L19" s="64"/>
      <c r="M19" s="63"/>
      <c r="N19" s="34">
        <v>20</v>
      </c>
      <c r="O19" s="59"/>
      <c r="P19" s="60"/>
    </row>
  </sheetData>
  <autoFilter ref="A2:J19"/>
  <mergeCells count="36">
    <mergeCell ref="A1:E1"/>
    <mergeCell ref="F1:K1"/>
    <mergeCell ref="L1:P1"/>
    <mergeCell ref="F3:F6"/>
    <mergeCell ref="F7:F13"/>
    <mergeCell ref="H3:H6"/>
    <mergeCell ref="I3:I6"/>
    <mergeCell ref="I7:I9"/>
    <mergeCell ref="L3:L6"/>
    <mergeCell ref="L7:L13"/>
    <mergeCell ref="N3:N6"/>
    <mergeCell ref="O3:O6"/>
    <mergeCell ref="O7:O17"/>
    <mergeCell ref="P3:P6"/>
    <mergeCell ref="P7:P13"/>
    <mergeCell ref="P14:P17"/>
    <mergeCell ref="F14:F17"/>
    <mergeCell ref="F18:F19"/>
    <mergeCell ref="G3:G6"/>
    <mergeCell ref="G7:G13"/>
    <mergeCell ref="G14:G17"/>
    <mergeCell ref="G18:G19"/>
    <mergeCell ref="I14:I17"/>
    <mergeCell ref="I18:I19"/>
    <mergeCell ref="J3:J6"/>
    <mergeCell ref="J7:J17"/>
    <mergeCell ref="K3:K6"/>
    <mergeCell ref="K7:K13"/>
    <mergeCell ref="K14:K17"/>
    <mergeCell ref="J18:K19"/>
    <mergeCell ref="O18:P19"/>
    <mergeCell ref="L14:L17"/>
    <mergeCell ref="L18:L19"/>
    <mergeCell ref="M3:M6"/>
    <mergeCell ref="M7:M17"/>
    <mergeCell ref="M18:M19"/>
  </mergeCells>
  <phoneticPr fontId="8" type="noConversion"/>
  <conditionalFormatting sqref="B3:B17">
    <cfRule type="duplicateValues" dxfId="5" priority="9"/>
  </conditionalFormatting>
  <conditionalFormatting sqref="B18:B19">
    <cfRule type="duplicateValues" dxfId="4" priority="1"/>
    <cfRule type="duplicateValues" dxfId="3" priority="2"/>
    <cfRule type="duplicateValues" dxfId="2" priority="3"/>
  </conditionalFormatting>
  <conditionalFormatting sqref="B20:B1048576 B2:B17">
    <cfRule type="duplicateValues" dxfId="1" priority="4"/>
    <cfRule type="duplicateValues" dxfId="0" priority="5"/>
  </conditionalFormatting>
  <hyperlinks>
    <hyperlink ref="C3" location="靠背泡沫!A1" display="靠背泡棉总成"/>
  </hyperlinks>
  <printOptions horizontalCentered="1"/>
  <pageMargins left="0.70866141732283505" right="0.70866141732283505" top="0.74803149606299202" bottom="0.74803149606299202" header="0.31496062992126" footer="0.31496062992126"/>
  <pageSetup paperSize="9" scale="60" orientation="landscape" verticalDpi="1200"/>
  <ignoredErrors>
    <ignoredError sqref="E1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K53"/>
  <sheetViews>
    <sheetView zoomScale="115" zoomScaleNormal="115" workbookViewId="0">
      <selection activeCell="H20" sqref="H20"/>
    </sheetView>
  </sheetViews>
  <sheetFormatPr defaultColWidth="9" defaultRowHeight="14.25" x14ac:dyDescent="0.2"/>
  <cols>
    <col min="1" max="1" width="11.875" customWidth="1"/>
    <col min="2" max="2" width="23.5" customWidth="1"/>
    <col min="7" max="7" width="15.25" customWidth="1"/>
    <col min="8" max="8" width="21.875" customWidth="1"/>
    <col min="9" max="9" width="22.625" style="1" customWidth="1"/>
  </cols>
  <sheetData>
    <row r="19" spans="1:11" x14ac:dyDescent="0.2">
      <c r="A19" s="2" t="s">
        <v>78</v>
      </c>
      <c r="B19" s="20">
        <v>128</v>
      </c>
      <c r="C19" s="2" t="s">
        <v>79</v>
      </c>
      <c r="D19" s="2" t="s">
        <v>80</v>
      </c>
      <c r="E19" s="2" t="s">
        <v>81</v>
      </c>
      <c r="G19" s="1" t="s">
        <v>82</v>
      </c>
      <c r="H19" s="12">
        <v>120000</v>
      </c>
      <c r="I19"/>
    </row>
    <row r="20" spans="1:11" x14ac:dyDescent="0.2">
      <c r="A20" s="81" t="s">
        <v>83</v>
      </c>
      <c r="B20" s="82"/>
      <c r="C20" s="2">
        <v>1430</v>
      </c>
      <c r="D20" s="2">
        <f>1150+50+1600</f>
        <v>2800</v>
      </c>
      <c r="E20" s="2">
        <f>750+50+1200</f>
        <v>2000</v>
      </c>
      <c r="G20" s="1"/>
      <c r="H20" t="s">
        <v>84</v>
      </c>
      <c r="I20"/>
    </row>
    <row r="21" spans="1:11" x14ac:dyDescent="0.2">
      <c r="A21" s="2" t="s">
        <v>85</v>
      </c>
      <c r="B21" s="2">
        <v>4</v>
      </c>
      <c r="H21" s="1"/>
      <c r="I21"/>
    </row>
    <row r="22" spans="1:11" x14ac:dyDescent="0.2">
      <c r="A22" s="2" t="s">
        <v>86</v>
      </c>
      <c r="B22" s="2">
        <v>2</v>
      </c>
      <c r="H22" s="1"/>
      <c r="I22" t="s">
        <v>87</v>
      </c>
    </row>
    <row r="23" spans="1:11" x14ac:dyDescent="0.2">
      <c r="A23" s="2" t="s">
        <v>88</v>
      </c>
      <c r="B23" s="2">
        <v>4</v>
      </c>
      <c r="H23" s="1"/>
      <c r="I23"/>
    </row>
    <row r="24" spans="1:11" x14ac:dyDescent="0.2">
      <c r="A24" s="2" t="s">
        <v>89</v>
      </c>
      <c r="B24" s="2">
        <v>4</v>
      </c>
      <c r="H24" s="1"/>
      <c r="I24"/>
    </row>
    <row r="25" spans="1:11" x14ac:dyDescent="0.2">
      <c r="A25" s="2" t="s">
        <v>90</v>
      </c>
      <c r="B25" s="2">
        <v>4</v>
      </c>
      <c r="H25" s="1"/>
      <c r="I25"/>
    </row>
    <row r="26" spans="1:11" x14ac:dyDescent="0.2">
      <c r="A26" s="2" t="s">
        <v>91</v>
      </c>
      <c r="B26" s="8">
        <f>SUM(B21:B25)</f>
        <v>18</v>
      </c>
      <c r="H26" s="1"/>
      <c r="I26"/>
    </row>
    <row r="27" spans="1:11" x14ac:dyDescent="0.2">
      <c r="H27" s="1"/>
      <c r="I27"/>
    </row>
    <row r="29" spans="1:11" x14ac:dyDescent="0.2">
      <c r="A29" s="2" t="s">
        <v>4</v>
      </c>
      <c r="B29" s="13" t="s">
        <v>5</v>
      </c>
      <c r="C29" s="2" t="s">
        <v>92</v>
      </c>
      <c r="D29" s="2" t="s">
        <v>93</v>
      </c>
      <c r="E29" s="21"/>
      <c r="G29" s="2" t="s">
        <v>8</v>
      </c>
      <c r="H29" s="2" t="s">
        <v>94</v>
      </c>
      <c r="I29" s="2" t="s">
        <v>95</v>
      </c>
      <c r="J29" s="13" t="s">
        <v>96</v>
      </c>
      <c r="K29" s="13" t="s">
        <v>97</v>
      </c>
    </row>
    <row r="30" spans="1:11" x14ac:dyDescent="0.2">
      <c r="A30" s="2" t="s">
        <v>15</v>
      </c>
      <c r="B30" s="2" t="s">
        <v>16</v>
      </c>
      <c r="C30" s="2">
        <v>12</v>
      </c>
      <c r="D30" s="2">
        <f>120000/C30/2</f>
        <v>5000</v>
      </c>
      <c r="E30" s="22"/>
      <c r="G30" s="2" t="s">
        <v>98</v>
      </c>
      <c r="H30" s="2" t="s">
        <v>99</v>
      </c>
      <c r="I30" s="2">
        <f>ROUNDUP(D34*(1+10%),0)</f>
        <v>22000</v>
      </c>
      <c r="J30" s="18">
        <v>6.5</v>
      </c>
      <c r="K30" s="2">
        <f>J30*I30</f>
        <v>143000</v>
      </c>
    </row>
    <row r="31" spans="1:11" x14ac:dyDescent="0.2">
      <c r="A31" s="2" t="s">
        <v>22</v>
      </c>
      <c r="B31" s="2" t="s">
        <v>16</v>
      </c>
      <c r="C31" s="2">
        <v>12</v>
      </c>
      <c r="D31" s="2">
        <f t="shared" ref="D31:D33" si="0">120000/C31/2</f>
        <v>5000</v>
      </c>
      <c r="E31" s="22"/>
      <c r="G31" s="2" t="s">
        <v>100</v>
      </c>
      <c r="H31" s="2" t="s">
        <v>101</v>
      </c>
      <c r="I31" s="2">
        <f>ROUNDUP(D43*(1+10%),0)</f>
        <v>1219</v>
      </c>
      <c r="J31" s="18">
        <v>31</v>
      </c>
      <c r="K31" s="2">
        <f t="shared" ref="K31:K35" si="1">J31*I31</f>
        <v>37789</v>
      </c>
    </row>
    <row r="32" spans="1:11" x14ac:dyDescent="0.2">
      <c r="A32" s="2" t="s">
        <v>24</v>
      </c>
      <c r="B32" s="2" t="s">
        <v>25</v>
      </c>
      <c r="C32" s="2">
        <v>12</v>
      </c>
      <c r="D32" s="2">
        <f t="shared" si="0"/>
        <v>5000</v>
      </c>
      <c r="E32" s="22"/>
      <c r="G32" s="13" t="s">
        <v>102</v>
      </c>
      <c r="H32" s="2" t="s">
        <v>103</v>
      </c>
      <c r="I32" s="2">
        <f>ROUNDUP(E43*(1+10%),0)+ROUNDUP(E49*(1+10%),0)</f>
        <v>133</v>
      </c>
      <c r="J32" s="18">
        <v>277</v>
      </c>
      <c r="K32" s="2">
        <f t="shared" si="1"/>
        <v>36841</v>
      </c>
    </row>
    <row r="33" spans="1:11" x14ac:dyDescent="0.2">
      <c r="A33" s="2" t="s">
        <v>28</v>
      </c>
      <c r="B33" s="2" t="s">
        <v>29</v>
      </c>
      <c r="C33" s="2">
        <v>12</v>
      </c>
      <c r="D33" s="2">
        <f t="shared" si="0"/>
        <v>5000</v>
      </c>
      <c r="E33" s="22"/>
      <c r="G33" s="2" t="s">
        <v>104</v>
      </c>
      <c r="H33" s="13" t="s">
        <v>105</v>
      </c>
      <c r="I33" s="2">
        <f>ROUNDUP(D49*(1+10%),0)</f>
        <v>634</v>
      </c>
      <c r="J33" s="18">
        <v>72</v>
      </c>
      <c r="K33" s="2">
        <f t="shared" si="1"/>
        <v>45648</v>
      </c>
    </row>
    <row r="34" spans="1:11" x14ac:dyDescent="0.2">
      <c r="C34" s="2" t="s">
        <v>91</v>
      </c>
      <c r="D34" s="8">
        <f>SUM(D27:D33)</f>
        <v>20000</v>
      </c>
      <c r="E34" s="22"/>
      <c r="G34" s="2" t="s">
        <v>106</v>
      </c>
      <c r="H34" s="13" t="s">
        <v>107</v>
      </c>
      <c r="I34" s="2">
        <f>ROUNDUP(D53*(1+10%),0)</f>
        <v>256</v>
      </c>
      <c r="J34" s="18">
        <v>500</v>
      </c>
      <c r="K34" s="2">
        <f t="shared" si="1"/>
        <v>128000</v>
      </c>
    </row>
    <row r="35" spans="1:11" x14ac:dyDescent="0.2">
      <c r="A35" s="2" t="s">
        <v>4</v>
      </c>
      <c r="B35" s="13" t="s">
        <v>5</v>
      </c>
      <c r="C35" s="2" t="s">
        <v>92</v>
      </c>
      <c r="D35" s="2" t="s">
        <v>108</v>
      </c>
      <c r="E35" s="2" t="s">
        <v>109</v>
      </c>
      <c r="G35" s="13" t="s">
        <v>110</v>
      </c>
      <c r="H35" s="2" t="s">
        <v>111</v>
      </c>
      <c r="I35" s="2">
        <f>I34</f>
        <v>256</v>
      </c>
      <c r="J35" s="18">
        <v>90</v>
      </c>
      <c r="K35" s="2">
        <f t="shared" si="1"/>
        <v>23040</v>
      </c>
    </row>
    <row r="36" spans="1:11" x14ac:dyDescent="0.2">
      <c r="A36" s="2" t="s">
        <v>31</v>
      </c>
      <c r="B36" s="2" t="s">
        <v>32</v>
      </c>
      <c r="C36" s="2">
        <v>10</v>
      </c>
      <c r="D36" s="2">
        <f t="shared" ref="D36:D42" si="2">ROUNDUP($B$26*$B$19/C36,0)</f>
        <v>231</v>
      </c>
      <c r="E36" s="2">
        <f>ROUNDUP(D36/16,0)</f>
        <v>15</v>
      </c>
      <c r="J36" s="2" t="s">
        <v>91</v>
      </c>
      <c r="K36" s="8">
        <f>SUM(K30:K35)</f>
        <v>414318</v>
      </c>
    </row>
    <row r="37" spans="1:11" x14ac:dyDescent="0.2">
      <c r="A37" s="2" t="s">
        <v>40</v>
      </c>
      <c r="B37" s="2" t="s">
        <v>32</v>
      </c>
      <c r="C37" s="2">
        <v>10</v>
      </c>
      <c r="D37" s="2">
        <f t="shared" si="2"/>
        <v>231</v>
      </c>
      <c r="E37" s="2">
        <f t="shared" ref="E37:E42" si="3">ROUNDUP(D37/16,0)</f>
        <v>15</v>
      </c>
    </row>
    <row r="38" spans="1:11" x14ac:dyDescent="0.2">
      <c r="A38" s="2" t="s">
        <v>41</v>
      </c>
      <c r="B38" s="2" t="s">
        <v>42</v>
      </c>
      <c r="C38" s="2">
        <v>10</v>
      </c>
      <c r="D38" s="2">
        <f t="shared" si="2"/>
        <v>231</v>
      </c>
      <c r="E38" s="2">
        <f t="shared" si="3"/>
        <v>15</v>
      </c>
      <c r="G38" s="13" t="s">
        <v>112</v>
      </c>
      <c r="H38" s="14">
        <f>K36/H19</f>
        <v>3.4526500000000002</v>
      </c>
    </row>
    <row r="39" spans="1:11" x14ac:dyDescent="0.2">
      <c r="A39" s="2" t="s">
        <v>44</v>
      </c>
      <c r="B39" s="2" t="s">
        <v>45</v>
      </c>
      <c r="C39" s="2">
        <v>24</v>
      </c>
      <c r="D39" s="2">
        <f t="shared" si="2"/>
        <v>96</v>
      </c>
      <c r="E39" s="2">
        <f t="shared" si="3"/>
        <v>6</v>
      </c>
    </row>
    <row r="40" spans="1:11" x14ac:dyDescent="0.2">
      <c r="A40" s="2" t="s">
        <v>47</v>
      </c>
      <c r="B40" s="2" t="s">
        <v>48</v>
      </c>
      <c r="C40" s="2">
        <v>36</v>
      </c>
      <c r="D40" s="2">
        <f t="shared" si="2"/>
        <v>64</v>
      </c>
      <c r="E40" s="2">
        <f t="shared" si="3"/>
        <v>4</v>
      </c>
    </row>
    <row r="41" spans="1:11" x14ac:dyDescent="0.2">
      <c r="A41" s="2" t="s">
        <v>50</v>
      </c>
      <c r="B41" s="2" t="s">
        <v>51</v>
      </c>
      <c r="C41" s="2">
        <v>10</v>
      </c>
      <c r="D41" s="2">
        <f t="shared" si="2"/>
        <v>231</v>
      </c>
      <c r="E41" s="2">
        <f t="shared" si="3"/>
        <v>15</v>
      </c>
    </row>
    <row r="42" spans="1:11" x14ac:dyDescent="0.2">
      <c r="A42" s="2" t="s">
        <v>54</v>
      </c>
      <c r="B42" s="2" t="s">
        <v>55</v>
      </c>
      <c r="C42" s="2">
        <v>100</v>
      </c>
      <c r="D42" s="2">
        <f t="shared" si="2"/>
        <v>24</v>
      </c>
      <c r="E42" s="2">
        <f t="shared" si="3"/>
        <v>2</v>
      </c>
    </row>
    <row r="43" spans="1:11" x14ac:dyDescent="0.2">
      <c r="A43" s="1"/>
      <c r="B43" s="1"/>
      <c r="C43" s="2" t="s">
        <v>91</v>
      </c>
      <c r="D43" s="8">
        <f>SUM(D36:D42)</f>
        <v>1108</v>
      </c>
      <c r="E43" s="8">
        <f>SUM(E36:E42)</f>
        <v>72</v>
      </c>
    </row>
    <row r="44" spans="1:11" x14ac:dyDescent="0.2">
      <c r="A44" s="2" t="s">
        <v>4</v>
      </c>
      <c r="B44" s="13" t="s">
        <v>5</v>
      </c>
      <c r="C44" s="2" t="s">
        <v>92</v>
      </c>
      <c r="D44" s="2" t="s">
        <v>108</v>
      </c>
      <c r="E44" s="2" t="s">
        <v>109</v>
      </c>
    </row>
    <row r="45" spans="1:11" x14ac:dyDescent="0.2">
      <c r="A45" s="2" t="s">
        <v>57</v>
      </c>
      <c r="B45" s="2" t="s">
        <v>58</v>
      </c>
      <c r="C45" s="2">
        <v>16</v>
      </c>
      <c r="D45" s="2">
        <f>ROUNDUP($B$26*$B$19/C45,0)</f>
        <v>144</v>
      </c>
      <c r="E45" s="2">
        <f>ROUNDUP(D45/12,0)</f>
        <v>12</v>
      </c>
    </row>
    <row r="46" spans="1:11" x14ac:dyDescent="0.2">
      <c r="A46" s="2" t="s">
        <v>64</v>
      </c>
      <c r="B46" s="2" t="s">
        <v>65</v>
      </c>
      <c r="C46" s="2">
        <v>16</v>
      </c>
      <c r="D46" s="2">
        <f>ROUNDUP($B$26*$B$19/C46,0)</f>
        <v>144</v>
      </c>
      <c r="E46" s="2">
        <f t="shared" ref="E46:E48" si="4">ROUNDUP(D46/12,0)</f>
        <v>12</v>
      </c>
    </row>
    <row r="47" spans="1:11" x14ac:dyDescent="0.2">
      <c r="A47" s="2" t="s">
        <v>66</v>
      </c>
      <c r="B47" s="2" t="s">
        <v>67</v>
      </c>
      <c r="C47" s="2">
        <v>16</v>
      </c>
      <c r="D47" s="2">
        <f>ROUNDUP($B$26*$B$19/C47,0)</f>
        <v>144</v>
      </c>
      <c r="E47" s="2">
        <f t="shared" si="4"/>
        <v>12</v>
      </c>
    </row>
    <row r="48" spans="1:11" x14ac:dyDescent="0.2">
      <c r="A48" s="2" t="s">
        <v>69</v>
      </c>
      <c r="B48" s="2" t="s">
        <v>70</v>
      </c>
      <c r="C48" s="2">
        <v>16</v>
      </c>
      <c r="D48" s="2">
        <f>ROUNDUP($B$26*$B$19/C48,0)</f>
        <v>144</v>
      </c>
      <c r="E48" s="2">
        <f t="shared" si="4"/>
        <v>12</v>
      </c>
    </row>
    <row r="49" spans="1:5" x14ac:dyDescent="0.2">
      <c r="A49" s="1"/>
      <c r="B49" s="1"/>
      <c r="C49" s="2" t="s">
        <v>91</v>
      </c>
      <c r="D49" s="8">
        <f>SUM(D45:D48)</f>
        <v>576</v>
      </c>
      <c r="E49" s="8">
        <f>SUM(E45:E48)</f>
        <v>48</v>
      </c>
    </row>
    <row r="50" spans="1:5" x14ac:dyDescent="0.2">
      <c r="A50" s="2" t="s">
        <v>4</v>
      </c>
      <c r="B50" s="13" t="s">
        <v>5</v>
      </c>
      <c r="C50" s="15" t="s">
        <v>92</v>
      </c>
      <c r="D50" s="15" t="s">
        <v>106</v>
      </c>
      <c r="E50" s="1"/>
    </row>
    <row r="51" spans="1:5" x14ac:dyDescent="0.2">
      <c r="A51" s="2" t="s">
        <v>71</v>
      </c>
      <c r="B51" s="2" t="s">
        <v>72</v>
      </c>
      <c r="C51" s="2">
        <v>20</v>
      </c>
      <c r="D51" s="2">
        <f>ROUNDUP($B$26*$B$19/C51,0)</f>
        <v>116</v>
      </c>
      <c r="E51" s="1"/>
    </row>
    <row r="52" spans="1:5" x14ac:dyDescent="0.2">
      <c r="A52" s="2" t="s">
        <v>76</v>
      </c>
      <c r="B52" s="2" t="s">
        <v>77</v>
      </c>
      <c r="C52" s="2">
        <v>20</v>
      </c>
      <c r="D52" s="2">
        <f>ROUNDUP($B$26*$B$19/C52,0)</f>
        <v>116</v>
      </c>
      <c r="E52" s="17"/>
    </row>
    <row r="53" spans="1:5" x14ac:dyDescent="0.2">
      <c r="A53" s="1"/>
      <c r="B53" s="1"/>
      <c r="C53" s="2" t="s">
        <v>91</v>
      </c>
      <c r="D53" s="8">
        <f>SUM(D51:D52)</f>
        <v>232</v>
      </c>
      <c r="E53" s="1"/>
    </row>
  </sheetData>
  <mergeCells count="1">
    <mergeCell ref="A20:B20"/>
  </mergeCells>
  <phoneticPr fontId="8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0"/>
  <sheetViews>
    <sheetView zoomScale="115" zoomScaleNormal="115" workbookViewId="0">
      <selection activeCell="F8" sqref="F8"/>
    </sheetView>
  </sheetViews>
  <sheetFormatPr defaultColWidth="9" defaultRowHeight="14.25" x14ac:dyDescent="0.2"/>
  <cols>
    <col min="1" max="1" width="11.875" customWidth="1"/>
    <col min="2" max="2" width="23.5" customWidth="1"/>
    <col min="7" max="7" width="18.875" customWidth="1"/>
    <col min="8" max="8" width="21.875" customWidth="1"/>
    <col min="9" max="9" width="22.625" style="1" customWidth="1"/>
  </cols>
  <sheetData>
    <row r="8" spans="1:9" x14ac:dyDescent="0.2">
      <c r="E8" t="s">
        <v>82</v>
      </c>
      <c r="F8" s="12">
        <f>循环包装成本测算!H19</f>
        <v>120000</v>
      </c>
    </row>
    <row r="11" spans="1:9" x14ac:dyDescent="0.2">
      <c r="G11" s="16" t="s">
        <v>113</v>
      </c>
    </row>
    <row r="12" spans="1:9" x14ac:dyDescent="0.2">
      <c r="A12" s="2" t="s">
        <v>4</v>
      </c>
      <c r="B12" s="13" t="s">
        <v>5</v>
      </c>
      <c r="C12" s="2" t="s">
        <v>92</v>
      </c>
      <c r="D12" s="2" t="s">
        <v>108</v>
      </c>
      <c r="E12" s="2" t="s">
        <v>109</v>
      </c>
      <c r="G12" s="13" t="s">
        <v>8</v>
      </c>
      <c r="H12" s="13" t="s">
        <v>114</v>
      </c>
      <c r="I12" s="13" t="s">
        <v>115</v>
      </c>
    </row>
    <row r="13" spans="1:9" x14ac:dyDescent="0.2">
      <c r="A13" s="2" t="s">
        <v>31</v>
      </c>
      <c r="B13" s="2" t="s">
        <v>32</v>
      </c>
      <c r="C13" s="2">
        <v>10</v>
      </c>
      <c r="D13" s="2">
        <f>ROUNDUP($F$8/C13,0)</f>
        <v>12000</v>
      </c>
      <c r="E13" s="2">
        <f>ROUNDUP(D13/16,0)</f>
        <v>750</v>
      </c>
      <c r="G13" s="2" t="s">
        <v>116</v>
      </c>
      <c r="H13" s="2">
        <f>ROUNDUP((E20+E26)/64,0)*2</f>
        <v>192</v>
      </c>
      <c r="I13" s="19">
        <f>1.2*0.8*1.07*64/84</f>
        <v>0.78262857142857156</v>
      </c>
    </row>
    <row r="14" spans="1:9" x14ac:dyDescent="0.2">
      <c r="A14" s="2" t="s">
        <v>40</v>
      </c>
      <c r="B14" s="2" t="s">
        <v>32</v>
      </c>
      <c r="C14" s="2">
        <v>10</v>
      </c>
      <c r="D14" s="2">
        <f t="shared" ref="D14:D19" si="0">ROUNDUP($F$8/C14,0)</f>
        <v>12000</v>
      </c>
      <c r="E14" s="2">
        <f t="shared" ref="E14:E19" si="1">ROUNDUP(D14/16,0)</f>
        <v>750</v>
      </c>
      <c r="G14" s="18" t="s">
        <v>117</v>
      </c>
      <c r="H14" s="2">
        <f>ROUNDUP(D30/52,0)</f>
        <v>116</v>
      </c>
      <c r="I14" s="19">
        <f>1.2*1*1.08*52/84</f>
        <v>0.80228571428571427</v>
      </c>
    </row>
    <row r="15" spans="1:9" x14ac:dyDescent="0.2">
      <c r="A15" s="2" t="s">
        <v>41</v>
      </c>
      <c r="B15" s="2" t="s">
        <v>42</v>
      </c>
      <c r="C15" s="2">
        <v>10</v>
      </c>
      <c r="D15" s="2">
        <f t="shared" si="0"/>
        <v>12000</v>
      </c>
      <c r="E15" s="2">
        <f t="shared" si="1"/>
        <v>750</v>
      </c>
      <c r="G15" s="2" t="s">
        <v>118</v>
      </c>
      <c r="H15" s="2">
        <f>ROUNDUP(D30/520,0)</f>
        <v>12</v>
      </c>
      <c r="I15" s="19">
        <f>1.2*1*0.235*260/84</f>
        <v>0.87285714285714278</v>
      </c>
    </row>
    <row r="16" spans="1:9" x14ac:dyDescent="0.2">
      <c r="A16" s="2" t="s">
        <v>44</v>
      </c>
      <c r="B16" s="2" t="s">
        <v>45</v>
      </c>
      <c r="C16" s="2">
        <v>24</v>
      </c>
      <c r="D16" s="2">
        <f t="shared" si="0"/>
        <v>5000</v>
      </c>
      <c r="E16" s="2">
        <f t="shared" si="1"/>
        <v>313</v>
      </c>
      <c r="G16" s="15" t="s">
        <v>91</v>
      </c>
      <c r="H16" s="15">
        <f>SUM(H13:H15)</f>
        <v>320</v>
      </c>
      <c r="I16"/>
    </row>
    <row r="17" spans="1:9" x14ac:dyDescent="0.2">
      <c r="A17" s="2" t="s">
        <v>47</v>
      </c>
      <c r="B17" s="2" t="s">
        <v>48</v>
      </c>
      <c r="C17" s="2">
        <v>36</v>
      </c>
      <c r="D17" s="2">
        <f t="shared" si="0"/>
        <v>3334</v>
      </c>
      <c r="E17" s="2">
        <f t="shared" si="1"/>
        <v>209</v>
      </c>
      <c r="G17" s="2" t="s">
        <v>119</v>
      </c>
      <c r="H17" s="8">
        <f>11000*H16</f>
        <v>3520000</v>
      </c>
      <c r="I17"/>
    </row>
    <row r="18" spans="1:9" x14ac:dyDescent="0.2">
      <c r="A18" s="2" t="s">
        <v>50</v>
      </c>
      <c r="B18" s="2" t="s">
        <v>51</v>
      </c>
      <c r="C18" s="2">
        <v>10</v>
      </c>
      <c r="D18" s="2">
        <f t="shared" si="0"/>
        <v>12000</v>
      </c>
      <c r="E18" s="2">
        <f t="shared" si="1"/>
        <v>750</v>
      </c>
      <c r="I18"/>
    </row>
    <row r="19" spans="1:9" x14ac:dyDescent="0.2">
      <c r="A19" s="2" t="s">
        <v>54</v>
      </c>
      <c r="B19" s="2" t="s">
        <v>55</v>
      </c>
      <c r="C19" s="2">
        <v>100</v>
      </c>
      <c r="D19" s="2">
        <f t="shared" si="0"/>
        <v>1200</v>
      </c>
      <c r="E19" s="2">
        <f t="shared" si="1"/>
        <v>75</v>
      </c>
    </row>
    <row r="20" spans="1:9" x14ac:dyDescent="0.2">
      <c r="A20" s="1"/>
      <c r="B20" s="1"/>
      <c r="D20" s="2" t="s">
        <v>91</v>
      </c>
      <c r="E20" s="8">
        <f>SUM(E13:E19)</f>
        <v>3597</v>
      </c>
    </row>
    <row r="21" spans="1:9" x14ac:dyDescent="0.2">
      <c r="A21" s="2" t="s">
        <v>4</v>
      </c>
      <c r="B21" s="13" t="s">
        <v>5</v>
      </c>
      <c r="C21" s="2" t="s">
        <v>92</v>
      </c>
      <c r="D21" s="2" t="s">
        <v>108</v>
      </c>
      <c r="E21" s="2" t="s">
        <v>109</v>
      </c>
      <c r="G21" s="13" t="s">
        <v>120</v>
      </c>
      <c r="H21" s="14">
        <f>H17/F8</f>
        <v>29.333333333333332</v>
      </c>
    </row>
    <row r="22" spans="1:9" x14ac:dyDescent="0.2">
      <c r="A22" s="2" t="s">
        <v>57</v>
      </c>
      <c r="B22" s="2" t="s">
        <v>58</v>
      </c>
      <c r="C22" s="2">
        <v>16</v>
      </c>
      <c r="D22" s="2">
        <f t="shared" ref="D22:D25" si="2">ROUNDUP($F$8/C22,0)</f>
        <v>7500</v>
      </c>
      <c r="E22" s="2">
        <f>ROUNDUP(D22/12,0)</f>
        <v>625</v>
      </c>
    </row>
    <row r="23" spans="1:9" x14ac:dyDescent="0.2">
      <c r="A23" s="2" t="s">
        <v>64</v>
      </c>
      <c r="B23" s="2" t="s">
        <v>65</v>
      </c>
      <c r="C23" s="2">
        <v>16</v>
      </c>
      <c r="D23" s="2">
        <f t="shared" si="2"/>
        <v>7500</v>
      </c>
      <c r="E23" s="2">
        <f t="shared" ref="E23:E25" si="3">ROUNDUP(D23/12,0)</f>
        <v>625</v>
      </c>
    </row>
    <row r="24" spans="1:9" x14ac:dyDescent="0.2">
      <c r="A24" s="2" t="s">
        <v>66</v>
      </c>
      <c r="B24" s="2" t="s">
        <v>67</v>
      </c>
      <c r="C24" s="2">
        <v>16</v>
      </c>
      <c r="D24" s="2">
        <f t="shared" si="2"/>
        <v>7500</v>
      </c>
      <c r="E24" s="2">
        <f t="shared" si="3"/>
        <v>625</v>
      </c>
    </row>
    <row r="25" spans="1:9" x14ac:dyDescent="0.2">
      <c r="A25" s="2" t="s">
        <v>69</v>
      </c>
      <c r="B25" s="2" t="s">
        <v>70</v>
      </c>
      <c r="C25" s="2">
        <v>16</v>
      </c>
      <c r="D25" s="2">
        <f t="shared" si="2"/>
        <v>7500</v>
      </c>
      <c r="E25" s="2">
        <f t="shared" si="3"/>
        <v>625</v>
      </c>
    </row>
    <row r="26" spans="1:9" x14ac:dyDescent="0.2">
      <c r="A26" s="1"/>
      <c r="B26" s="1"/>
      <c r="D26" s="2" t="s">
        <v>91</v>
      </c>
      <c r="E26" s="8">
        <f>SUM(E22:E25)</f>
        <v>2500</v>
      </c>
    </row>
    <row r="27" spans="1:9" x14ac:dyDescent="0.2">
      <c r="A27" s="2" t="s">
        <v>4</v>
      </c>
      <c r="B27" s="13" t="s">
        <v>5</v>
      </c>
      <c r="C27" s="15" t="s">
        <v>92</v>
      </c>
      <c r="D27" s="15" t="s">
        <v>106</v>
      </c>
      <c r="E27" s="1"/>
    </row>
    <row r="28" spans="1:9" x14ac:dyDescent="0.2">
      <c r="A28" s="2" t="s">
        <v>71</v>
      </c>
      <c r="B28" s="2" t="s">
        <v>72</v>
      </c>
      <c r="C28" s="2">
        <v>20</v>
      </c>
      <c r="D28" s="2">
        <f t="shared" ref="D28:D29" si="4">ROUNDUP($F$8/C28,0)</f>
        <v>6000</v>
      </c>
      <c r="E28" s="1"/>
    </row>
    <row r="29" spans="1:9" x14ac:dyDescent="0.2">
      <c r="A29" s="2" t="s">
        <v>76</v>
      </c>
      <c r="B29" s="2" t="s">
        <v>77</v>
      </c>
      <c r="C29" s="2">
        <v>20</v>
      </c>
      <c r="D29" s="2">
        <f t="shared" si="4"/>
        <v>6000</v>
      </c>
      <c r="E29" s="17"/>
    </row>
    <row r="30" spans="1:9" x14ac:dyDescent="0.2">
      <c r="A30" s="1"/>
      <c r="B30" s="1"/>
      <c r="C30" s="2" t="s">
        <v>91</v>
      </c>
      <c r="D30" s="8">
        <f>D29</f>
        <v>6000</v>
      </c>
      <c r="E30" s="1"/>
    </row>
  </sheetData>
  <phoneticPr fontId="8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opLeftCell="B3" zoomScale="115" zoomScaleNormal="115" workbookViewId="0">
      <selection activeCell="K15" sqref="K15"/>
    </sheetView>
  </sheetViews>
  <sheetFormatPr defaultColWidth="9" defaultRowHeight="14.25" x14ac:dyDescent="0.2"/>
  <cols>
    <col min="1" max="1" width="11.875" customWidth="1"/>
    <col min="2" max="2" width="23.5" customWidth="1"/>
    <col min="7" max="7" width="15.25" customWidth="1"/>
    <col min="8" max="8" width="21.875" customWidth="1"/>
    <col min="9" max="9" width="22.625" style="1" customWidth="1"/>
  </cols>
  <sheetData>
    <row r="7" spans="1:11" x14ac:dyDescent="0.2">
      <c r="E7" t="s">
        <v>82</v>
      </c>
      <c r="F7" s="12">
        <f>循环包装成本测算!H19</f>
        <v>120000</v>
      </c>
    </row>
    <row r="9" spans="1:11" x14ac:dyDescent="0.2">
      <c r="A9" s="2" t="s">
        <v>4</v>
      </c>
      <c r="B9" s="13" t="s">
        <v>5</v>
      </c>
      <c r="C9" s="2" t="s">
        <v>92</v>
      </c>
      <c r="D9" s="2" t="s">
        <v>121</v>
      </c>
      <c r="E9" s="2" t="s">
        <v>109</v>
      </c>
    </row>
    <row r="10" spans="1:11" x14ac:dyDescent="0.2">
      <c r="A10" s="2" t="s">
        <v>31</v>
      </c>
      <c r="B10" s="2" t="s">
        <v>32</v>
      </c>
      <c r="C10" s="2">
        <v>10</v>
      </c>
      <c r="D10" s="2">
        <f>ROUNDUP($F$7/C10,0)</f>
        <v>12000</v>
      </c>
      <c r="E10" s="2">
        <f>ROUNDUP(D10/24,0)</f>
        <v>500</v>
      </c>
      <c r="G10" s="2" t="s">
        <v>8</v>
      </c>
      <c r="H10" s="2" t="s">
        <v>94</v>
      </c>
      <c r="I10" s="2" t="s">
        <v>122</v>
      </c>
      <c r="J10" s="13" t="s">
        <v>96</v>
      </c>
      <c r="K10" s="13" t="s">
        <v>97</v>
      </c>
    </row>
    <row r="11" spans="1:11" x14ac:dyDescent="0.2">
      <c r="A11" s="2" t="s">
        <v>40</v>
      </c>
      <c r="B11" s="2" t="s">
        <v>32</v>
      </c>
      <c r="C11" s="2">
        <v>10</v>
      </c>
      <c r="D11" s="2">
        <f t="shared" ref="D11:D16" si="0">ROUNDUP($F$7/C11,0)</f>
        <v>12000</v>
      </c>
      <c r="E11" s="2">
        <f t="shared" ref="E11:E16" si="1">ROUNDUP(D11/24,0)</f>
        <v>500</v>
      </c>
      <c r="G11" s="2" t="s">
        <v>121</v>
      </c>
      <c r="H11" s="2" t="s">
        <v>123</v>
      </c>
      <c r="I11" s="2">
        <f>D17</f>
        <v>57534</v>
      </c>
      <c r="J11" s="2">
        <v>9.6</v>
      </c>
      <c r="K11" s="2">
        <f>J11*I11</f>
        <v>552326.40000000002</v>
      </c>
    </row>
    <row r="12" spans="1:11" x14ac:dyDescent="0.2">
      <c r="A12" s="2" t="s">
        <v>41</v>
      </c>
      <c r="B12" s="2" t="s">
        <v>42</v>
      </c>
      <c r="C12" s="2">
        <v>10</v>
      </c>
      <c r="D12" s="2">
        <f t="shared" si="0"/>
        <v>12000</v>
      </c>
      <c r="E12" s="2">
        <f t="shared" si="1"/>
        <v>500</v>
      </c>
      <c r="G12" s="13" t="s">
        <v>124</v>
      </c>
      <c r="H12" s="2" t="s">
        <v>125</v>
      </c>
      <c r="I12" s="2">
        <f>D23</f>
        <v>30000</v>
      </c>
      <c r="J12" s="2">
        <v>11</v>
      </c>
      <c r="K12" s="2">
        <f t="shared" ref="K12:K14" si="2">J12*I12</f>
        <v>330000</v>
      </c>
    </row>
    <row r="13" spans="1:11" x14ac:dyDescent="0.2">
      <c r="A13" s="2" t="s">
        <v>44</v>
      </c>
      <c r="B13" s="2" t="s">
        <v>45</v>
      </c>
      <c r="C13" s="2">
        <v>24</v>
      </c>
      <c r="D13" s="2">
        <f t="shared" si="0"/>
        <v>5000</v>
      </c>
      <c r="E13" s="2">
        <f t="shared" si="1"/>
        <v>209</v>
      </c>
      <c r="G13" s="2" t="s">
        <v>109</v>
      </c>
      <c r="H13" s="13" t="s">
        <v>126</v>
      </c>
      <c r="I13" s="2">
        <f>E17+E23</f>
        <v>4898</v>
      </c>
      <c r="J13" s="2">
        <v>85</v>
      </c>
      <c r="K13" s="2">
        <f t="shared" si="2"/>
        <v>416330</v>
      </c>
    </row>
    <row r="14" spans="1:11" x14ac:dyDescent="0.2">
      <c r="A14" s="2" t="s">
        <v>47</v>
      </c>
      <c r="B14" s="2" t="s">
        <v>48</v>
      </c>
      <c r="C14" s="2">
        <v>36</v>
      </c>
      <c r="D14" s="2">
        <f t="shared" si="0"/>
        <v>3334</v>
      </c>
      <c r="E14" s="2">
        <f t="shared" si="1"/>
        <v>139</v>
      </c>
      <c r="G14" s="2" t="s">
        <v>127</v>
      </c>
      <c r="H14" s="13" t="s">
        <v>128</v>
      </c>
      <c r="I14" s="2">
        <f>D27</f>
        <v>6000</v>
      </c>
      <c r="J14" s="18">
        <v>520</v>
      </c>
      <c r="K14" s="2">
        <f t="shared" si="2"/>
        <v>3120000</v>
      </c>
    </row>
    <row r="15" spans="1:11" x14ac:dyDescent="0.2">
      <c r="A15" s="2" t="s">
        <v>50</v>
      </c>
      <c r="B15" s="2" t="s">
        <v>51</v>
      </c>
      <c r="C15" s="2">
        <v>10</v>
      </c>
      <c r="D15" s="2">
        <f t="shared" si="0"/>
        <v>12000</v>
      </c>
      <c r="E15" s="2">
        <f t="shared" si="1"/>
        <v>500</v>
      </c>
      <c r="I15"/>
      <c r="J15" s="2" t="s">
        <v>91</v>
      </c>
      <c r="K15" s="8">
        <f>SUM(K10:K14)</f>
        <v>4418656.4000000004</v>
      </c>
    </row>
    <row r="16" spans="1:11" x14ac:dyDescent="0.2">
      <c r="A16" s="2" t="s">
        <v>54</v>
      </c>
      <c r="B16" s="2" t="s">
        <v>55</v>
      </c>
      <c r="C16" s="2">
        <v>100</v>
      </c>
      <c r="D16" s="2">
        <f t="shared" si="0"/>
        <v>1200</v>
      </c>
      <c r="E16" s="2">
        <f t="shared" si="1"/>
        <v>50</v>
      </c>
      <c r="I16"/>
    </row>
    <row r="17" spans="1:9" x14ac:dyDescent="0.2">
      <c r="C17" s="2" t="s">
        <v>91</v>
      </c>
      <c r="D17" s="8">
        <f>SUM(D10:D16)</f>
        <v>57534</v>
      </c>
      <c r="E17" s="8">
        <f>SUM(E10:E16)</f>
        <v>2398</v>
      </c>
      <c r="G17" s="13" t="s">
        <v>112</v>
      </c>
      <c r="H17" s="14">
        <f>K15/F7</f>
        <v>36.822136666666673</v>
      </c>
    </row>
    <row r="18" spans="1:9" x14ac:dyDescent="0.2">
      <c r="A18" s="2" t="s">
        <v>4</v>
      </c>
      <c r="B18" s="13" t="s">
        <v>5</v>
      </c>
      <c r="C18" s="2" t="s">
        <v>92</v>
      </c>
      <c r="D18" s="2" t="s">
        <v>124</v>
      </c>
      <c r="E18" s="2" t="s">
        <v>109</v>
      </c>
    </row>
    <row r="19" spans="1:9" x14ac:dyDescent="0.2">
      <c r="A19" s="2" t="s">
        <v>57</v>
      </c>
      <c r="B19" s="2" t="s">
        <v>58</v>
      </c>
      <c r="C19" s="2">
        <v>16</v>
      </c>
      <c r="D19" s="2">
        <f t="shared" ref="D19:D22" si="3">ROUNDUP($F$7/C19,0)</f>
        <v>7500</v>
      </c>
      <c r="E19" s="2">
        <f>ROUNDUP(D19/12,0)</f>
        <v>625</v>
      </c>
    </row>
    <row r="20" spans="1:9" x14ac:dyDescent="0.2">
      <c r="A20" s="2" t="s">
        <v>64</v>
      </c>
      <c r="B20" s="2" t="s">
        <v>65</v>
      </c>
      <c r="C20" s="2">
        <v>16</v>
      </c>
      <c r="D20" s="2">
        <f t="shared" si="3"/>
        <v>7500</v>
      </c>
      <c r="E20" s="2">
        <f t="shared" ref="E20:E22" si="4">ROUNDUP(D20/12,0)</f>
        <v>625</v>
      </c>
    </row>
    <row r="21" spans="1:9" x14ac:dyDescent="0.2">
      <c r="A21" s="2" t="s">
        <v>66</v>
      </c>
      <c r="B21" s="2" t="s">
        <v>67</v>
      </c>
      <c r="C21" s="2">
        <v>16</v>
      </c>
      <c r="D21" s="2">
        <f t="shared" si="3"/>
        <v>7500</v>
      </c>
      <c r="E21" s="2">
        <f t="shared" si="4"/>
        <v>625</v>
      </c>
    </row>
    <row r="22" spans="1:9" x14ac:dyDescent="0.2">
      <c r="A22" s="2" t="s">
        <v>69</v>
      </c>
      <c r="B22" s="2" t="s">
        <v>70</v>
      </c>
      <c r="C22" s="2">
        <v>16</v>
      </c>
      <c r="D22" s="2">
        <f t="shared" si="3"/>
        <v>7500</v>
      </c>
      <c r="E22" s="2">
        <f t="shared" si="4"/>
        <v>625</v>
      </c>
    </row>
    <row r="23" spans="1:9" x14ac:dyDescent="0.2">
      <c r="A23" s="1"/>
      <c r="B23" s="1"/>
      <c r="C23" s="2" t="s">
        <v>91</v>
      </c>
      <c r="D23" s="8">
        <f>SUM(D19:D22)</f>
        <v>30000</v>
      </c>
      <c r="E23" s="8">
        <f>SUM(E19:E22)</f>
        <v>2500</v>
      </c>
    </row>
    <row r="24" spans="1:9" x14ac:dyDescent="0.2">
      <c r="A24" s="2" t="s">
        <v>4</v>
      </c>
      <c r="B24" s="13" t="s">
        <v>5</v>
      </c>
      <c r="C24" s="15" t="s">
        <v>92</v>
      </c>
      <c r="D24" s="15" t="s">
        <v>127</v>
      </c>
      <c r="E24" s="1"/>
    </row>
    <row r="25" spans="1:9" x14ac:dyDescent="0.2">
      <c r="A25" s="2" t="s">
        <v>71</v>
      </c>
      <c r="B25" s="2" t="s">
        <v>72</v>
      </c>
      <c r="C25" s="2">
        <v>20</v>
      </c>
      <c r="D25" s="2">
        <f t="shared" ref="D25:D26" si="5">ROUNDUP($F$7/C25,0)</f>
        <v>6000</v>
      </c>
      <c r="E25" s="1"/>
      <c r="G25" s="16" t="s">
        <v>113</v>
      </c>
    </row>
    <row r="26" spans="1:9" x14ac:dyDescent="0.2">
      <c r="A26" s="2" t="s">
        <v>76</v>
      </c>
      <c r="B26" s="2" t="s">
        <v>77</v>
      </c>
      <c r="C26" s="2">
        <v>20</v>
      </c>
      <c r="D26" s="2">
        <f t="shared" si="5"/>
        <v>6000</v>
      </c>
      <c r="E26" s="17"/>
      <c r="G26" s="13" t="s">
        <v>8</v>
      </c>
      <c r="H26" s="13" t="s">
        <v>114</v>
      </c>
      <c r="I26" s="13" t="s">
        <v>115</v>
      </c>
    </row>
    <row r="27" spans="1:9" x14ac:dyDescent="0.2">
      <c r="A27" s="1"/>
      <c r="B27" s="1"/>
      <c r="C27" s="2" t="s">
        <v>91</v>
      </c>
      <c r="D27" s="8">
        <f>D26</f>
        <v>6000</v>
      </c>
      <c r="E27" s="1"/>
      <c r="G27" s="2" t="s">
        <v>129</v>
      </c>
      <c r="H27" s="2">
        <f>ROUNDUP((E17+E23)/32,0)</f>
        <v>154</v>
      </c>
      <c r="I27" s="19">
        <f>1.2*0.8*1.925*32/84</f>
        <v>0.70399999999999996</v>
      </c>
    </row>
    <row r="28" spans="1:9" x14ac:dyDescent="0.2">
      <c r="G28" s="18" t="s">
        <v>127</v>
      </c>
      <c r="H28" s="2">
        <f>ROUNDUP(D27/56,0)</f>
        <v>108</v>
      </c>
      <c r="I28" s="19">
        <f>1.14*0.9*1*56/84</f>
        <v>0.68400000000000005</v>
      </c>
    </row>
    <row r="29" spans="1:9" x14ac:dyDescent="0.2">
      <c r="G29" s="2" t="s">
        <v>91</v>
      </c>
      <c r="H29" s="2">
        <f>SUM(H27:H28)</f>
        <v>262</v>
      </c>
    </row>
    <row r="30" spans="1:9" x14ac:dyDescent="0.2">
      <c r="G30" s="2" t="s">
        <v>119</v>
      </c>
      <c r="H30" s="2">
        <f>11000*H29</f>
        <v>2882000</v>
      </c>
    </row>
    <row r="33" spans="7:8" x14ac:dyDescent="0.2">
      <c r="G33" s="13" t="s">
        <v>120</v>
      </c>
      <c r="H33" s="14">
        <f>H30/F7</f>
        <v>24.016666666666666</v>
      </c>
    </row>
  </sheetData>
  <phoneticPr fontId="8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S24" sqref="S24"/>
    </sheetView>
  </sheetViews>
  <sheetFormatPr defaultColWidth="9" defaultRowHeight="14.25" x14ac:dyDescent="0.2"/>
  <cols>
    <col min="1" max="1" width="11" style="1" customWidth="1"/>
    <col min="2" max="2" width="13" style="1" customWidth="1"/>
    <col min="3" max="4" width="11" style="1" customWidth="1"/>
    <col min="5" max="5" width="13.25" style="1" customWidth="1"/>
    <col min="6" max="6" width="13" customWidth="1"/>
  </cols>
  <sheetData>
    <row r="1" spans="1:6" x14ac:dyDescent="0.2">
      <c r="A1" s="2"/>
      <c r="B1" s="2" t="s">
        <v>130</v>
      </c>
      <c r="C1" s="2" t="s">
        <v>131</v>
      </c>
      <c r="D1" s="2" t="s">
        <v>132</v>
      </c>
      <c r="E1" s="2" t="s">
        <v>133</v>
      </c>
      <c r="F1" s="2" t="s">
        <v>134</v>
      </c>
    </row>
    <row r="2" spans="1:6" ht="23.25" customHeight="1" x14ac:dyDescent="0.2">
      <c r="A2" s="2" t="s">
        <v>135</v>
      </c>
      <c r="B2" s="2">
        <f>一次性包装物流成本测算!K15</f>
        <v>4418656.4000000004</v>
      </c>
      <c r="C2" s="2">
        <f>一次性包装物流成本测算!H30</f>
        <v>2882000</v>
      </c>
      <c r="D2" s="3">
        <f>一次性包装物流成本测算!H17</f>
        <v>36.822136666666673</v>
      </c>
      <c r="E2" s="3">
        <f>一次性包装物流成本测算!H33</f>
        <v>24.016666666666666</v>
      </c>
      <c r="F2" s="4">
        <f>D2+E2</f>
        <v>60.838803333333338</v>
      </c>
    </row>
    <row r="3" spans="1:6" ht="23.25" customHeight="1" x14ac:dyDescent="0.2">
      <c r="A3" s="2" t="s">
        <v>136</v>
      </c>
      <c r="B3" s="2">
        <f>循环包装成本测算!K36</f>
        <v>414318</v>
      </c>
      <c r="C3" s="2">
        <f>循环运输成本测算!H17</f>
        <v>3520000</v>
      </c>
      <c r="D3" s="3">
        <f>循环包装成本测算!H38</f>
        <v>3.4526500000000002</v>
      </c>
      <c r="E3" s="3">
        <f>循环运输成本测算!H21</f>
        <v>29.333333333333332</v>
      </c>
      <c r="F3" s="4">
        <f>D3+E3</f>
        <v>32.785983333333334</v>
      </c>
    </row>
    <row r="7" spans="1:6" ht="30" customHeight="1" x14ac:dyDescent="0.2">
      <c r="B7" s="2" t="s">
        <v>137</v>
      </c>
      <c r="C7" s="5" t="s">
        <v>138</v>
      </c>
      <c r="D7" s="5" t="s">
        <v>139</v>
      </c>
      <c r="E7" s="5" t="s">
        <v>140</v>
      </c>
      <c r="F7" s="5" t="s">
        <v>141</v>
      </c>
    </row>
    <row r="8" spans="1:6" x14ac:dyDescent="0.2">
      <c r="B8" s="2">
        <v>5000</v>
      </c>
      <c r="C8" s="2">
        <v>63.33</v>
      </c>
      <c r="D8" s="2">
        <v>66.510000000000005</v>
      </c>
      <c r="E8" s="6">
        <v>184642.8</v>
      </c>
      <c r="F8" s="7">
        <v>156554</v>
      </c>
    </row>
    <row r="9" spans="1:6" x14ac:dyDescent="0.2">
      <c r="B9" s="8">
        <v>5500</v>
      </c>
      <c r="C9" s="9">
        <v>62.880145454545399</v>
      </c>
      <c r="D9" s="9">
        <v>62.900545454545501</v>
      </c>
      <c r="E9" s="10">
        <v>202840.8</v>
      </c>
      <c r="F9" s="11">
        <v>158953</v>
      </c>
    </row>
    <row r="10" spans="1:6" x14ac:dyDescent="0.2">
      <c r="B10" s="2">
        <v>10000</v>
      </c>
      <c r="C10" s="2">
        <v>61.08</v>
      </c>
      <c r="D10" s="2">
        <v>48.56</v>
      </c>
      <c r="E10" s="6">
        <v>368807</v>
      </c>
      <c r="F10" s="7">
        <v>166578</v>
      </c>
    </row>
    <row r="11" spans="1:6" x14ac:dyDescent="0.2">
      <c r="B11" s="2">
        <v>30000</v>
      </c>
      <c r="C11" s="2">
        <v>61.04</v>
      </c>
      <c r="D11" s="2">
        <v>36.25</v>
      </c>
      <c r="E11" s="6">
        <v>1105051.3999999999</v>
      </c>
      <c r="F11" s="7">
        <v>207595</v>
      </c>
    </row>
    <row r="12" spans="1:6" x14ac:dyDescent="0.2">
      <c r="B12" s="2">
        <v>60000</v>
      </c>
      <c r="C12" s="2">
        <v>60.84</v>
      </c>
      <c r="D12" s="2">
        <v>33.770000000000003</v>
      </c>
      <c r="E12" s="6">
        <v>2209583.2000000002</v>
      </c>
      <c r="F12" s="7">
        <v>266342</v>
      </c>
    </row>
    <row r="13" spans="1:6" x14ac:dyDescent="0.2">
      <c r="B13" s="2">
        <v>120000</v>
      </c>
      <c r="C13" s="2">
        <v>60.84</v>
      </c>
      <c r="D13" s="2">
        <v>32.54</v>
      </c>
      <c r="E13" s="6">
        <v>4418656.4000000004</v>
      </c>
      <c r="F13" s="7">
        <v>384763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L53"/>
  <sheetViews>
    <sheetView tabSelected="1" topLeftCell="B28" zoomScale="115" zoomScaleNormal="115" workbookViewId="0">
      <selection activeCell="K59" sqref="K59"/>
    </sheetView>
  </sheetViews>
  <sheetFormatPr defaultColWidth="9" defaultRowHeight="14.25" x14ac:dyDescent="0.2"/>
  <cols>
    <col min="1" max="1" width="11.875" style="44" customWidth="1"/>
    <col min="2" max="2" width="23.5" style="44" customWidth="1"/>
    <col min="3" max="6" width="9" style="44"/>
    <col min="7" max="7" width="15.25" style="44" customWidth="1"/>
    <col min="8" max="8" width="21.875" style="44" customWidth="1"/>
    <col min="9" max="9" width="22.625" style="45" customWidth="1"/>
    <col min="10" max="10" width="14" style="45" customWidth="1"/>
    <col min="11" max="11" width="13" style="45" bestFit="1" customWidth="1"/>
    <col min="12" max="16384" width="9" style="44"/>
  </cols>
  <sheetData>
    <row r="19" spans="1:11" x14ac:dyDescent="0.2">
      <c r="A19" s="42" t="s">
        <v>78</v>
      </c>
      <c r="B19" s="43">
        <v>128</v>
      </c>
      <c r="C19" s="42" t="s">
        <v>79</v>
      </c>
      <c r="D19" s="42" t="s">
        <v>80</v>
      </c>
      <c r="E19" s="42" t="s">
        <v>81</v>
      </c>
      <c r="G19" s="45" t="s">
        <v>82</v>
      </c>
      <c r="H19" s="46">
        <v>120000</v>
      </c>
      <c r="I19" s="44"/>
      <c r="J19" s="44"/>
      <c r="K19" s="44"/>
    </row>
    <row r="20" spans="1:11" x14ac:dyDescent="0.2">
      <c r="A20" s="83" t="s">
        <v>83</v>
      </c>
      <c r="B20" s="84"/>
      <c r="C20" s="42">
        <v>1430</v>
      </c>
      <c r="D20" s="42">
        <f>1150+50+1600</f>
        <v>2800</v>
      </c>
      <c r="E20" s="42">
        <f>750+50+1200</f>
        <v>2000</v>
      </c>
      <c r="G20" s="45"/>
      <c r="H20" s="44" t="s">
        <v>84</v>
      </c>
      <c r="I20" s="44"/>
      <c r="J20" s="44"/>
      <c r="K20" s="44"/>
    </row>
    <row r="21" spans="1:11" x14ac:dyDescent="0.2">
      <c r="A21" s="42" t="s">
        <v>85</v>
      </c>
      <c r="B21" s="42">
        <v>4</v>
      </c>
      <c r="H21" s="45"/>
      <c r="I21" s="44"/>
      <c r="J21" s="44"/>
      <c r="K21" s="44"/>
    </row>
    <row r="22" spans="1:11" x14ac:dyDescent="0.2">
      <c r="A22" s="42" t="s">
        <v>86</v>
      </c>
      <c r="B22" s="42">
        <v>2</v>
      </c>
      <c r="H22" s="45"/>
      <c r="I22" s="44" t="s">
        <v>87</v>
      </c>
      <c r="J22" s="44"/>
      <c r="K22" s="44"/>
    </row>
    <row r="23" spans="1:11" x14ac:dyDescent="0.2">
      <c r="A23" s="42" t="s">
        <v>88</v>
      </c>
      <c r="B23" s="42">
        <v>4</v>
      </c>
      <c r="H23" s="45"/>
      <c r="I23" s="44"/>
      <c r="J23" s="44"/>
      <c r="K23" s="44"/>
    </row>
    <row r="24" spans="1:11" x14ac:dyDescent="0.2">
      <c r="A24" s="42" t="s">
        <v>89</v>
      </c>
      <c r="B24" s="42">
        <v>4</v>
      </c>
      <c r="H24" s="45"/>
      <c r="I24" s="44"/>
      <c r="J24" s="44"/>
      <c r="K24" s="44"/>
    </row>
    <row r="25" spans="1:11" x14ac:dyDescent="0.2">
      <c r="A25" s="42" t="s">
        <v>90</v>
      </c>
      <c r="B25" s="42">
        <v>4</v>
      </c>
      <c r="H25" s="45"/>
      <c r="I25" s="44"/>
      <c r="J25" s="44"/>
      <c r="K25" s="44"/>
    </row>
    <row r="26" spans="1:11" x14ac:dyDescent="0.2">
      <c r="A26" s="42" t="s">
        <v>91</v>
      </c>
      <c r="B26" s="47">
        <f>SUM(B21:B25)</f>
        <v>18</v>
      </c>
      <c r="H26" s="45"/>
      <c r="I26" s="44"/>
      <c r="J26" s="44"/>
      <c r="K26" s="44"/>
    </row>
    <row r="27" spans="1:11" x14ac:dyDescent="0.2">
      <c r="H27" s="45"/>
      <c r="I27" s="44"/>
      <c r="J27" s="44"/>
      <c r="K27" s="44"/>
    </row>
    <row r="29" spans="1:11" x14ac:dyDescent="0.2">
      <c r="A29" s="42" t="s">
        <v>4</v>
      </c>
      <c r="B29" s="48" t="s">
        <v>5</v>
      </c>
      <c r="C29" s="42" t="s">
        <v>92</v>
      </c>
      <c r="D29" s="42" t="s">
        <v>93</v>
      </c>
      <c r="E29" s="49"/>
      <c r="G29" s="42" t="s">
        <v>8</v>
      </c>
      <c r="H29" s="42" t="s">
        <v>94</v>
      </c>
      <c r="I29" s="42" t="s">
        <v>95</v>
      </c>
      <c r="J29" s="48" t="s">
        <v>96</v>
      </c>
      <c r="K29" s="48" t="s">
        <v>97</v>
      </c>
    </row>
    <row r="30" spans="1:11" x14ac:dyDescent="0.2">
      <c r="A30" s="42" t="s">
        <v>15</v>
      </c>
      <c r="B30" s="42" t="s">
        <v>16</v>
      </c>
      <c r="C30" s="42">
        <v>12</v>
      </c>
      <c r="D30" s="42">
        <f>120000/C30/2</f>
        <v>5000</v>
      </c>
      <c r="E30" s="50"/>
      <c r="G30" s="42" t="s">
        <v>98</v>
      </c>
      <c r="H30" s="42" t="s">
        <v>99</v>
      </c>
      <c r="I30" s="42">
        <f>ROUNDUP(D34*(1+10%),0)</f>
        <v>22000</v>
      </c>
      <c r="J30" s="51">
        <v>6.5</v>
      </c>
      <c r="K30" s="42">
        <f t="shared" ref="K30:K35" si="0">J30*I30</f>
        <v>143000</v>
      </c>
    </row>
    <row r="31" spans="1:11" x14ac:dyDescent="0.2">
      <c r="A31" s="42" t="s">
        <v>22</v>
      </c>
      <c r="B31" s="42" t="s">
        <v>16</v>
      </c>
      <c r="C31" s="42">
        <v>12</v>
      </c>
      <c r="D31" s="42">
        <f t="shared" ref="D31:D33" si="1">120000/C31/2</f>
        <v>5000</v>
      </c>
      <c r="E31" s="50"/>
      <c r="G31" s="42" t="s">
        <v>100</v>
      </c>
      <c r="H31" s="42" t="s">
        <v>101</v>
      </c>
      <c r="I31" s="42">
        <f>ROUNDUP(D43*(1+10%),0)</f>
        <v>1219</v>
      </c>
      <c r="J31" s="51">
        <v>31</v>
      </c>
      <c r="K31" s="42">
        <f t="shared" si="0"/>
        <v>37789</v>
      </c>
    </row>
    <row r="32" spans="1:11" x14ac:dyDescent="0.2">
      <c r="A32" s="42" t="s">
        <v>24</v>
      </c>
      <c r="B32" s="42" t="s">
        <v>25</v>
      </c>
      <c r="C32" s="42">
        <v>12</v>
      </c>
      <c r="D32" s="42">
        <f t="shared" si="1"/>
        <v>5000</v>
      </c>
      <c r="E32" s="50"/>
      <c r="G32" s="48" t="s">
        <v>102</v>
      </c>
      <c r="H32" s="42" t="s">
        <v>103</v>
      </c>
      <c r="I32" s="42">
        <f>ROUNDUP(E43*(1+10%),0)+ROUNDUP(E49*(1+10%),0)</f>
        <v>133</v>
      </c>
      <c r="J32" s="51">
        <v>277</v>
      </c>
      <c r="K32" s="42">
        <f t="shared" si="0"/>
        <v>36841</v>
      </c>
    </row>
    <row r="33" spans="1:12" x14ac:dyDescent="0.2">
      <c r="A33" s="42" t="s">
        <v>28</v>
      </c>
      <c r="B33" s="42" t="s">
        <v>29</v>
      </c>
      <c r="C33" s="42">
        <v>12</v>
      </c>
      <c r="D33" s="42">
        <f t="shared" si="1"/>
        <v>5000</v>
      </c>
      <c r="E33" s="50"/>
      <c r="G33" s="42" t="s">
        <v>104</v>
      </c>
      <c r="H33" s="48" t="s">
        <v>105</v>
      </c>
      <c r="I33" s="42">
        <f>ROUNDUP(D49*(1+10%),0)</f>
        <v>634</v>
      </c>
      <c r="J33" s="51">
        <v>72</v>
      </c>
      <c r="K33" s="42">
        <f t="shared" si="0"/>
        <v>45648</v>
      </c>
    </row>
    <row r="34" spans="1:12" x14ac:dyDescent="0.2">
      <c r="C34" s="42" t="s">
        <v>91</v>
      </c>
      <c r="D34" s="47">
        <f>SUM(D27:D33)</f>
        <v>20000</v>
      </c>
      <c r="E34" s="50"/>
      <c r="G34" s="42" t="s">
        <v>106</v>
      </c>
      <c r="H34" s="48" t="s">
        <v>107</v>
      </c>
      <c r="I34" s="42">
        <f>ROUNDUP(D53*(1+10%),0)</f>
        <v>256</v>
      </c>
      <c r="J34" s="51">
        <v>500</v>
      </c>
      <c r="K34" s="42">
        <f t="shared" si="0"/>
        <v>128000</v>
      </c>
    </row>
    <row r="35" spans="1:12" x14ac:dyDescent="0.2">
      <c r="A35" s="42" t="s">
        <v>4</v>
      </c>
      <c r="B35" s="48" t="s">
        <v>5</v>
      </c>
      <c r="C35" s="42" t="s">
        <v>92</v>
      </c>
      <c r="D35" s="42" t="s">
        <v>108</v>
      </c>
      <c r="E35" s="42" t="s">
        <v>109</v>
      </c>
      <c r="G35" s="48" t="s">
        <v>110</v>
      </c>
      <c r="H35" s="42" t="s">
        <v>111</v>
      </c>
      <c r="I35" s="42">
        <f>I34</f>
        <v>256</v>
      </c>
      <c r="J35" s="51">
        <v>90</v>
      </c>
      <c r="K35" s="42">
        <f t="shared" si="0"/>
        <v>23040</v>
      </c>
    </row>
    <row r="36" spans="1:12" x14ac:dyDescent="0.2">
      <c r="A36" s="42" t="s">
        <v>31</v>
      </c>
      <c r="B36" s="42" t="s">
        <v>32</v>
      </c>
      <c r="C36" s="42">
        <v>10</v>
      </c>
      <c r="D36" s="42">
        <f t="shared" ref="D36:D42" si="2">ROUNDUP($B$26*$B$19/C36,0)</f>
        <v>231</v>
      </c>
      <c r="E36" s="42">
        <f>ROUNDUP(D36/16,0)</f>
        <v>15</v>
      </c>
      <c r="J36" s="42" t="s">
        <v>91</v>
      </c>
      <c r="K36" s="47">
        <f>SUM(K30:K35)</f>
        <v>414318</v>
      </c>
    </row>
    <row r="37" spans="1:12" x14ac:dyDescent="0.2">
      <c r="A37" s="42" t="s">
        <v>40</v>
      </c>
      <c r="B37" s="42" t="s">
        <v>32</v>
      </c>
      <c r="C37" s="42">
        <v>10</v>
      </c>
      <c r="D37" s="42">
        <f t="shared" si="2"/>
        <v>231</v>
      </c>
      <c r="E37" s="42">
        <f t="shared" ref="E37:E42" si="3">ROUNDUP(D37/16,0)</f>
        <v>15</v>
      </c>
      <c r="J37" s="44"/>
      <c r="K37" s="44"/>
    </row>
    <row r="38" spans="1:12" x14ac:dyDescent="0.2">
      <c r="A38" s="42" t="s">
        <v>41</v>
      </c>
      <c r="B38" s="42" t="s">
        <v>42</v>
      </c>
      <c r="C38" s="42">
        <v>10</v>
      </c>
      <c r="D38" s="42">
        <f t="shared" si="2"/>
        <v>231</v>
      </c>
      <c r="E38" s="42">
        <f t="shared" si="3"/>
        <v>15</v>
      </c>
      <c r="G38" s="48" t="s">
        <v>112</v>
      </c>
      <c r="H38" s="52">
        <f>K36/H19</f>
        <v>3.4526500000000002</v>
      </c>
    </row>
    <row r="39" spans="1:12" x14ac:dyDescent="0.2">
      <c r="A39" s="42" t="s">
        <v>44</v>
      </c>
      <c r="B39" s="42" t="s">
        <v>45</v>
      </c>
      <c r="C39" s="42">
        <v>24</v>
      </c>
      <c r="D39" s="42">
        <f t="shared" si="2"/>
        <v>96</v>
      </c>
      <c r="E39" s="42">
        <f t="shared" si="3"/>
        <v>6</v>
      </c>
    </row>
    <row r="40" spans="1:12" x14ac:dyDescent="0.2">
      <c r="A40" s="42" t="s">
        <v>47</v>
      </c>
      <c r="B40" s="42" t="s">
        <v>48</v>
      </c>
      <c r="C40" s="42">
        <v>36</v>
      </c>
      <c r="D40" s="42">
        <f t="shared" si="2"/>
        <v>64</v>
      </c>
      <c r="E40" s="42">
        <f t="shared" si="3"/>
        <v>4</v>
      </c>
    </row>
    <row r="41" spans="1:12" x14ac:dyDescent="0.2">
      <c r="A41" s="42" t="s">
        <v>50</v>
      </c>
      <c r="B41" s="42" t="s">
        <v>51</v>
      </c>
      <c r="C41" s="42">
        <v>10</v>
      </c>
      <c r="D41" s="42">
        <f t="shared" si="2"/>
        <v>231</v>
      </c>
      <c r="E41" s="42">
        <f t="shared" si="3"/>
        <v>15</v>
      </c>
    </row>
    <row r="42" spans="1:12" x14ac:dyDescent="0.2">
      <c r="A42" s="42" t="s">
        <v>54</v>
      </c>
      <c r="B42" s="42" t="s">
        <v>55</v>
      </c>
      <c r="C42" s="42">
        <v>100</v>
      </c>
      <c r="D42" s="42">
        <f t="shared" si="2"/>
        <v>24</v>
      </c>
      <c r="E42" s="42">
        <f t="shared" si="3"/>
        <v>2</v>
      </c>
    </row>
    <row r="43" spans="1:12" x14ac:dyDescent="0.2">
      <c r="A43" s="45"/>
      <c r="B43" s="45"/>
      <c r="C43" s="42" t="s">
        <v>91</v>
      </c>
      <c r="D43" s="47">
        <f>SUM(D36:D42)</f>
        <v>1108</v>
      </c>
      <c r="E43" s="47">
        <f>SUM(E36:E42)</f>
        <v>72</v>
      </c>
    </row>
    <row r="44" spans="1:12" x14ac:dyDescent="0.2">
      <c r="A44" s="42" t="s">
        <v>4</v>
      </c>
      <c r="B44" s="48" t="s">
        <v>5</v>
      </c>
      <c r="C44" s="42" t="s">
        <v>92</v>
      </c>
      <c r="D44" s="42" t="s">
        <v>108</v>
      </c>
      <c r="E44" s="42" t="s">
        <v>109</v>
      </c>
    </row>
    <row r="45" spans="1:12" x14ac:dyDescent="0.2">
      <c r="A45" s="42" t="s">
        <v>57</v>
      </c>
      <c r="B45" s="42" t="s">
        <v>58</v>
      </c>
      <c r="C45" s="42">
        <v>16</v>
      </c>
      <c r="D45" s="42">
        <f>ROUNDUP($B$26*$B$19/C45,0)</f>
        <v>144</v>
      </c>
      <c r="E45" s="42">
        <f>ROUNDUP(D45/12,0)</f>
        <v>12</v>
      </c>
      <c r="G45" s="42" t="s">
        <v>8</v>
      </c>
      <c r="H45" s="42" t="s">
        <v>94</v>
      </c>
      <c r="I45" s="48" t="s">
        <v>96</v>
      </c>
      <c r="J45" s="55" t="s">
        <v>142</v>
      </c>
      <c r="K45" s="56" t="s">
        <v>143</v>
      </c>
      <c r="L45" s="42" t="s">
        <v>145</v>
      </c>
    </row>
    <row r="46" spans="1:12" x14ac:dyDescent="0.2">
      <c r="A46" s="42" t="s">
        <v>64</v>
      </c>
      <c r="B46" s="42" t="s">
        <v>65</v>
      </c>
      <c r="C46" s="42">
        <v>16</v>
      </c>
      <c r="D46" s="42">
        <f>ROUNDUP($B$26*$B$19/C46,0)</f>
        <v>144</v>
      </c>
      <c r="E46" s="42">
        <f t="shared" ref="E46:E48" si="4">ROUNDUP(D46/12,0)</f>
        <v>12</v>
      </c>
      <c r="G46" s="42" t="s">
        <v>146</v>
      </c>
      <c r="H46" s="42" t="s">
        <v>147</v>
      </c>
      <c r="I46" s="42">
        <v>20</v>
      </c>
      <c r="J46" s="55">
        <v>10</v>
      </c>
      <c r="K46" s="56">
        <v>10</v>
      </c>
      <c r="L46" s="42">
        <f t="shared" ref="L46:L47" si="5">SUM(J46:K46)</f>
        <v>20</v>
      </c>
    </row>
    <row r="47" spans="1:12" x14ac:dyDescent="0.2">
      <c r="A47" s="42" t="s">
        <v>66</v>
      </c>
      <c r="B47" s="42" t="s">
        <v>67</v>
      </c>
      <c r="C47" s="42">
        <v>16</v>
      </c>
      <c r="D47" s="42">
        <f>ROUNDUP($B$26*$B$19/C47,0)</f>
        <v>144</v>
      </c>
      <c r="E47" s="42">
        <f t="shared" si="4"/>
        <v>12</v>
      </c>
      <c r="G47" s="42" t="s">
        <v>98</v>
      </c>
      <c r="H47" s="42" t="s">
        <v>99</v>
      </c>
      <c r="I47" s="51">
        <v>6.5</v>
      </c>
      <c r="J47" s="55">
        <v>1000</v>
      </c>
      <c r="K47" s="56">
        <v>1000</v>
      </c>
      <c r="L47" s="42">
        <f t="shared" si="5"/>
        <v>2000</v>
      </c>
    </row>
    <row r="48" spans="1:12" x14ac:dyDescent="0.2">
      <c r="A48" s="42" t="s">
        <v>69</v>
      </c>
      <c r="B48" s="42" t="s">
        <v>70</v>
      </c>
      <c r="C48" s="42">
        <v>16</v>
      </c>
      <c r="D48" s="42">
        <f>ROUNDUP($B$26*$B$19/C48,0)</f>
        <v>144</v>
      </c>
      <c r="E48" s="42">
        <f t="shared" si="4"/>
        <v>12</v>
      </c>
      <c r="G48" s="42" t="s">
        <v>100</v>
      </c>
      <c r="H48" s="42" t="s">
        <v>101</v>
      </c>
      <c r="I48" s="51">
        <v>31</v>
      </c>
      <c r="J48" s="55">
        <v>1100</v>
      </c>
      <c r="K48" s="56">
        <v>100</v>
      </c>
      <c r="L48" s="42">
        <f>SUM(J48:K48)</f>
        <v>1200</v>
      </c>
    </row>
    <row r="49" spans="1:12" x14ac:dyDescent="0.2">
      <c r="A49" s="45"/>
      <c r="B49" s="45"/>
      <c r="C49" s="42" t="s">
        <v>91</v>
      </c>
      <c r="D49" s="47">
        <f>SUM(D45:D48)</f>
        <v>576</v>
      </c>
      <c r="E49" s="47">
        <f>SUM(E45:E48)</f>
        <v>48</v>
      </c>
      <c r="G49" s="48" t="s">
        <v>102</v>
      </c>
      <c r="H49" s="42" t="s">
        <v>103</v>
      </c>
      <c r="I49" s="51">
        <v>277</v>
      </c>
      <c r="J49" s="55">
        <v>100</v>
      </c>
      <c r="K49" s="56">
        <v>30</v>
      </c>
      <c r="L49" s="42">
        <f t="shared" ref="L49:L52" si="6">SUM(J49:K49)</f>
        <v>130</v>
      </c>
    </row>
    <row r="50" spans="1:12" x14ac:dyDescent="0.2">
      <c r="A50" s="42" t="s">
        <v>4</v>
      </c>
      <c r="B50" s="48" t="s">
        <v>5</v>
      </c>
      <c r="C50" s="53" t="s">
        <v>92</v>
      </c>
      <c r="D50" s="53" t="s">
        <v>106</v>
      </c>
      <c r="E50" s="45"/>
      <c r="G50" s="42" t="s">
        <v>104</v>
      </c>
      <c r="H50" s="48" t="s">
        <v>105</v>
      </c>
      <c r="I50" s="51">
        <v>72</v>
      </c>
      <c r="J50" s="55">
        <v>600</v>
      </c>
      <c r="K50" s="56">
        <v>30</v>
      </c>
      <c r="L50" s="42">
        <f>SUM(J50:K50)</f>
        <v>630</v>
      </c>
    </row>
    <row r="51" spans="1:12" x14ac:dyDescent="0.2">
      <c r="A51" s="42" t="s">
        <v>71</v>
      </c>
      <c r="B51" s="42" t="s">
        <v>72</v>
      </c>
      <c r="C51" s="42">
        <v>20</v>
      </c>
      <c r="D51" s="42">
        <f>ROUNDUP($B$26*$B$19/C51,0)</f>
        <v>116</v>
      </c>
      <c r="E51" s="45"/>
      <c r="G51" s="42" t="s">
        <v>106</v>
      </c>
      <c r="H51" s="48" t="s">
        <v>107</v>
      </c>
      <c r="I51" s="51">
        <v>500</v>
      </c>
      <c r="J51" s="55">
        <v>220</v>
      </c>
      <c r="K51" s="56">
        <v>30</v>
      </c>
      <c r="L51" s="42">
        <f t="shared" si="6"/>
        <v>250</v>
      </c>
    </row>
    <row r="52" spans="1:12" x14ac:dyDescent="0.2">
      <c r="A52" s="42" t="s">
        <v>76</v>
      </c>
      <c r="B52" s="42" t="s">
        <v>77</v>
      </c>
      <c r="C52" s="42">
        <v>20</v>
      </c>
      <c r="D52" s="42">
        <f>ROUNDUP($B$26*$B$19/C52,0)</f>
        <v>116</v>
      </c>
      <c r="E52" s="54"/>
      <c r="G52" s="48" t="s">
        <v>110</v>
      </c>
      <c r="H52" s="42" t="s">
        <v>111</v>
      </c>
      <c r="I52" s="51">
        <v>90</v>
      </c>
      <c r="J52" s="55">
        <v>220</v>
      </c>
      <c r="K52" s="56">
        <v>30</v>
      </c>
      <c r="L52" s="42">
        <f t="shared" si="6"/>
        <v>250</v>
      </c>
    </row>
    <row r="53" spans="1:12" x14ac:dyDescent="0.2">
      <c r="A53" s="45"/>
      <c r="B53" s="45"/>
      <c r="C53" s="42" t="s">
        <v>91</v>
      </c>
      <c r="D53" s="47">
        <f>SUM(D51:D52)</f>
        <v>232</v>
      </c>
      <c r="E53" s="45"/>
      <c r="I53" s="42" t="s">
        <v>144</v>
      </c>
      <c r="J53" s="55">
        <f>I48*J48+I49*J49+I50*J50+I51*J51+I52*J52+I47*J47+I46*J46</f>
        <v>241500</v>
      </c>
      <c r="K53" s="56">
        <f>I48*K48+I49*K49+I50*K50+I51*K51+I52*K52+I47*K47+I46*K46</f>
        <v>37970</v>
      </c>
    </row>
  </sheetData>
  <mergeCells count="1">
    <mergeCell ref="A20:B20"/>
  </mergeCells>
  <phoneticPr fontId="8" type="noConversion"/>
  <pageMargins left="0.7" right="0.7" top="0.75" bottom="0.75" header="0.3" footer="0.3"/>
  <pageSetup paperSize="9" orientation="portrait"/>
  <ignoredErrors>
    <ignoredError sqref="L46:L52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25" x14ac:dyDescent="0.2"/>
  <cols>
    <col min="1" max="1" width="13.75" bestFit="1" customWidth="1"/>
    <col min="2" max="2" width="21.875" bestFit="1" customWidth="1"/>
    <col min="3" max="3" width="13" bestFit="1" customWidth="1"/>
  </cols>
  <sheetData>
    <row r="1" spans="1:3" x14ac:dyDescent="0.2">
      <c r="A1" s="42" t="s">
        <v>8</v>
      </c>
      <c r="B1" s="42" t="s">
        <v>94</v>
      </c>
      <c r="C1" s="55" t="s">
        <v>142</v>
      </c>
    </row>
    <row r="2" spans="1:3" x14ac:dyDescent="0.2">
      <c r="A2" s="42" t="s">
        <v>100</v>
      </c>
      <c r="B2" s="42" t="s">
        <v>101</v>
      </c>
      <c r="C2" s="55">
        <v>1000</v>
      </c>
    </row>
    <row r="3" spans="1:3" x14ac:dyDescent="0.2">
      <c r="A3" s="48" t="s">
        <v>102</v>
      </c>
      <c r="B3" s="42" t="s">
        <v>103</v>
      </c>
      <c r="C3" s="55">
        <v>100</v>
      </c>
    </row>
    <row r="4" spans="1:3" x14ac:dyDescent="0.2">
      <c r="A4" s="42" t="s">
        <v>104</v>
      </c>
      <c r="B4" s="48" t="s">
        <v>105</v>
      </c>
      <c r="C4" s="55">
        <v>500</v>
      </c>
    </row>
    <row r="5" spans="1:3" x14ac:dyDescent="0.2">
      <c r="A5" s="42" t="s">
        <v>106</v>
      </c>
      <c r="B5" s="48" t="s">
        <v>107</v>
      </c>
      <c r="C5" s="55">
        <v>200</v>
      </c>
    </row>
    <row r="6" spans="1:3" x14ac:dyDescent="0.2">
      <c r="A6" s="48" t="s">
        <v>110</v>
      </c>
      <c r="B6" s="42" t="s">
        <v>111</v>
      </c>
      <c r="C6" s="55">
        <v>200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包装方案</vt:lpstr>
      <vt:lpstr>循环包装成本测算</vt:lpstr>
      <vt:lpstr>循环运输成本测算</vt:lpstr>
      <vt:lpstr>一次性包装物流成本测算</vt:lpstr>
      <vt:lpstr>成本对比</vt:lpstr>
      <vt:lpstr>投入</vt:lpstr>
      <vt:lpstr>Sheet1</vt:lpstr>
      <vt:lpstr>包装方案!Print_Area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2022-12-07T05:25:00Z</cp:lastPrinted>
  <dcterms:created xsi:type="dcterms:W3CDTF">2022-12-06T09:01:00Z</dcterms:created>
  <dcterms:modified xsi:type="dcterms:W3CDTF">2022-12-21T07:34:35Z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B85B62D1EDCA4A038CAA4583919E5613</vt:lpwstr>
  </property>
  <property fmtid="{D5CDD505-2E9C-101B-9397-08002B2CF9AE}" pid="3" name="KSOProductBuildVer">
    <vt:lpwstr>2052-11.1.0.12763</vt:lpwstr>
  </property>
</Properties>
</file>