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8530" windowHeight="633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  <sheet name="附加值" sheetId="61" r:id="rId12"/>
  </sheets>
  <externalReferences>
    <externalReference r:id="rId13"/>
  </externalReferences>
  <definedNames>
    <definedName name="_xlnm.Print_Area" localSheetId="3">'2023年'!$A$1:$F$48</definedName>
    <definedName name="_xlnm.Print_Area" localSheetId="4">'2024年'!$A$1:$F$48</definedName>
    <definedName name="_xlnm.Print_Area" localSheetId="5">'2025年'!$A$1:$F$48</definedName>
    <definedName name="_xlnm.Print_Area" localSheetId="1">损益表!$A$1:$F$61</definedName>
    <definedName name="_xlnm.Print_Area" localSheetId="6">项目投资!$A$1:$C$35</definedName>
  </definedNames>
  <calcPr calcId="145621"/>
</workbook>
</file>

<file path=xl/calcChain.xml><?xml version="1.0" encoding="utf-8"?>
<calcChain xmlns="http://schemas.openxmlformats.org/spreadsheetml/2006/main">
  <c r="F6" i="61" l="1"/>
  <c r="F5" i="61"/>
  <c r="F4" i="61"/>
  <c r="D4" i="53" l="1"/>
  <c r="E4" i="53"/>
  <c r="F4" i="53"/>
  <c r="D5" i="53"/>
  <c r="E5" i="53"/>
  <c r="F5" i="53"/>
  <c r="E8" i="61"/>
  <c r="C5" i="61" l="1"/>
  <c r="D4" i="61"/>
  <c r="D6" i="61"/>
  <c r="D5" i="61"/>
  <c r="C7" i="61"/>
  <c r="G6" i="61"/>
  <c r="H6" i="61" s="1"/>
  <c r="G5" i="61"/>
  <c r="H5" i="61" s="1"/>
  <c r="B7" i="61"/>
  <c r="C4" i="61"/>
  <c r="C6" i="61"/>
  <c r="B4" i="61"/>
  <c r="B6" i="61"/>
  <c r="B5" i="61"/>
  <c r="G4" i="61" l="1"/>
  <c r="F8" i="61"/>
  <c r="F51" i="50"/>
  <c r="F48" i="50"/>
  <c r="F38" i="50"/>
  <c r="F35" i="50"/>
  <c r="H4" i="61" l="1"/>
  <c r="G8" i="61"/>
  <c r="H8" i="61" s="1"/>
  <c r="F77" i="50"/>
  <c r="F64" i="50"/>
  <c r="F10" i="50"/>
  <c r="F24" i="50"/>
  <c r="D12" i="53" l="1"/>
  <c r="F12" i="53"/>
  <c r="G12" i="53"/>
  <c r="H12" i="53"/>
  <c r="I12" i="53"/>
  <c r="F74" i="50" l="1"/>
  <c r="F61" i="50"/>
  <c r="F7" i="50"/>
  <c r="F21" i="50"/>
  <c r="F8" i="43" l="1"/>
  <c r="I70" i="50"/>
  <c r="I77" i="50"/>
  <c r="H75" i="50"/>
  <c r="I74" i="50"/>
  <c r="H74" i="50"/>
  <c r="I57" i="50"/>
  <c r="I64" i="50"/>
  <c r="H62" i="50"/>
  <c r="I61" i="50"/>
  <c r="H61" i="50"/>
  <c r="I44" i="50"/>
  <c r="E51" i="50" s="1"/>
  <c r="I51" i="50"/>
  <c r="H49" i="50"/>
  <c r="I48" i="50"/>
  <c r="H48" i="50"/>
  <c r="I31" i="50"/>
  <c r="I38" i="50"/>
  <c r="H36" i="50"/>
  <c r="I35" i="50"/>
  <c r="H35" i="50"/>
  <c r="I17" i="50"/>
  <c r="I24" i="50"/>
  <c r="H22" i="50"/>
  <c r="I21" i="50"/>
  <c r="H21" i="50"/>
  <c r="I3" i="50"/>
  <c r="D6" i="57"/>
  <c r="D7" i="57" s="1"/>
  <c r="E6" i="57"/>
  <c r="E7" i="57" s="1"/>
  <c r="D31" i="57"/>
  <c r="E31" i="57"/>
  <c r="D31" i="56"/>
  <c r="E31" i="56"/>
  <c r="D6" i="56"/>
  <c r="E6" i="56"/>
  <c r="E7" i="56" s="1"/>
  <c r="E25" i="53"/>
  <c r="F25" i="53" s="1"/>
  <c r="G25" i="53" s="1"/>
  <c r="H25" i="53" s="1"/>
  <c r="E38" i="50" l="1"/>
  <c r="E77" i="50"/>
  <c r="E24" i="50"/>
  <c r="E64" i="50"/>
  <c r="I25" i="53"/>
  <c r="E75" i="50"/>
  <c r="E71" i="50"/>
  <c r="E72" i="50"/>
  <c r="E76" i="50"/>
  <c r="E73" i="50"/>
  <c r="E74" i="50"/>
  <c r="E78" i="50"/>
  <c r="E34" i="50"/>
  <c r="E38" i="43"/>
  <c r="E35" i="50"/>
  <c r="E39" i="50"/>
  <c r="E47" i="43" s="1"/>
  <c r="E36" i="50"/>
  <c r="E45" i="43" s="1"/>
  <c r="E32" i="50"/>
  <c r="E36" i="43" s="1"/>
  <c r="E33" i="50"/>
  <c r="E43" i="43" s="1"/>
  <c r="E37" i="50"/>
  <c r="E44" i="43" s="1"/>
  <c r="E48" i="50"/>
  <c r="E52" i="50"/>
  <c r="E49" i="50"/>
  <c r="E45" i="50"/>
  <c r="E46" i="50"/>
  <c r="E50" i="50"/>
  <c r="E47" i="50"/>
  <c r="E7" i="50"/>
  <c r="E6" i="50"/>
  <c r="E11" i="50"/>
  <c r="E4" i="50"/>
  <c r="C36" i="43" s="1"/>
  <c r="E9" i="50"/>
  <c r="C44" i="43" s="1"/>
  <c r="E8" i="50"/>
  <c r="C45" i="43" s="1"/>
  <c r="E5" i="50"/>
  <c r="C43" i="43" s="1"/>
  <c r="E61" i="50"/>
  <c r="E65" i="50"/>
  <c r="E62" i="50"/>
  <c r="E58" i="50"/>
  <c r="E59" i="50"/>
  <c r="E63" i="50"/>
  <c r="E60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E37" i="43"/>
  <c r="D7" i="56"/>
  <c r="C44" i="56" l="1"/>
  <c r="C44" i="57"/>
  <c r="C43" i="57"/>
  <c r="C43" i="56"/>
  <c r="E44" i="57"/>
  <c r="E19" i="57" s="1"/>
  <c r="E44" i="56"/>
  <c r="E19" i="56" s="1"/>
  <c r="E43" i="57"/>
  <c r="E43" i="56"/>
  <c r="E37" i="57"/>
  <c r="E12" i="57" s="1"/>
  <c r="E37" i="56"/>
  <c r="E12" i="56" s="1"/>
  <c r="D36" i="57"/>
  <c r="D11" i="57" s="1"/>
  <c r="D36" i="56"/>
  <c r="D11" i="56" s="1"/>
  <c r="D37" i="57"/>
  <c r="D12" i="57" s="1"/>
  <c r="D37" i="56"/>
  <c r="D12" i="56" s="1"/>
  <c r="C45" i="57"/>
  <c r="C45" i="56"/>
  <c r="D47" i="57"/>
  <c r="D22" i="57" s="1"/>
  <c r="D47" i="56"/>
  <c r="D22" i="56" s="1"/>
  <c r="D44" i="57"/>
  <c r="D19" i="57" s="1"/>
  <c r="D44" i="56"/>
  <c r="D19" i="56" s="1"/>
  <c r="E36" i="57"/>
  <c r="E11" i="57" s="1"/>
  <c r="E36" i="56"/>
  <c r="E11" i="56" s="1"/>
  <c r="E38" i="57"/>
  <c r="E13" i="57" s="1"/>
  <c r="E38" i="56"/>
  <c r="E13" i="56" s="1"/>
  <c r="E14" i="56" s="1"/>
  <c r="D43" i="57"/>
  <c r="D43" i="56"/>
  <c r="C36" i="57"/>
  <c r="C36" i="56"/>
  <c r="E45" i="57"/>
  <c r="E45" i="56"/>
  <c r="D38" i="56"/>
  <c r="D13" i="56" s="1"/>
  <c r="D38" i="57"/>
  <c r="D13" i="57" s="1"/>
  <c r="D45" i="56"/>
  <c r="D45" i="57"/>
  <c r="E47" i="57"/>
  <c r="E22" i="57" s="1"/>
  <c r="E47" i="56"/>
  <c r="E22" i="56" s="1"/>
  <c r="D14" i="56" l="1"/>
  <c r="E14" i="57"/>
  <c r="D14" i="57"/>
  <c r="D31" i="43" l="1"/>
  <c r="D32" i="43" s="1"/>
  <c r="E31" i="43"/>
  <c r="E32" i="43" s="1"/>
  <c r="D6" i="43"/>
  <c r="E6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E12" i="43" l="1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H7" i="50" l="1"/>
  <c r="I10" i="50" l="1"/>
  <c r="E10" i="50" s="1"/>
  <c r="B9" i="51"/>
  <c r="L8" i="55" l="1"/>
  <c r="K9" i="55"/>
  <c r="L7" i="55"/>
  <c r="C6" i="57"/>
  <c r="C31" i="57"/>
  <c r="C6" i="56"/>
  <c r="F6" i="56" s="1"/>
  <c r="C31" i="56"/>
  <c r="E8" i="56" l="1"/>
  <c r="E9" i="56" s="1"/>
  <c r="D8" i="56"/>
  <c r="D9" i="56" s="1"/>
  <c r="E8" i="57"/>
  <c r="E9" i="57" s="1"/>
  <c r="D8" i="57"/>
  <c r="D9" i="57" s="1"/>
  <c r="F6" i="57"/>
  <c r="E3" i="2" s="1"/>
  <c r="D3" i="2"/>
  <c r="C7" i="56"/>
  <c r="C7" i="57"/>
  <c r="F7" i="57" s="1"/>
  <c r="C38" i="43"/>
  <c r="C37" i="43"/>
  <c r="L9" i="55"/>
  <c r="K10" i="55"/>
  <c r="L10" i="55" s="1"/>
  <c r="C11" i="56"/>
  <c r="F11" i="56" s="1"/>
  <c r="C38" i="57" l="1"/>
  <c r="C13" i="57" s="1"/>
  <c r="F13" i="57" s="1"/>
  <c r="E10" i="2" s="1"/>
  <c r="C38" i="56"/>
  <c r="C13" i="56" s="1"/>
  <c r="F13" i="56" s="1"/>
  <c r="C37" i="56"/>
  <c r="C12" i="56" s="1"/>
  <c r="C37" i="57"/>
  <c r="E32" i="57"/>
  <c r="D32" i="56"/>
  <c r="D32" i="57"/>
  <c r="E32" i="56"/>
  <c r="C8" i="56"/>
  <c r="C9" i="56" s="1"/>
  <c r="F7" i="56"/>
  <c r="D4" i="2" s="1"/>
  <c r="E4" i="2"/>
  <c r="C8" i="57"/>
  <c r="C11" i="57"/>
  <c r="D8" i="2"/>
  <c r="C19" i="57"/>
  <c r="C19" i="56"/>
  <c r="F19" i="56" s="1"/>
  <c r="C12" i="57"/>
  <c r="F12" i="57" s="1"/>
  <c r="D34" i="2" l="1"/>
  <c r="E36" i="2"/>
  <c r="E20" i="56"/>
  <c r="D20" i="56"/>
  <c r="D20" i="57"/>
  <c r="E20" i="57"/>
  <c r="C32" i="56"/>
  <c r="C20" i="56" s="1"/>
  <c r="F9" i="56"/>
  <c r="D6" i="2" s="1"/>
  <c r="D29" i="2" s="1"/>
  <c r="C9" i="57"/>
  <c r="F8" i="57"/>
  <c r="E5" i="2" s="1"/>
  <c r="F11" i="57"/>
  <c r="E8" i="2" s="1"/>
  <c r="F8" i="56"/>
  <c r="D5" i="2" s="1"/>
  <c r="C14" i="56"/>
  <c r="F14" i="56" s="1"/>
  <c r="F12" i="56"/>
  <c r="C14" i="57"/>
  <c r="F14" i="57" s="1"/>
  <c r="F19" i="57"/>
  <c r="E16" i="2" s="1"/>
  <c r="E42" i="2" s="1"/>
  <c r="D10" i="2"/>
  <c r="D16" i="2"/>
  <c r="D42" i="2" s="1"/>
  <c r="D36" i="2" l="1"/>
  <c r="D47" i="2"/>
  <c r="E34" i="2"/>
  <c r="F20" i="56"/>
  <c r="C32" i="57"/>
  <c r="C20" i="57" s="1"/>
  <c r="F9" i="57"/>
  <c r="E6" i="2" s="1"/>
  <c r="E29" i="2" s="1"/>
  <c r="E47" i="2" l="1"/>
  <c r="F20" i="57"/>
  <c r="E17" i="2" s="1"/>
  <c r="D11" i="2"/>
  <c r="D9" i="2"/>
  <c r="E49" i="2" l="1"/>
  <c r="E43" i="2"/>
  <c r="D35" i="2"/>
  <c r="E11" i="2"/>
  <c r="E9" i="2"/>
  <c r="E35" i="2" l="1"/>
  <c r="D17" i="2"/>
  <c r="D43" i="2" l="1"/>
  <c r="D49" i="2"/>
  <c r="B5" i="51"/>
  <c r="H8" i="50" l="1"/>
  <c r="I7" i="50"/>
  <c r="E24" i="53" l="1"/>
  <c r="F24" i="53" s="1"/>
  <c r="G24" i="53" s="1"/>
  <c r="H24" i="53" s="1"/>
  <c r="E23" i="53"/>
  <c r="F23" i="53" s="1"/>
  <c r="G23" i="53" s="1"/>
  <c r="H23" i="53" s="1"/>
  <c r="E22" i="53"/>
  <c r="E12" i="53"/>
  <c r="E21" i="53" s="1"/>
  <c r="E20" i="53"/>
  <c r="I9" i="55"/>
  <c r="G22" i="51"/>
  <c r="B27" i="5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J5" i="36" s="1"/>
  <c r="I6" i="36"/>
  <c r="H6" i="36"/>
  <c r="G6" i="36"/>
  <c r="E6" i="36"/>
  <c r="E5" i="36" s="1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E10" i="36" l="1"/>
  <c r="F22" i="53"/>
  <c r="G22" i="53" s="1"/>
  <c r="H22" i="53" s="1"/>
  <c r="F20" i="53"/>
  <c r="G20" i="53" s="1"/>
  <c r="H20" i="53" s="1"/>
  <c r="I20" i="53" s="1"/>
  <c r="F21" i="53"/>
  <c r="G21" i="53" s="1"/>
  <c r="H21" i="53" s="1"/>
  <c r="C56" i="2"/>
  <c r="D27" i="51"/>
  <c r="C47" i="56"/>
  <c r="C22" i="56" s="1"/>
  <c r="F22" i="56" s="1"/>
  <c r="D19" i="2" s="1"/>
  <c r="D51" i="2" s="1"/>
  <c r="C47" i="57"/>
  <c r="C22" i="57" s="1"/>
  <c r="F22" i="57" s="1"/>
  <c r="E19" i="2" s="1"/>
  <c r="E51" i="2" s="1"/>
  <c r="I24" i="53"/>
  <c r="I23" i="53"/>
  <c r="E33" i="43"/>
  <c r="E10" i="43"/>
  <c r="K10" i="36"/>
  <c r="D33" i="43"/>
  <c r="D10" i="43"/>
  <c r="C22" i="43"/>
  <c r="F22" i="43" s="1"/>
  <c r="F6" i="43"/>
  <c r="C3" i="2" s="1"/>
  <c r="F3" i="2" s="1"/>
  <c r="C19" i="43"/>
  <c r="F19" i="43" s="1"/>
  <c r="C10" i="56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F11" i="43" s="1"/>
  <c r="C12" i="43"/>
  <c r="F12" i="43" s="1"/>
  <c r="C13" i="43"/>
  <c r="F13" i="43" s="1"/>
  <c r="C20" i="43"/>
  <c r="F20" i="43" s="1"/>
  <c r="I21" i="53" l="1"/>
  <c r="I22" i="53"/>
  <c r="F18" i="56"/>
  <c r="D60" i="2" s="1"/>
  <c r="C57" i="2"/>
  <c r="C55" i="2" s="1"/>
  <c r="F10" i="43"/>
  <c r="C7" i="2" s="1"/>
  <c r="C30" i="2" s="1"/>
  <c r="D33" i="56"/>
  <c r="D34" i="56" s="1"/>
  <c r="D40" i="56" s="1"/>
  <c r="D10" i="56"/>
  <c r="D15" i="56" s="1"/>
  <c r="D16" i="56" s="1"/>
  <c r="E33" i="56"/>
  <c r="E34" i="56" s="1"/>
  <c r="E40" i="56" s="1"/>
  <c r="E10" i="56"/>
  <c r="E15" i="56" s="1"/>
  <c r="E16" i="56" s="1"/>
  <c r="C9" i="43"/>
  <c r="F9" i="43" s="1"/>
  <c r="F7" i="43"/>
  <c r="C4" i="2" s="1"/>
  <c r="F18" i="43"/>
  <c r="D34" i="43"/>
  <c r="D40" i="43" s="1"/>
  <c r="D15" i="43"/>
  <c r="C33" i="56"/>
  <c r="C34" i="56" s="1"/>
  <c r="C40" i="56" s="1"/>
  <c r="C14" i="43"/>
  <c r="F14" i="43" s="1"/>
  <c r="G17" i="36"/>
  <c r="G19" i="36" s="1"/>
  <c r="F18" i="57"/>
  <c r="E60" i="2" s="1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F21" i="56"/>
  <c r="F21" i="57"/>
  <c r="C17" i="2"/>
  <c r="C43" i="2" s="1"/>
  <c r="C9" i="2"/>
  <c r="C35" i="2" s="1"/>
  <c r="F21" i="43"/>
  <c r="E27" i="51"/>
  <c r="F27" i="51" s="1"/>
  <c r="D28" i="51"/>
  <c r="M17" i="36"/>
  <c r="C18" i="43" l="1"/>
  <c r="C60" i="2"/>
  <c r="M19" i="36"/>
  <c r="C33" i="57"/>
  <c r="C34" i="57" s="1"/>
  <c r="C40" i="57" s="1"/>
  <c r="C10" i="57"/>
  <c r="D33" i="57"/>
  <c r="D34" i="57" s="1"/>
  <c r="D40" i="57" s="1"/>
  <c r="D10" i="57"/>
  <c r="D15" i="57" s="1"/>
  <c r="D16" i="57" s="1"/>
  <c r="F9" i="2"/>
  <c r="F35" i="2" s="1"/>
  <c r="I22" i="36"/>
  <c r="F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E21" i="57"/>
  <c r="D21" i="57"/>
  <c r="D16" i="43"/>
  <c r="E34" i="43"/>
  <c r="E40" i="43" s="1"/>
  <c r="E15" i="43"/>
  <c r="C6" i="2"/>
  <c r="C15" i="56"/>
  <c r="C20" i="36"/>
  <c r="D20" i="36" s="1"/>
  <c r="E20" i="36" s="1"/>
  <c r="C16" i="2"/>
  <c r="D18" i="2"/>
  <c r="D50" i="2" s="1"/>
  <c r="C21" i="56"/>
  <c r="C46" i="56" s="1"/>
  <c r="C48" i="56" s="1"/>
  <c r="E18" i="2"/>
  <c r="E50" i="2" s="1"/>
  <c r="C21" i="57"/>
  <c r="C46" i="57" s="1"/>
  <c r="C8" i="2"/>
  <c r="C34" i="2" s="1"/>
  <c r="C10" i="2"/>
  <c r="C36" i="2" s="1"/>
  <c r="C15" i="43"/>
  <c r="E28" i="51"/>
  <c r="I27" i="51"/>
  <c r="C19" i="2"/>
  <c r="F19" i="2" s="1"/>
  <c r="F28" i="51"/>
  <c r="C18" i="2"/>
  <c r="F16" i="2" l="1"/>
  <c r="F42" i="2" s="1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2"/>
  <c r="F18" i="36"/>
  <c r="G18" i="36" s="1"/>
  <c r="H18" i="36" s="1"/>
  <c r="E24" i="36" s="1"/>
  <c r="F10" i="2"/>
  <c r="F10" i="57"/>
  <c r="E7" i="2" s="1"/>
  <c r="E30" i="2" s="1"/>
  <c r="E31" i="2" s="1"/>
  <c r="E32" i="2" s="1"/>
  <c r="F8" i="2"/>
  <c r="F34" i="2" s="1"/>
  <c r="F6" i="2"/>
  <c r="F17" i="57"/>
  <c r="E14" i="2" s="1"/>
  <c r="E48" i="43"/>
  <c r="C16" i="43"/>
  <c r="E46" i="57"/>
  <c r="E48" i="57" s="1"/>
  <c r="E23" i="57"/>
  <c r="E24" i="57" s="1"/>
  <c r="E46" i="56"/>
  <c r="E48" i="56" s="1"/>
  <c r="D46" i="57"/>
  <c r="D48" i="57" s="1"/>
  <c r="D23" i="57"/>
  <c r="D24" i="57" s="1"/>
  <c r="D46" i="56"/>
  <c r="D48" i="56" s="1"/>
  <c r="C16" i="56"/>
  <c r="F15" i="56"/>
  <c r="F16" i="56" s="1"/>
  <c r="D13" i="2" s="1"/>
  <c r="E16" i="43"/>
  <c r="C48" i="57"/>
  <c r="C15" i="57"/>
  <c r="F15" i="57" s="1"/>
  <c r="C23" i="57"/>
  <c r="C11" i="2"/>
  <c r="F11" i="2" s="1"/>
  <c r="C46" i="43"/>
  <c r="C48" i="43" s="1"/>
  <c r="G28" i="51"/>
  <c r="I20" i="36" l="1"/>
  <c r="J20" i="36" s="1"/>
  <c r="K20" i="36" s="1"/>
  <c r="L20" i="36" s="1"/>
  <c r="E41" i="2"/>
  <c r="E48" i="2"/>
  <c r="D25" i="57"/>
  <c r="D26" i="57" s="1"/>
  <c r="D27" i="57" s="1"/>
  <c r="I18" i="36"/>
  <c r="J18" i="36" s="1"/>
  <c r="K18" i="36" s="1"/>
  <c r="L18" i="36" s="1"/>
  <c r="F47" i="2"/>
  <c r="F36" i="2"/>
  <c r="F29" i="2"/>
  <c r="F23" i="57"/>
  <c r="F24" i="57" s="1"/>
  <c r="F25" i="57" s="1"/>
  <c r="F51" i="2"/>
  <c r="F49" i="2"/>
  <c r="F50" i="2"/>
  <c r="E25" i="57"/>
  <c r="E26" i="57" s="1"/>
  <c r="E27" i="57" s="1"/>
  <c r="D12" i="2"/>
  <c r="D38" i="2" s="1"/>
  <c r="F15" i="43"/>
  <c r="C16" i="57"/>
  <c r="C24" i="57"/>
  <c r="H28" i="51"/>
  <c r="I26" i="51"/>
  <c r="F60" i="2" s="1"/>
  <c r="C25" i="57" l="1"/>
  <c r="C26" i="57" s="1"/>
  <c r="E20" i="2"/>
  <c r="F16" i="43"/>
  <c r="C12" i="2"/>
  <c r="C38" i="2" s="1"/>
  <c r="E12" i="2"/>
  <c r="E38" i="2" s="1"/>
  <c r="F16" i="57"/>
  <c r="E13" i="2" s="1"/>
  <c r="E22" i="2"/>
  <c r="E21" i="2"/>
  <c r="E53" i="2" s="1"/>
  <c r="C27" i="57" l="1"/>
  <c r="F26" i="57"/>
  <c r="F27" i="57" s="1"/>
  <c r="E24" i="2" s="1"/>
  <c r="E39" i="2"/>
  <c r="F7" i="2"/>
  <c r="C13" i="2"/>
  <c r="E23" i="2" l="1"/>
  <c r="E52" i="2" s="1"/>
  <c r="F12" i="2"/>
  <c r="F30" i="2"/>
  <c r="F31" i="2" s="1"/>
  <c r="F32" i="2" s="1"/>
  <c r="E59" i="2" l="1"/>
  <c r="E58" i="2" s="1"/>
  <c r="F13" i="2"/>
  <c r="F38" i="2"/>
  <c r="E18" i="43" l="1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F17" i="43" l="1"/>
  <c r="C23" i="43"/>
  <c r="C24" i="43" s="1"/>
  <c r="C25" i="43" s="1"/>
  <c r="D26" i="43"/>
  <c r="D27" i="43" s="1"/>
  <c r="E26" i="43"/>
  <c r="E27" i="43" s="1"/>
  <c r="F23" i="43" l="1"/>
  <c r="F24" i="43" s="1"/>
  <c r="F25" i="43" s="1"/>
  <c r="C14" i="2"/>
  <c r="C26" i="43"/>
  <c r="F26" i="43" s="1"/>
  <c r="C41" i="2" l="1"/>
  <c r="C48" i="2"/>
  <c r="C27" i="43"/>
  <c r="F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E26" i="56" l="1"/>
  <c r="E27" i="56" s="1"/>
  <c r="C23" i="56"/>
  <c r="C24" i="56" s="1"/>
  <c r="C25" i="56" s="1"/>
  <c r="F17" i="56"/>
  <c r="D26" i="56"/>
  <c r="D27" i="56" s="1"/>
  <c r="D14" i="2" l="1"/>
  <c r="F23" i="56"/>
  <c r="C26" i="56"/>
  <c r="F26" i="56" s="1"/>
  <c r="D41" i="2" l="1"/>
  <c r="D48" i="2"/>
  <c r="C27" i="56"/>
  <c r="F24" i="56"/>
  <c r="F25" i="56" s="1"/>
  <c r="D20" i="2"/>
  <c r="F14" i="2"/>
  <c r="F20" i="2" l="1"/>
  <c r="D39" i="2"/>
  <c r="F41" i="2"/>
  <c r="F48" i="2"/>
  <c r="D23" i="2"/>
  <c r="F27" i="56"/>
  <c r="D24" i="2" s="1"/>
  <c r="D21" i="2"/>
  <c r="D53" i="2" s="1"/>
  <c r="D22" i="2"/>
  <c r="D59" i="2" l="1"/>
  <c r="D58" i="2" s="1"/>
  <c r="D52" i="2"/>
  <c r="F39" i="2"/>
  <c r="F21" i="2"/>
  <c r="F22" i="2" s="1"/>
  <c r="F23" i="2" l="1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<sst xmlns="http://schemas.openxmlformats.org/spreadsheetml/2006/main" count="1116" uniqueCount="318">
  <si>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</si>
  <si>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</si>
  <si>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</si>
  <si>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</si>
  <si>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</si>
  <si>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</si>
  <si>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</si>
  <si>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</si>
  <si>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</si>
  <si>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</si>
  <si>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</si>
  <si>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</si>
  <si>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</si>
  <si>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</si>
  <si>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</si>
  <si>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</si>
  <si>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</si>
  <si>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</si>
  <si>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</si>
  <si>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</si>
  <si>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</si>
  <si>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</si>
  <si>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</si>
  <si>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</si>
  <si>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</si>
  <si>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</si>
  <si>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</si>
  <si>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</si>
  <si>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</si>
  <si>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</si>
  <si>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</si>
  <si>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</si>
  <si>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</si>
  <si>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</si>
  <si>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</si>
  <si>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</si>
  <si>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</si>
  <si>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</si>
  <si>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</si>
  <si>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</si>
  <si>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</si>
  <si>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</si>
  <si>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</si>
  <si>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</si>
  <si>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</si>
  <si>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</si>
  <si>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</si>
  <si>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</si>
  <si>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</si>
  <si>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</si>
  <si>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</si>
  <si>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</si>
  <si>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</si>
  <si>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</si>
  <si>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</si>
  <si>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</si>
  <si>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</si>
  <si>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</si>
  <si>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</si>
  <si>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</si>
  <si>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</si>
  <si>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</si>
  <si>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</si>
  <si>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</si>
  <si>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</si>
  <si>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</si>
  <si>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</si>
  <si>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</si>
  <si>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</si>
  <si>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</si>
  <si>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</si>
  <si>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</si>
  <si>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</si>
  <si>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</si>
  <si>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</si>
  <si>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</si>
  <si>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</si>
  <si>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</si>
  <si>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</si>
  <si>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</si>
  <si>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</si>
  <si>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</si>
  <si>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</si>
  <si>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</si>
  <si>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</si>
  <si>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</si>
  <si>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</si>
  <si>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</si>
  <si>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</si>
  <si>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</si>
  <si>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</si>
  <si>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</si>
  <si>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</si>
  <si>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</si>
  <si>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</si>
  <si>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</si>
  <si>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</si>
  <si>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</si>
  <si>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</si>
  <si>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</si>
  <si>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</si>
  <si>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</si>
  <si>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</si>
  <si>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</si>
  <si>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</si>
  <si>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</si>
  <si>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</si>
  <si>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</si>
  <si>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</si>
  <si>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</si>
  <si>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</si>
  <si>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</si>
  <si>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</si>
  <si>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</si>
  <si>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</si>
  <si>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</si>
  <si>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</si>
  <si>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</si>
  <si>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</si>
  <si>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</si>
  <si>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</si>
  <si>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</si>
  <si>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</si>
  <si>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</si>
  <si>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</si>
  <si>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</si>
  <si>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</si>
  <si>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</si>
  <si>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</si>
  <si>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</si>
  <si>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</si>
  <si>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</si>
  <si>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</si>
  <si>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</si>
  <si>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</si>
  <si>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</si>
  <si>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</si>
  <si>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</si>
  <si>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</si>
  <si>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</si>
  <si>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</si>
  <si>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</si>
  <si>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</si>
  <si>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</si>
  <si>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</si>
  <si>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</si>
  <si>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</si>
  <si>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</si>
  <si>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</si>
  <si>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</si>
  <si>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</si>
  <si>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</si>
  <si>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</si>
  <si>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</si>
  <si>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</si>
  <si>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</si>
  <si>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</si>
  <si>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</si>
  <si>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</si>
  <si>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</si>
  <si>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</si>
  <si>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</si>
  <si>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</si>
  <si>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</si>
  <si>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</si>
  <si>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</si>
  <si>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</si>
  <si>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</si>
  <si>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</si>
  <si>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</si>
  <si>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</si>
  <si>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</si>
  <si>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</si>
  <si>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</si>
  <si>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</si>
  <si>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</si>
  <si>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</si>
  <si>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</si>
  <si>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</si>
  <si>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</si>
  <si>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</si>
  <si>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</si>
  <si>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</si>
  <si>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</si>
  <si>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</si>
  <si>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</si>
  <si>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</si>
  <si>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</si>
  <si>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</si>
  <si>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</si>
  <si>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</si>
  <si>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</si>
  <si>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</si>
  <si>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</si>
  <si>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</si>
  <si>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</si>
  <si>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</si>
  <si>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</si>
  <si>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</si>
  <si>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</si>
  <si>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</si>
  <si>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</si>
  <si>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</si>
  <si>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</si>
  <si>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</si>
  <si>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</si>
  <si>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</si>
  <si>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</si>
  <si>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</si>
  <si>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</si>
  <si>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</si>
  <si>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</si>
  <si>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</si>
  <si>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</si>
  <si>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</si>
  <si>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</si>
  <si>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</si>
  <si>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</si>
  <si>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</si>
  <si>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</si>
  <si>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</si>
  <si>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</si>
  <si>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</si>
  <si>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</si>
  <si>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</si>
  <si>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</si>
  <si>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</si>
  <si>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</si>
  <si>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</si>
  <si>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</si>
  <si>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</si>
  <si>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</si>
  <si>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</si>
  <si>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</si>
  <si>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</si>
  <si>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</si>
  <si>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</si>
  <si>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</si>
  <si>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</si>
  <si>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</si>
  <si>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</si>
  <si>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</si>
  <si>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</si>
  <si>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</si>
  <si>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</si>
  <si>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</si>
  <si>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</si>
  <si>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</si>
  <si>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</si>
  <si>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</si>
  <si>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</si>
  <si>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</si>
  <si>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</si>
  <si>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 xml:space="preserve">   3 年</t>
    <phoneticPr fontId="38" type="noConversion"/>
  </si>
  <si>
    <t>空气减震主座椅（集成安全带、PVC+织物）</t>
  </si>
  <si>
    <t>T5固定式副驾驶员座椅（集成安全带、PVC+织物）</t>
  </si>
  <si>
    <t>T5固定式副驾驶员座椅坐垫(PVC+织物</t>
  </si>
  <si>
    <t>YZ166251000006</t>
    <phoneticPr fontId="38" type="noConversion"/>
  </si>
  <si>
    <t>YZ166251000008</t>
  </si>
  <si>
    <t>YZ166251000009</t>
  </si>
  <si>
    <t>陕重汽</t>
    <phoneticPr fontId="38" type="noConversion"/>
  </si>
  <si>
    <t xml:space="preserve">豪沃TX价值版座椅项目研发费用预算表 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</si>
  <si>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</si>
  <si>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</si>
  <si>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</si>
  <si>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</si>
  <si>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</si>
  <si>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</si>
  <si>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</si>
  <si>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供应商年降：     3  年2%</t>
    <phoneticPr fontId="38" type="noConversion"/>
  </si>
  <si>
    <t>TX固定式副驾驶员座椅（集成安全带、PVC+织物）</t>
  </si>
  <si>
    <t>TX固定式副驾驶员座椅坐垫(PVC+织物)</t>
    <phoneticPr fontId="35" type="noConversion"/>
  </si>
  <si>
    <t>空气悬挂主座椅（定阻尼、集成安全带、PVC+织物、通风）</t>
    <phoneticPr fontId="35" type="noConversion"/>
  </si>
  <si>
    <t>YZ166251000039</t>
  </si>
  <si>
    <t>YZ166251000040</t>
  </si>
  <si>
    <t>YZ166251000038</t>
  </si>
  <si>
    <t>集成安全带、冲压件安装点</t>
    <phoneticPr fontId="35" type="noConversion"/>
  </si>
  <si>
    <t>集成安全带、气动升降、气囊减震、右扶手、单通风</t>
    <phoneticPr fontId="35" type="noConversion"/>
  </si>
  <si>
    <t>2023年</t>
    <phoneticPr fontId="38" type="noConversion"/>
  </si>
  <si>
    <t>2024年</t>
    <phoneticPr fontId="38" type="noConversion"/>
  </si>
  <si>
    <t>2027年</t>
  </si>
  <si>
    <t>河北工厂</t>
    <phoneticPr fontId="35" type="noConversion"/>
  </si>
  <si>
    <t>济南市、市中区、莱芜</t>
    <phoneticPr fontId="35" type="noConversion"/>
  </si>
  <si>
    <t>送货地点</t>
    <phoneticPr fontId="35" type="noConversion"/>
  </si>
  <si>
    <t>五个月付款周期</t>
    <phoneticPr fontId="35" type="noConversion"/>
  </si>
  <si>
    <t>现汇或承兑的比例</t>
    <phoneticPr fontId="35" type="noConversion"/>
  </si>
  <si>
    <t>无</t>
    <phoneticPr fontId="35" type="noConversion"/>
  </si>
  <si>
    <t>周转箱</t>
    <phoneticPr fontId="35" type="noConversion"/>
  </si>
  <si>
    <t>驻场服务</t>
    <phoneticPr fontId="35" type="noConversion"/>
  </si>
  <si>
    <t>包含所有的主、辅料</t>
    <phoneticPr fontId="35" type="noConversion"/>
  </si>
  <si>
    <t>开发费分摊情况</t>
  </si>
  <si>
    <t>分摊</t>
    <phoneticPr fontId="35" type="noConversion"/>
  </si>
  <si>
    <t>产品应用场景</t>
  </si>
  <si>
    <t>公路车</t>
    <phoneticPr fontId="35" type="noConversion"/>
  </si>
  <si>
    <t>三包周期</t>
  </si>
  <si>
    <t>18个月</t>
    <phoneticPr fontId="35" type="noConversion"/>
  </si>
  <si>
    <t>其他</t>
    <phoneticPr fontId="35" type="noConversion"/>
  </si>
  <si>
    <t>涂红色处为必填项</t>
    <phoneticPr fontId="35" type="noConversion"/>
  </si>
  <si>
    <t>2-5月份出差河北工厂</t>
  </si>
  <si>
    <t>2月份样件试装及评审-5台；
3月份OTS样件试装-20台；
4月份PT1小批量生产验证-50台；
5月份开始客户订单拉动。
客户正式订单可以实现收入。</t>
  </si>
  <si>
    <t>强检及3C认证费用</t>
  </si>
  <si>
    <t>过路过桥费</t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</si>
  <si>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</si>
  <si>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</si>
  <si>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</si>
  <si>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t>面套自制</t>
    <phoneticPr fontId="38" type="noConversion"/>
  </si>
  <si>
    <t>合   计</t>
    <phoneticPr fontId="38" type="noConversion"/>
  </si>
  <si>
    <t>立项销价</t>
    <phoneticPr fontId="38" type="noConversion"/>
  </si>
  <si>
    <t>附加值汇总表（未税）</t>
    <phoneticPr fontId="38" type="noConversion"/>
  </si>
  <si>
    <t>SHT0015392</t>
  </si>
  <si>
    <t>SHT0015389</t>
  </si>
  <si>
    <t>SHT0015382</t>
  </si>
  <si>
    <t>ZY2252</t>
    <phoneticPr fontId="38" type="noConversion"/>
  </si>
  <si>
    <t>重汽豪沃TX（单通风）项目</t>
    <phoneticPr fontId="38" type="noConversion"/>
  </si>
  <si>
    <t>销售价格（未税）：由营销或项目经理提供，包括年降2%。</t>
    <phoneticPr fontId="38" type="noConversion"/>
  </si>
  <si>
    <t>成本预估由项目经理提供。供应商年度降价幅度同销价降幅。</t>
    <phoneticPr fontId="38" type="noConversion"/>
  </si>
  <si>
    <t>财务费用按集团整体费用水平。</t>
    <phoneticPr fontId="38" type="noConversion"/>
  </si>
  <si>
    <r>
      <t xml:space="preserve">重汽豪沃TX（单通风）项目投资收益分析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</si>
</sst>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_);[Red]\(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42" fillId="0" borderId="0">
      <alignment vertical="center"/>
    </xf>
    <xf numFmtId="43" fontId="41" fillId="0" borderId="0">
      <protection locked="0"/>
    </xf>
    <xf numFmtId="0" fontId="54" fillId="0" borderId="0">
      <protection locked="0"/>
    </xf>
  </cellStyleXfs>
  <cellXfs count="30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0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 wrapText="1"/>
    </xf>
    <xf numFmtId="181" fontId="42" fillId="0" borderId="1" xfId="0" applyNumberFormat="1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top" wrapText="1"/>
    </xf>
    <xf numFmtId="0" fontId="0" fillId="0" borderId="1" xfId="0" applyNumberForma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10" fontId="41" fillId="2" borderId="1" xfId="0" applyNumberFormat="1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43" fontId="0" fillId="0" borderId="0" xfId="0" applyNumberFormat="1">
      <alignment vertical="center"/>
    </xf>
    <xf numFmtId="0" fontId="41" fillId="0" borderId="1" xfId="11" applyFont="1" applyBorder="1">
      <alignment vertical="center"/>
    </xf>
    <xf numFmtId="43" fontId="41" fillId="8" borderId="1" xfId="12" applyFill="1" applyBorder="1" applyAlignment="1" applyProtection="1">
      <alignment horizontal="center" vertical="center"/>
    </xf>
    <xf numFmtId="0" fontId="41" fillId="0" borderId="1" xfId="1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1" xfId="0" applyNumberFormat="1" applyFon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52" fillId="0" borderId="1" xfId="0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5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3" fontId="27" fillId="0" borderId="1" xfId="1" applyFont="1" applyBorder="1" applyAlignment="1">
      <alignment vertical="center"/>
    </xf>
    <xf numFmtId="43" fontId="52" fillId="0" borderId="1" xfId="1" applyFont="1" applyFill="1" applyBorder="1" applyAlignment="1">
      <alignment vertical="center"/>
    </xf>
    <xf numFmtId="0" fontId="51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left" vertical="center"/>
    </xf>
    <xf numFmtId="43" fontId="1" fillId="0" borderId="1" xfId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Fill="1" applyBorder="1" applyAlignment="1">
      <alignment horizontal="center" vertical="center" wrapText="1" readingOrder="1"/>
    </xf>
    <xf numFmtId="0" fontId="49" fillId="3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 wrapText="1"/>
    </xf>
  </cellXfs>
  <cellStyles count="14">
    <cellStyle name="_x000a_mouse.drv=lm" xfId="2"/>
    <cellStyle name="_x000a_mouse.drv=lm 2" xfId="13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3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7" sqref="C7"/>
    </sheetView>
  </sheetViews>
  <sheetFormatPr defaultColWidth="9" defaultRowHeight="14"/>
  <cols>
    <col min="1" max="1" width="8.90625" customWidth="1"/>
    <col min="2" max="2" width="16.36328125" customWidth="1"/>
    <col min="3" max="3" width="89.7265625" customWidth="1"/>
  </cols>
  <sheetData>
    <row r="2" spans="1:4" s="137" customFormat="1" ht="35.25" customHeight="1">
      <c r="A2" s="138" t="s">
        <v>0</v>
      </c>
      <c r="B2" s="138" t="s">
        <v>1</v>
      </c>
      <c r="C2" s="138" t="s">
        <v>2</v>
      </c>
      <c r="D2" s="139"/>
    </row>
    <row r="3" spans="1:4" s="137" customFormat="1" ht="33.75" customHeight="1">
      <c r="A3" s="140">
        <v>1</v>
      </c>
      <c r="B3" s="140" t="s">
        <v>3</v>
      </c>
      <c r="C3" s="141" t="s">
        <v>4</v>
      </c>
      <c r="D3" s="139"/>
    </row>
    <row r="4" spans="1:4" s="137" customFormat="1" ht="33.75" customHeight="1">
      <c r="A4" s="140">
        <v>2</v>
      </c>
      <c r="B4" s="140" t="s">
        <v>5</v>
      </c>
      <c r="C4" s="141" t="s">
        <v>314</v>
      </c>
    </row>
    <row r="5" spans="1:4" s="137" customFormat="1" ht="33.75" customHeight="1">
      <c r="A5" s="140">
        <v>3</v>
      </c>
      <c r="B5" s="214" t="s">
        <v>6</v>
      </c>
      <c r="C5" s="142" t="s">
        <v>315</v>
      </c>
    </row>
    <row r="6" spans="1:4" s="137" customFormat="1" ht="33.75" customHeight="1">
      <c r="A6" s="140">
        <v>4</v>
      </c>
      <c r="B6" s="215"/>
      <c r="C6" s="141" t="s">
        <v>7</v>
      </c>
    </row>
    <row r="7" spans="1:4" s="137" customFormat="1" ht="33.75" customHeight="1">
      <c r="A7" s="140">
        <v>5</v>
      </c>
      <c r="B7" s="143" t="s">
        <v>8</v>
      </c>
      <c r="C7" s="141" t="s">
        <v>246</v>
      </c>
    </row>
    <row r="8" spans="1:4" s="137" customFormat="1" ht="33.75" customHeight="1">
      <c r="A8" s="140">
        <v>6</v>
      </c>
      <c r="B8" s="214" t="s">
        <v>9</v>
      </c>
      <c r="C8" s="141" t="s">
        <v>10</v>
      </c>
    </row>
    <row r="9" spans="1:4" s="137" customFormat="1" ht="33.75" customHeight="1">
      <c r="A9" s="140">
        <v>7</v>
      </c>
      <c r="B9" s="215"/>
      <c r="C9" s="141" t="s">
        <v>11</v>
      </c>
    </row>
    <row r="10" spans="1:4" s="137" customFormat="1" ht="33.75" customHeight="1">
      <c r="A10" s="140">
        <v>8</v>
      </c>
      <c r="B10" s="215"/>
      <c r="C10" s="142" t="s">
        <v>316</v>
      </c>
    </row>
    <row r="11" spans="1:4" s="137" customFormat="1" ht="33.75" customHeight="1">
      <c r="A11" s="140">
        <v>9</v>
      </c>
      <c r="B11" s="215"/>
      <c r="C11" s="141" t="s">
        <v>12</v>
      </c>
    </row>
    <row r="12" spans="1:4" s="137" customFormat="1" ht="33.75" customHeight="1">
      <c r="A12" s="140">
        <v>10</v>
      </c>
      <c r="B12" s="143" t="s">
        <v>13</v>
      </c>
      <c r="C12" s="141" t="s">
        <v>14</v>
      </c>
    </row>
    <row r="13" spans="1:4" ht="33.75" customHeight="1"/>
    <row r="14" spans="1:4" ht="33.75" customHeight="1"/>
    <row r="15" spans="1:4" ht="33.75" customHeight="1">
      <c r="C15" s="144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4"/>
  <cols>
    <col min="1" max="1" width="9" style="203"/>
    <col min="2" max="2" width="29.6328125" style="203" customWidth="1"/>
    <col min="3" max="3" width="25.453125" style="203" customWidth="1"/>
    <col min="4" max="4" width="22" style="203" customWidth="1"/>
    <col min="5" max="16384" width="9" style="203"/>
  </cols>
  <sheetData>
    <row r="1" spans="1:4" ht="27" customHeight="1">
      <c r="A1" s="202" t="s">
        <v>15</v>
      </c>
      <c r="B1" s="202" t="s">
        <v>202</v>
      </c>
      <c r="C1" s="202" t="s">
        <v>203</v>
      </c>
      <c r="D1" s="202" t="s">
        <v>204</v>
      </c>
    </row>
    <row r="2" spans="1:4" ht="19.5" customHeight="1">
      <c r="A2" s="202">
        <v>1</v>
      </c>
      <c r="B2" s="204" t="s">
        <v>205</v>
      </c>
      <c r="C2" s="205" t="s">
        <v>281</v>
      </c>
      <c r="D2" s="202"/>
    </row>
    <row r="3" spans="1:4" ht="36" customHeight="1">
      <c r="A3" s="202">
        <v>2</v>
      </c>
      <c r="B3" s="204" t="s">
        <v>206</v>
      </c>
      <c r="C3" s="206" t="s">
        <v>282</v>
      </c>
      <c r="D3" s="202" t="s">
        <v>283</v>
      </c>
    </row>
    <row r="4" spans="1:4" ht="19.5" customHeight="1">
      <c r="A4" s="202">
        <v>3</v>
      </c>
      <c r="B4" s="204" t="s">
        <v>207</v>
      </c>
      <c r="C4" s="205" t="s">
        <v>284</v>
      </c>
      <c r="D4" s="202" t="s">
        <v>285</v>
      </c>
    </row>
    <row r="5" spans="1:4" ht="42.75" customHeight="1">
      <c r="A5" s="202">
        <v>4</v>
      </c>
      <c r="B5" s="204" t="s">
        <v>208</v>
      </c>
      <c r="C5" s="205" t="s">
        <v>286</v>
      </c>
      <c r="D5" s="202"/>
    </row>
    <row r="6" spans="1:4" ht="39" customHeight="1">
      <c r="A6" s="202">
        <v>5</v>
      </c>
      <c r="B6" s="204" t="s">
        <v>209</v>
      </c>
      <c r="C6" s="205" t="s">
        <v>286</v>
      </c>
      <c r="D6" s="202"/>
    </row>
    <row r="7" spans="1:4" ht="27.75" customHeight="1">
      <c r="A7" s="202">
        <v>6</v>
      </c>
      <c r="B7" s="202" t="s">
        <v>210</v>
      </c>
      <c r="C7" s="206" t="s">
        <v>287</v>
      </c>
      <c r="D7" s="202"/>
    </row>
    <row r="8" spans="1:4" ht="36" customHeight="1">
      <c r="A8" s="202">
        <v>7</v>
      </c>
      <c r="B8" s="204" t="s">
        <v>211</v>
      </c>
      <c r="C8" s="207" t="s">
        <v>288</v>
      </c>
      <c r="D8" s="202"/>
    </row>
    <row r="9" spans="1:4" ht="34.5" customHeight="1">
      <c r="A9" s="202">
        <v>8</v>
      </c>
      <c r="B9" s="202" t="s">
        <v>212</v>
      </c>
      <c r="C9" s="208">
        <v>1.1999999999999999E-3</v>
      </c>
      <c r="D9" s="202"/>
    </row>
    <row r="10" spans="1:4" ht="34.5" customHeight="1">
      <c r="A10" s="202">
        <v>9</v>
      </c>
      <c r="B10" s="202" t="s">
        <v>213</v>
      </c>
      <c r="C10" s="207" t="s">
        <v>286</v>
      </c>
      <c r="D10" s="202"/>
    </row>
    <row r="11" spans="1:4" ht="34.5" customHeight="1">
      <c r="A11" s="202">
        <v>10</v>
      </c>
      <c r="B11" s="202" t="s">
        <v>214</v>
      </c>
      <c r="C11" s="207"/>
      <c r="D11" s="202" t="s">
        <v>289</v>
      </c>
    </row>
    <row r="12" spans="1:4" ht="34.5" customHeight="1">
      <c r="A12" s="202">
        <v>11</v>
      </c>
      <c r="B12" s="202" t="s">
        <v>215</v>
      </c>
      <c r="C12" s="207" t="s">
        <v>286</v>
      </c>
      <c r="D12" s="202"/>
    </row>
    <row r="13" spans="1:4" ht="24" customHeight="1">
      <c r="A13" s="202">
        <v>12</v>
      </c>
      <c r="B13" s="204" t="s">
        <v>290</v>
      </c>
      <c r="C13" s="207" t="s">
        <v>291</v>
      </c>
      <c r="D13" s="202"/>
    </row>
    <row r="14" spans="1:4" ht="24" customHeight="1">
      <c r="A14" s="202">
        <v>13</v>
      </c>
      <c r="B14" s="204" t="s">
        <v>292</v>
      </c>
      <c r="C14" s="207" t="s">
        <v>293</v>
      </c>
      <c r="D14" s="202"/>
    </row>
    <row r="15" spans="1:4" ht="24" customHeight="1">
      <c r="A15" s="202">
        <v>14</v>
      </c>
      <c r="B15" s="204" t="s">
        <v>294</v>
      </c>
      <c r="C15" s="207" t="s">
        <v>295</v>
      </c>
      <c r="D15" s="202"/>
    </row>
    <row r="16" spans="1:4" ht="24" customHeight="1">
      <c r="A16" s="202">
        <v>15</v>
      </c>
      <c r="B16" s="202" t="s">
        <v>296</v>
      </c>
      <c r="C16" s="202"/>
      <c r="D16" s="202"/>
    </row>
    <row r="17" spans="2:2" ht="16.5">
      <c r="B17" s="209" t="s">
        <v>297</v>
      </c>
    </row>
  </sheetData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topLeftCell="A16" workbookViewId="0">
      <selection activeCell="F78" sqref="F78"/>
    </sheetView>
  </sheetViews>
  <sheetFormatPr defaultColWidth="9" defaultRowHeight="14"/>
  <cols>
    <col min="1" max="2" width="9" style="65"/>
    <col min="3" max="5" width="15.7265625" style="65" customWidth="1"/>
    <col min="6" max="8" width="11.08984375" style="65" customWidth="1"/>
    <col min="9" max="9" width="12.90625" style="148" customWidth="1"/>
    <col min="10" max="16384" width="9" style="65"/>
  </cols>
  <sheetData>
    <row r="1" spans="1:12" s="145" customFormat="1" ht="18.75" customHeight="1">
      <c r="G1" s="269" t="s">
        <v>216</v>
      </c>
      <c r="H1" s="269"/>
      <c r="I1" s="146"/>
    </row>
    <row r="2" spans="1:12" ht="39" customHeight="1">
      <c r="A2" s="275" t="s">
        <v>217</v>
      </c>
      <c r="B2" s="275"/>
      <c r="C2" s="271" t="s">
        <v>218</v>
      </c>
      <c r="D2" s="276"/>
      <c r="E2" s="276"/>
      <c r="F2" s="276"/>
      <c r="G2" s="276"/>
      <c r="H2" s="272"/>
      <c r="I2" s="147" t="s">
        <v>225</v>
      </c>
      <c r="K2" s="165"/>
      <c r="L2" s="165"/>
    </row>
    <row r="3" spans="1:12" ht="34.5" customHeight="1">
      <c r="A3" s="275"/>
      <c r="B3" s="275"/>
      <c r="C3" s="156" t="s">
        <v>227</v>
      </c>
      <c r="D3" s="156" t="s">
        <v>228</v>
      </c>
      <c r="E3" s="156" t="s">
        <v>226</v>
      </c>
      <c r="F3" s="157" t="s">
        <v>231</v>
      </c>
      <c r="G3" s="157" t="s">
        <v>230</v>
      </c>
      <c r="H3" s="157" t="s">
        <v>229</v>
      </c>
      <c r="I3" s="160">
        <f>销量!C8</f>
        <v>1650</v>
      </c>
    </row>
    <row r="4" spans="1:12" ht="24" customHeight="1">
      <c r="A4" s="270" t="s">
        <v>219</v>
      </c>
      <c r="B4" s="270"/>
      <c r="C4" s="3"/>
      <c r="D4" s="149"/>
      <c r="E4" s="150">
        <f>$I$3*F4</f>
        <v>92.762977514551324</v>
      </c>
      <c r="F4" s="175">
        <v>5.6219986372455351E-2</v>
      </c>
      <c r="G4" s="150"/>
      <c r="H4" s="151">
        <v>4.48E-2</v>
      </c>
      <c r="I4" s="148">
        <v>4.3099999999999999E-2</v>
      </c>
      <c r="J4" s="163"/>
      <c r="K4" s="66"/>
      <c r="L4" s="66"/>
    </row>
    <row r="5" spans="1:12" ht="24" customHeight="1">
      <c r="A5" s="270" t="s">
        <v>220</v>
      </c>
      <c r="B5" s="152" t="s">
        <v>221</v>
      </c>
      <c r="C5" s="3"/>
      <c r="D5" s="149"/>
      <c r="E5" s="150">
        <f t="shared" ref="E5:E6" si="0">$I$3*F5</f>
        <v>74.25</v>
      </c>
      <c r="F5" s="151">
        <v>4.4999999999999998E-2</v>
      </c>
      <c r="G5" s="151"/>
      <c r="H5" s="151">
        <v>4.0399999999999998E-2</v>
      </c>
      <c r="J5" s="164"/>
      <c r="K5" s="66"/>
      <c r="L5" s="66"/>
    </row>
    <row r="6" spans="1:12" ht="24" customHeight="1">
      <c r="A6" s="270"/>
      <c r="B6" s="152" t="s">
        <v>222</v>
      </c>
      <c r="C6" s="3"/>
      <c r="D6" s="149"/>
      <c r="E6" s="150">
        <f t="shared" si="0"/>
        <v>24.8753828417764</v>
      </c>
      <c r="F6" s="175">
        <v>1.5075989601076605E-2</v>
      </c>
      <c r="G6" s="150"/>
      <c r="H6" s="151">
        <v>1.66E-2</v>
      </c>
      <c r="I6" s="148">
        <v>2.1700000000000001E-2</v>
      </c>
      <c r="J6" s="163"/>
      <c r="K6" s="66"/>
      <c r="L6" s="66"/>
    </row>
    <row r="7" spans="1:12" ht="24" customHeight="1">
      <c r="A7" s="271" t="s">
        <v>223</v>
      </c>
      <c r="B7" s="272"/>
      <c r="C7" s="153"/>
      <c r="D7" s="154"/>
      <c r="E7" s="150">
        <f>$I$3*F7</f>
        <v>191.88836035632772</v>
      </c>
      <c r="F7" s="174">
        <f>SUM(F4:F6)</f>
        <v>0.11629597597353196</v>
      </c>
      <c r="G7" s="150"/>
      <c r="H7" s="155">
        <f>SUM(H4:H6)</f>
        <v>0.1018</v>
      </c>
      <c r="I7" s="148">
        <f>SUM(I4:I6)</f>
        <v>6.4799999999999996E-2</v>
      </c>
      <c r="J7" s="163"/>
      <c r="K7" s="66"/>
      <c r="L7" s="66"/>
    </row>
    <row r="8" spans="1:12" ht="24" customHeight="1">
      <c r="A8" s="270" t="s">
        <v>47</v>
      </c>
      <c r="B8" s="270"/>
      <c r="C8" s="3"/>
      <c r="D8" s="149"/>
      <c r="E8" s="150">
        <f>$I$3*F8</f>
        <v>49.5</v>
      </c>
      <c r="F8" s="176">
        <v>0.03</v>
      </c>
      <c r="G8" s="150"/>
      <c r="H8" s="151">
        <f>1.97%+0.75%</f>
        <v>2.7199999999999998E-2</v>
      </c>
      <c r="J8" s="164"/>
      <c r="K8" s="66"/>
      <c r="L8" s="66"/>
    </row>
    <row r="9" spans="1:12" ht="24" customHeight="1">
      <c r="A9" s="273" t="s">
        <v>224</v>
      </c>
      <c r="B9" s="152" t="s">
        <v>221</v>
      </c>
      <c r="C9" s="3"/>
      <c r="D9" s="149"/>
      <c r="E9" s="150">
        <f>$I$3*F9</f>
        <v>11.55</v>
      </c>
      <c r="F9" s="151">
        <v>7.0000000000000001E-3</v>
      </c>
      <c r="G9" s="150"/>
      <c r="H9" s="151">
        <v>5.3E-3</v>
      </c>
      <c r="J9" s="148"/>
      <c r="K9" s="66"/>
      <c r="L9" s="66"/>
    </row>
    <row r="10" spans="1:12" ht="24" customHeight="1">
      <c r="A10" s="274"/>
      <c r="B10" s="152" t="s">
        <v>222</v>
      </c>
      <c r="C10" s="3"/>
      <c r="D10" s="149"/>
      <c r="E10" s="150">
        <f>$I$3*I10</f>
        <v>65.999999999999986</v>
      </c>
      <c r="F10" s="148">
        <f>2.8%+1.2%</f>
        <v>3.9999999999999994E-2</v>
      </c>
      <c r="G10" s="150"/>
      <c r="H10" s="151">
        <v>3.4099999999999998E-2</v>
      </c>
      <c r="I10" s="148">
        <f>2.8%+1.2%</f>
        <v>3.9999999999999994E-2</v>
      </c>
      <c r="J10" s="148"/>
      <c r="K10" s="66"/>
      <c r="L10" s="66"/>
    </row>
    <row r="11" spans="1:12" ht="24" customHeight="1">
      <c r="A11" s="270" t="s">
        <v>50</v>
      </c>
      <c r="B11" s="270"/>
      <c r="C11" s="3"/>
      <c r="D11" s="149"/>
      <c r="E11" s="150">
        <f t="shared" ref="E11" si="1">$I$3*F11</f>
        <v>35.144999999999996</v>
      </c>
      <c r="F11" s="151">
        <v>2.1299999999999999E-2</v>
      </c>
      <c r="G11" s="150"/>
      <c r="H11" s="151">
        <v>1.0999999999999999E-2</v>
      </c>
      <c r="I11" s="148">
        <v>0.03</v>
      </c>
      <c r="J11" s="148"/>
      <c r="K11" s="66"/>
      <c r="L11" s="66"/>
    </row>
    <row r="15" spans="1:12">
      <c r="A15" s="145"/>
      <c r="B15" s="145"/>
      <c r="C15" s="145"/>
      <c r="D15" s="145"/>
      <c r="E15" s="145"/>
      <c r="F15" s="145"/>
      <c r="G15" s="269" t="s">
        <v>216</v>
      </c>
      <c r="H15" s="269"/>
      <c r="I15" s="146"/>
    </row>
    <row r="16" spans="1:12">
      <c r="A16" s="275" t="s">
        <v>217</v>
      </c>
      <c r="B16" s="275"/>
      <c r="C16" s="271" t="s">
        <v>218</v>
      </c>
      <c r="D16" s="276"/>
      <c r="E16" s="276"/>
      <c r="F16" s="276"/>
      <c r="G16" s="276"/>
      <c r="H16" s="272"/>
      <c r="I16" s="147" t="s">
        <v>225</v>
      </c>
    </row>
    <row r="17" spans="1:9" ht="28">
      <c r="A17" s="275"/>
      <c r="B17" s="275"/>
      <c r="C17" s="156" t="s">
        <v>227</v>
      </c>
      <c r="D17" s="156" t="s">
        <v>228</v>
      </c>
      <c r="E17" s="156" t="s">
        <v>226</v>
      </c>
      <c r="F17" s="157" t="s">
        <v>231</v>
      </c>
      <c r="G17" s="157" t="s">
        <v>230</v>
      </c>
      <c r="H17" s="157" t="s">
        <v>229</v>
      </c>
      <c r="I17" s="160">
        <f>销量!D8</f>
        <v>430</v>
      </c>
    </row>
    <row r="18" spans="1:9">
      <c r="A18" s="270" t="s">
        <v>219</v>
      </c>
      <c r="B18" s="270"/>
      <c r="C18" s="3"/>
      <c r="D18" s="149"/>
      <c r="E18" s="150">
        <f>$I$17*F18</f>
        <v>24.174594140155801</v>
      </c>
      <c r="F18" s="175">
        <v>5.6219986372455351E-2</v>
      </c>
      <c r="G18" s="150"/>
      <c r="H18" s="151">
        <v>4.48E-2</v>
      </c>
      <c r="I18" s="148">
        <v>4.3099999999999999E-2</v>
      </c>
    </row>
    <row r="19" spans="1:9">
      <c r="A19" s="270" t="s">
        <v>220</v>
      </c>
      <c r="B19" s="171" t="s">
        <v>221</v>
      </c>
      <c r="C19" s="3"/>
      <c r="D19" s="149"/>
      <c r="E19" s="150">
        <f t="shared" ref="E19:E25" si="2">$I$17*F19</f>
        <v>19.349999999999998</v>
      </c>
      <c r="F19" s="151">
        <v>4.4999999999999998E-2</v>
      </c>
      <c r="G19" s="150"/>
      <c r="H19" s="151">
        <v>4.0399999999999998E-2</v>
      </c>
    </row>
    <row r="20" spans="1:9">
      <c r="A20" s="270"/>
      <c r="B20" s="171" t="s">
        <v>222</v>
      </c>
      <c r="C20" s="3"/>
      <c r="D20" s="149"/>
      <c r="E20" s="150">
        <f t="shared" si="2"/>
        <v>6.4826755284629405</v>
      </c>
      <c r="F20" s="175">
        <v>1.5075989601076605E-2</v>
      </c>
      <c r="G20" s="150"/>
      <c r="H20" s="151">
        <v>1.66E-2</v>
      </c>
      <c r="I20" s="148">
        <v>2.1700000000000001E-2</v>
      </c>
    </row>
    <row r="21" spans="1:9">
      <c r="A21" s="271" t="s">
        <v>223</v>
      </c>
      <c r="B21" s="272"/>
      <c r="C21" s="153"/>
      <c r="D21" s="154"/>
      <c r="E21" s="150">
        <f t="shared" si="2"/>
        <v>50.00726966861874</v>
      </c>
      <c r="F21" s="174">
        <f>SUM(F18:F20)</f>
        <v>0.11629597597353196</v>
      </c>
      <c r="G21" s="150"/>
      <c r="H21" s="155">
        <f>SUM(H18:H20)</f>
        <v>0.1018</v>
      </c>
      <c r="I21" s="148">
        <f>SUM(I18:I20)</f>
        <v>6.4799999999999996E-2</v>
      </c>
    </row>
    <row r="22" spans="1:9">
      <c r="A22" s="270" t="s">
        <v>47</v>
      </c>
      <c r="B22" s="270"/>
      <c r="C22" s="3"/>
      <c r="D22" s="149"/>
      <c r="E22" s="150">
        <f t="shared" si="2"/>
        <v>12.9</v>
      </c>
      <c r="F22" s="176">
        <v>0.03</v>
      </c>
      <c r="G22" s="150"/>
      <c r="H22" s="151">
        <f>1.97%+0.75%</f>
        <v>2.7199999999999998E-2</v>
      </c>
    </row>
    <row r="23" spans="1:9">
      <c r="A23" s="273" t="s">
        <v>224</v>
      </c>
      <c r="B23" s="171" t="s">
        <v>221</v>
      </c>
      <c r="C23" s="3"/>
      <c r="D23" s="149"/>
      <c r="E23" s="150">
        <f t="shared" si="2"/>
        <v>3.0100000000000002</v>
      </c>
      <c r="F23" s="151">
        <v>7.0000000000000001E-3</v>
      </c>
      <c r="G23" s="150"/>
      <c r="H23" s="151">
        <v>5.3E-3</v>
      </c>
    </row>
    <row r="24" spans="1:9">
      <c r="A24" s="274"/>
      <c r="B24" s="171" t="s">
        <v>222</v>
      </c>
      <c r="C24" s="3"/>
      <c r="D24" s="149"/>
      <c r="E24" s="150">
        <f>$I$17*I24</f>
        <v>17.199999999999996</v>
      </c>
      <c r="F24" s="148">
        <f>2.8%+1.2%</f>
        <v>3.9999999999999994E-2</v>
      </c>
      <c r="G24" s="150"/>
      <c r="H24" s="151">
        <v>3.4099999999999998E-2</v>
      </c>
      <c r="I24" s="148">
        <f>2.8%+1.2%</f>
        <v>3.9999999999999994E-2</v>
      </c>
    </row>
    <row r="25" spans="1:9">
      <c r="A25" s="270" t="s">
        <v>50</v>
      </c>
      <c r="B25" s="270"/>
      <c r="C25" s="3"/>
      <c r="D25" s="149"/>
      <c r="E25" s="150">
        <f t="shared" si="2"/>
        <v>9.1589999999999989</v>
      </c>
      <c r="F25" s="151">
        <v>2.1299999999999999E-2</v>
      </c>
      <c r="G25" s="150"/>
      <c r="H25" s="151">
        <v>1.0999999999999999E-2</v>
      </c>
      <c r="I25" s="148">
        <v>0.03</v>
      </c>
    </row>
    <row r="29" spans="1:9">
      <c r="A29" s="145"/>
      <c r="B29" s="145"/>
      <c r="C29" s="145"/>
      <c r="D29" s="145"/>
      <c r="E29" s="145"/>
      <c r="F29" s="145"/>
      <c r="G29" s="269" t="s">
        <v>216</v>
      </c>
      <c r="H29" s="269"/>
      <c r="I29" s="146"/>
    </row>
    <row r="30" spans="1:9">
      <c r="A30" s="275" t="s">
        <v>217</v>
      </c>
      <c r="B30" s="275"/>
      <c r="C30" s="271" t="s">
        <v>218</v>
      </c>
      <c r="D30" s="276"/>
      <c r="E30" s="276"/>
      <c r="F30" s="276"/>
      <c r="G30" s="276"/>
      <c r="H30" s="272"/>
      <c r="I30" s="147" t="s">
        <v>225</v>
      </c>
    </row>
    <row r="31" spans="1:9" ht="28">
      <c r="A31" s="275"/>
      <c r="B31" s="275"/>
      <c r="C31" s="156" t="s">
        <v>227</v>
      </c>
      <c r="D31" s="156" t="s">
        <v>228</v>
      </c>
      <c r="E31" s="156" t="s">
        <v>226</v>
      </c>
      <c r="F31" s="157" t="s">
        <v>231</v>
      </c>
      <c r="G31" s="157" t="s">
        <v>230</v>
      </c>
      <c r="H31" s="157" t="s">
        <v>229</v>
      </c>
      <c r="I31" s="160">
        <f>销量!E8</f>
        <v>70</v>
      </c>
    </row>
    <row r="32" spans="1:9">
      <c r="A32" s="270" t="s">
        <v>219</v>
      </c>
      <c r="B32" s="270"/>
      <c r="C32" s="3"/>
      <c r="D32" s="149"/>
      <c r="E32" s="150">
        <f>$I$31*F32</f>
        <v>3.9353990460718746</v>
      </c>
      <c r="F32" s="175">
        <v>5.6219986372455351E-2</v>
      </c>
      <c r="G32" s="150"/>
      <c r="H32" s="151">
        <v>4.48E-2</v>
      </c>
      <c r="I32" s="148">
        <v>4.3099999999999999E-2</v>
      </c>
    </row>
    <row r="33" spans="1:9">
      <c r="A33" s="270" t="s">
        <v>220</v>
      </c>
      <c r="B33" s="171" t="s">
        <v>221</v>
      </c>
      <c r="C33" s="3"/>
      <c r="D33" s="149"/>
      <c r="E33" s="150">
        <f t="shared" ref="E33:E39" si="3">$I$31*F33</f>
        <v>3.15</v>
      </c>
      <c r="F33" s="151">
        <v>4.4999999999999998E-2</v>
      </c>
      <c r="G33" s="150"/>
      <c r="H33" s="151">
        <v>4.0399999999999998E-2</v>
      </c>
    </row>
    <row r="34" spans="1:9">
      <c r="A34" s="270"/>
      <c r="B34" s="171" t="s">
        <v>222</v>
      </c>
      <c r="C34" s="3"/>
      <c r="D34" s="149"/>
      <c r="E34" s="150">
        <f t="shared" si="3"/>
        <v>1.0553192720753624</v>
      </c>
      <c r="F34" s="175">
        <v>1.5075989601076605E-2</v>
      </c>
      <c r="G34" s="150"/>
      <c r="H34" s="151">
        <v>1.66E-2</v>
      </c>
      <c r="I34" s="148">
        <v>2.1700000000000001E-2</v>
      </c>
    </row>
    <row r="35" spans="1:9">
      <c r="A35" s="271" t="s">
        <v>223</v>
      </c>
      <c r="B35" s="272"/>
      <c r="C35" s="153"/>
      <c r="D35" s="154"/>
      <c r="E35" s="150">
        <f t="shared" si="3"/>
        <v>8.140718318147238</v>
      </c>
      <c r="F35" s="174">
        <f>SUM(F32:F34)</f>
        <v>0.11629597597353196</v>
      </c>
      <c r="G35" s="155"/>
      <c r="H35" s="155">
        <f>SUM(H32:H34)</f>
        <v>0.1018</v>
      </c>
      <c r="I35" s="148">
        <f>SUM(I32:I34)</f>
        <v>6.4799999999999996E-2</v>
      </c>
    </row>
    <row r="36" spans="1:9">
      <c r="A36" s="270" t="s">
        <v>47</v>
      </c>
      <c r="B36" s="270"/>
      <c r="C36" s="3"/>
      <c r="D36" s="149"/>
      <c r="E36" s="150">
        <f t="shared" si="3"/>
        <v>2.1</v>
      </c>
      <c r="F36" s="176">
        <v>0.03</v>
      </c>
      <c r="G36" s="150"/>
      <c r="H36" s="151">
        <f>1.97%+0.75%</f>
        <v>2.7199999999999998E-2</v>
      </c>
    </row>
    <row r="37" spans="1:9">
      <c r="A37" s="273" t="s">
        <v>224</v>
      </c>
      <c r="B37" s="171" t="s">
        <v>221</v>
      </c>
      <c r="C37" s="3"/>
      <c r="D37" s="149"/>
      <c r="E37" s="150">
        <f t="shared" si="3"/>
        <v>0.49</v>
      </c>
      <c r="F37" s="151">
        <v>7.0000000000000001E-3</v>
      </c>
      <c r="G37" s="150"/>
      <c r="H37" s="151">
        <v>5.3E-3</v>
      </c>
    </row>
    <row r="38" spans="1:9">
      <c r="A38" s="274"/>
      <c r="B38" s="171" t="s">
        <v>222</v>
      </c>
      <c r="C38" s="3"/>
      <c r="D38" s="149"/>
      <c r="E38" s="150">
        <f>$I$31*I38</f>
        <v>2.7999999999999994</v>
      </c>
      <c r="F38" s="148">
        <f>2.8%+1.2%</f>
        <v>3.9999999999999994E-2</v>
      </c>
      <c r="G38" s="150"/>
      <c r="H38" s="151">
        <v>3.4099999999999998E-2</v>
      </c>
      <c r="I38" s="148">
        <f>2.8%+1.2%</f>
        <v>3.9999999999999994E-2</v>
      </c>
    </row>
    <row r="39" spans="1:9">
      <c r="A39" s="270" t="s">
        <v>50</v>
      </c>
      <c r="B39" s="270"/>
      <c r="C39" s="3"/>
      <c r="D39" s="149"/>
      <c r="E39" s="150">
        <f t="shared" si="3"/>
        <v>1.4909999999999999</v>
      </c>
      <c r="F39" s="151">
        <v>2.1299999999999999E-2</v>
      </c>
      <c r="G39" s="150"/>
      <c r="H39" s="151">
        <v>1.0999999999999999E-2</v>
      </c>
      <c r="I39" s="148">
        <v>0.03</v>
      </c>
    </row>
    <row r="42" spans="1:9">
      <c r="A42" s="145"/>
      <c r="B42" s="145"/>
      <c r="C42" s="145"/>
      <c r="D42" s="145"/>
      <c r="E42" s="145"/>
      <c r="F42" s="145"/>
      <c r="G42" s="269" t="s">
        <v>216</v>
      </c>
      <c r="H42" s="269"/>
      <c r="I42" s="146"/>
    </row>
    <row r="43" spans="1:9">
      <c r="A43" s="275" t="s">
        <v>217</v>
      </c>
      <c r="B43" s="275"/>
      <c r="C43" s="271" t="s">
        <v>218</v>
      </c>
      <c r="D43" s="276"/>
      <c r="E43" s="276"/>
      <c r="F43" s="276"/>
      <c r="G43" s="276"/>
      <c r="H43" s="272"/>
      <c r="I43" s="147" t="s">
        <v>225</v>
      </c>
    </row>
    <row r="44" spans="1:9" ht="28">
      <c r="A44" s="275"/>
      <c r="B44" s="275"/>
      <c r="C44" s="156" t="s">
        <v>227</v>
      </c>
      <c r="D44" s="156" t="s">
        <v>228</v>
      </c>
      <c r="E44" s="156" t="s">
        <v>226</v>
      </c>
      <c r="F44" s="157" t="s">
        <v>231</v>
      </c>
      <c r="G44" s="157" t="s">
        <v>230</v>
      </c>
      <c r="H44" s="157" t="s">
        <v>229</v>
      </c>
      <c r="I44" s="160">
        <f>销量!F8</f>
        <v>0</v>
      </c>
    </row>
    <row r="45" spans="1:9">
      <c r="A45" s="270" t="s">
        <v>219</v>
      </c>
      <c r="B45" s="270"/>
      <c r="C45" s="3"/>
      <c r="D45" s="149"/>
      <c r="E45" s="150">
        <f>$I$44*F45</f>
        <v>0</v>
      </c>
      <c r="F45" s="175">
        <v>5.6219986372455351E-2</v>
      </c>
      <c r="G45" s="150"/>
      <c r="H45" s="151">
        <v>4.48E-2</v>
      </c>
      <c r="I45" s="148">
        <v>4.3099999999999999E-2</v>
      </c>
    </row>
    <row r="46" spans="1:9">
      <c r="A46" s="270" t="s">
        <v>220</v>
      </c>
      <c r="B46" s="171" t="s">
        <v>221</v>
      </c>
      <c r="C46" s="3"/>
      <c r="D46" s="149"/>
      <c r="E46" s="150">
        <f t="shared" ref="E46:E52" si="4">$I$44*F46</f>
        <v>0</v>
      </c>
      <c r="F46" s="151">
        <v>4.4999999999999998E-2</v>
      </c>
      <c r="G46" s="150"/>
      <c r="H46" s="151">
        <v>4.0399999999999998E-2</v>
      </c>
    </row>
    <row r="47" spans="1:9">
      <c r="A47" s="270"/>
      <c r="B47" s="171" t="s">
        <v>222</v>
      </c>
      <c r="C47" s="3"/>
      <c r="D47" s="149"/>
      <c r="E47" s="150">
        <f t="shared" si="4"/>
        <v>0</v>
      </c>
      <c r="F47" s="175">
        <v>1.5075989601076605E-2</v>
      </c>
      <c r="G47" s="150"/>
      <c r="H47" s="151">
        <v>1.66E-2</v>
      </c>
      <c r="I47" s="148">
        <v>2.1700000000000001E-2</v>
      </c>
    </row>
    <row r="48" spans="1:9">
      <c r="A48" s="271" t="s">
        <v>223</v>
      </c>
      <c r="B48" s="272"/>
      <c r="C48" s="153"/>
      <c r="D48" s="154"/>
      <c r="E48" s="150">
        <f t="shared" si="4"/>
        <v>0</v>
      </c>
      <c r="F48" s="174">
        <f>SUM(F45:F47)</f>
        <v>0.11629597597353196</v>
      </c>
      <c r="G48" s="155"/>
      <c r="H48" s="155">
        <f>SUM(H45:H47)</f>
        <v>0.1018</v>
      </c>
      <c r="I48" s="148">
        <f>SUM(I45:I47)</f>
        <v>6.4799999999999996E-2</v>
      </c>
    </row>
    <row r="49" spans="1:9">
      <c r="A49" s="270" t="s">
        <v>47</v>
      </c>
      <c r="B49" s="270"/>
      <c r="C49" s="3"/>
      <c r="D49" s="149"/>
      <c r="E49" s="150">
        <f t="shared" si="4"/>
        <v>0</v>
      </c>
      <c r="F49" s="176">
        <v>0.03</v>
      </c>
      <c r="G49" s="150"/>
      <c r="H49" s="151">
        <f>1.97%+0.75%</f>
        <v>2.7199999999999998E-2</v>
      </c>
    </row>
    <row r="50" spans="1:9">
      <c r="A50" s="273" t="s">
        <v>224</v>
      </c>
      <c r="B50" s="171" t="s">
        <v>221</v>
      </c>
      <c r="C50" s="3"/>
      <c r="D50" s="149"/>
      <c r="E50" s="150">
        <f t="shared" si="4"/>
        <v>0</v>
      </c>
      <c r="F50" s="151">
        <v>7.0000000000000001E-3</v>
      </c>
      <c r="G50" s="150"/>
      <c r="H50" s="151">
        <v>5.3E-3</v>
      </c>
    </row>
    <row r="51" spans="1:9">
      <c r="A51" s="274"/>
      <c r="B51" s="171" t="s">
        <v>222</v>
      </c>
      <c r="C51" s="3"/>
      <c r="D51" s="149"/>
      <c r="E51" s="150">
        <f>$I$44*I51</f>
        <v>0</v>
      </c>
      <c r="F51" s="148">
        <f>2.8%+1.2%</f>
        <v>3.9999999999999994E-2</v>
      </c>
      <c r="G51" s="150"/>
      <c r="H51" s="151">
        <v>3.4099999999999998E-2</v>
      </c>
      <c r="I51" s="148">
        <f>2.8%+1.2%</f>
        <v>3.9999999999999994E-2</v>
      </c>
    </row>
    <row r="52" spans="1:9">
      <c r="A52" s="270" t="s">
        <v>50</v>
      </c>
      <c r="B52" s="270"/>
      <c r="C52" s="3"/>
      <c r="D52" s="149"/>
      <c r="E52" s="150">
        <f t="shared" si="4"/>
        <v>0</v>
      </c>
      <c r="F52" s="151">
        <v>2.1299999999999999E-2</v>
      </c>
      <c r="G52" s="150"/>
      <c r="H52" s="151">
        <v>1.0999999999999999E-2</v>
      </c>
      <c r="I52" s="148">
        <v>0.03</v>
      </c>
    </row>
    <row r="55" spans="1:9">
      <c r="A55" s="145"/>
      <c r="B55" s="145"/>
      <c r="C55" s="145"/>
      <c r="D55" s="145"/>
      <c r="E55" s="145"/>
      <c r="F55" s="145"/>
      <c r="G55" s="269" t="s">
        <v>216</v>
      </c>
      <c r="H55" s="269"/>
      <c r="I55" s="146"/>
    </row>
    <row r="56" spans="1:9">
      <c r="A56" s="275" t="s">
        <v>217</v>
      </c>
      <c r="B56" s="275"/>
      <c r="C56" s="271" t="s">
        <v>218</v>
      </c>
      <c r="D56" s="276"/>
      <c r="E56" s="276"/>
      <c r="F56" s="276"/>
      <c r="G56" s="276"/>
      <c r="H56" s="272"/>
      <c r="I56" s="147" t="s">
        <v>225</v>
      </c>
    </row>
    <row r="57" spans="1:9" ht="28">
      <c r="A57" s="275"/>
      <c r="B57" s="275"/>
      <c r="C57" s="156" t="s">
        <v>227</v>
      </c>
      <c r="D57" s="156" t="s">
        <v>228</v>
      </c>
      <c r="E57" s="156" t="s">
        <v>226</v>
      </c>
      <c r="F57" s="157" t="s">
        <v>231</v>
      </c>
      <c r="G57" s="157" t="s">
        <v>230</v>
      </c>
      <c r="H57" s="157" t="s">
        <v>229</v>
      </c>
      <c r="I57" s="160">
        <f>销量!G8</f>
        <v>0</v>
      </c>
    </row>
    <row r="58" spans="1:9">
      <c r="A58" s="270" t="s">
        <v>219</v>
      </c>
      <c r="B58" s="270"/>
      <c r="C58" s="3"/>
      <c r="D58" s="149"/>
      <c r="E58" s="150">
        <f>$I$57*F58</f>
        <v>0</v>
      </c>
      <c r="F58" s="175">
        <v>5.6219986372455351E-2</v>
      </c>
      <c r="G58" s="150"/>
      <c r="H58" s="151">
        <v>4.48E-2</v>
      </c>
      <c r="I58" s="148">
        <v>4.3099999999999999E-2</v>
      </c>
    </row>
    <row r="59" spans="1:9">
      <c r="A59" s="270" t="s">
        <v>220</v>
      </c>
      <c r="B59" s="171" t="s">
        <v>221</v>
      </c>
      <c r="C59" s="3"/>
      <c r="D59" s="149"/>
      <c r="E59" s="150">
        <f t="shared" ref="E59:E65" si="5">$I$57*F59</f>
        <v>0</v>
      </c>
      <c r="F59" s="151">
        <v>4.4999999999999998E-2</v>
      </c>
      <c r="G59" s="150"/>
      <c r="H59" s="151">
        <v>4.0399999999999998E-2</v>
      </c>
    </row>
    <row r="60" spans="1:9">
      <c r="A60" s="270"/>
      <c r="B60" s="171" t="s">
        <v>222</v>
      </c>
      <c r="C60" s="3"/>
      <c r="D60" s="149"/>
      <c r="E60" s="150">
        <f t="shared" si="5"/>
        <v>0</v>
      </c>
      <c r="F60" s="175">
        <v>1.5075989601076605E-2</v>
      </c>
      <c r="G60" s="150"/>
      <c r="H60" s="151">
        <v>1.66E-2</v>
      </c>
      <c r="I60" s="148">
        <v>2.1700000000000001E-2</v>
      </c>
    </row>
    <row r="61" spans="1:9">
      <c r="A61" s="271" t="s">
        <v>223</v>
      </c>
      <c r="B61" s="272"/>
      <c r="C61" s="153"/>
      <c r="D61" s="154"/>
      <c r="E61" s="150">
        <f t="shared" si="5"/>
        <v>0</v>
      </c>
      <c r="F61" s="155">
        <f t="shared" ref="F61" si="6">SUM(F58:F60)</f>
        <v>0.11629597597353196</v>
      </c>
      <c r="G61" s="155"/>
      <c r="H61" s="155">
        <f>SUM(H58:H60)</f>
        <v>0.1018</v>
      </c>
      <c r="I61" s="148">
        <f>SUM(I58:I60)</f>
        <v>6.4799999999999996E-2</v>
      </c>
    </row>
    <row r="62" spans="1:9">
      <c r="A62" s="270" t="s">
        <v>47</v>
      </c>
      <c r="B62" s="270"/>
      <c r="C62" s="3"/>
      <c r="D62" s="149"/>
      <c r="E62" s="150">
        <f t="shared" si="5"/>
        <v>0</v>
      </c>
      <c r="F62" s="176">
        <v>0.03</v>
      </c>
      <c r="G62" s="150"/>
      <c r="H62" s="151">
        <f>1.97%+0.75%</f>
        <v>2.7199999999999998E-2</v>
      </c>
    </row>
    <row r="63" spans="1:9">
      <c r="A63" s="273" t="s">
        <v>224</v>
      </c>
      <c r="B63" s="171" t="s">
        <v>221</v>
      </c>
      <c r="C63" s="3"/>
      <c r="D63" s="149"/>
      <c r="E63" s="150">
        <f t="shared" si="5"/>
        <v>0</v>
      </c>
      <c r="F63" s="151">
        <v>7.0000000000000001E-3</v>
      </c>
      <c r="G63" s="150"/>
      <c r="H63" s="151">
        <v>5.3E-3</v>
      </c>
    </row>
    <row r="64" spans="1:9">
      <c r="A64" s="274"/>
      <c r="B64" s="171" t="s">
        <v>222</v>
      </c>
      <c r="C64" s="3"/>
      <c r="D64" s="149"/>
      <c r="E64" s="150">
        <f>$I$57*I64</f>
        <v>0</v>
      </c>
      <c r="F64" s="148">
        <f>2.8%+1.2%</f>
        <v>3.9999999999999994E-2</v>
      </c>
      <c r="G64" s="150"/>
      <c r="H64" s="151">
        <v>3.4099999999999998E-2</v>
      </c>
      <c r="I64" s="148">
        <f>2.8%+1.2%</f>
        <v>3.9999999999999994E-2</v>
      </c>
    </row>
    <row r="65" spans="1:9">
      <c r="A65" s="270" t="s">
        <v>50</v>
      </c>
      <c r="B65" s="270"/>
      <c r="C65" s="3"/>
      <c r="D65" s="149"/>
      <c r="E65" s="150">
        <f t="shared" si="5"/>
        <v>0</v>
      </c>
      <c r="F65" s="151">
        <v>2.1299999999999999E-2</v>
      </c>
      <c r="G65" s="150"/>
      <c r="H65" s="151">
        <v>1.0999999999999999E-2</v>
      </c>
      <c r="I65" s="148">
        <v>0.03</v>
      </c>
    </row>
    <row r="68" spans="1:9">
      <c r="A68" s="145"/>
      <c r="B68" s="145"/>
      <c r="C68" s="145"/>
      <c r="D68" s="145"/>
      <c r="E68" s="145"/>
      <c r="F68" s="145"/>
      <c r="G68" s="269" t="s">
        <v>216</v>
      </c>
      <c r="H68" s="269"/>
      <c r="I68" s="146"/>
    </row>
    <row r="69" spans="1:9">
      <c r="A69" s="275" t="s">
        <v>217</v>
      </c>
      <c r="B69" s="275"/>
      <c r="C69" s="271" t="s">
        <v>218</v>
      </c>
      <c r="D69" s="276"/>
      <c r="E69" s="276"/>
      <c r="F69" s="276"/>
      <c r="G69" s="276"/>
      <c r="H69" s="272"/>
      <c r="I69" s="147" t="s">
        <v>225</v>
      </c>
    </row>
    <row r="70" spans="1:9" ht="28">
      <c r="A70" s="275"/>
      <c r="B70" s="275"/>
      <c r="C70" s="156" t="s">
        <v>227</v>
      </c>
      <c r="D70" s="156" t="s">
        <v>228</v>
      </c>
      <c r="E70" s="156" t="s">
        <v>226</v>
      </c>
      <c r="F70" s="157" t="s">
        <v>231</v>
      </c>
      <c r="G70" s="157" t="s">
        <v>230</v>
      </c>
      <c r="H70" s="157" t="s">
        <v>229</v>
      </c>
      <c r="I70" s="160">
        <f>销量!H8</f>
        <v>0</v>
      </c>
    </row>
    <row r="71" spans="1:9">
      <c r="A71" s="270" t="s">
        <v>219</v>
      </c>
      <c r="B71" s="270"/>
      <c r="C71" s="3"/>
      <c r="D71" s="149"/>
      <c r="E71" s="150">
        <f>$I$70*F71</f>
        <v>0</v>
      </c>
      <c r="F71" s="175">
        <v>5.6219986372455351E-2</v>
      </c>
      <c r="G71" s="150"/>
      <c r="H71" s="151">
        <v>4.48E-2</v>
      </c>
      <c r="I71" s="148">
        <v>4.3099999999999999E-2</v>
      </c>
    </row>
    <row r="72" spans="1:9">
      <c r="A72" s="270" t="s">
        <v>220</v>
      </c>
      <c r="B72" s="171" t="s">
        <v>221</v>
      </c>
      <c r="C72" s="3"/>
      <c r="D72" s="149"/>
      <c r="E72" s="150">
        <f t="shared" ref="E72:E78" si="7">$I$70*F72</f>
        <v>0</v>
      </c>
      <c r="F72" s="151">
        <v>4.4999999999999998E-2</v>
      </c>
      <c r="G72" s="150"/>
      <c r="H72" s="151">
        <v>4.0399999999999998E-2</v>
      </c>
    </row>
    <row r="73" spans="1:9">
      <c r="A73" s="270"/>
      <c r="B73" s="171" t="s">
        <v>222</v>
      </c>
      <c r="C73" s="3"/>
      <c r="D73" s="149"/>
      <c r="E73" s="150">
        <f t="shared" si="7"/>
        <v>0</v>
      </c>
      <c r="F73" s="175">
        <v>1.5075989601076605E-2</v>
      </c>
      <c r="G73" s="150"/>
      <c r="H73" s="151">
        <v>1.66E-2</v>
      </c>
      <c r="I73" s="148">
        <v>2.1700000000000001E-2</v>
      </c>
    </row>
    <row r="74" spans="1:9">
      <c r="A74" s="271" t="s">
        <v>223</v>
      </c>
      <c r="B74" s="272"/>
      <c r="C74" s="153"/>
      <c r="D74" s="154"/>
      <c r="E74" s="150">
        <f t="shared" si="7"/>
        <v>0</v>
      </c>
      <c r="F74" s="155">
        <f t="shared" ref="F74" si="8">SUM(F71:F73)</f>
        <v>0.11629597597353196</v>
      </c>
      <c r="G74" s="155"/>
      <c r="H74" s="155">
        <f>SUM(H71:H73)</f>
        <v>0.1018</v>
      </c>
      <c r="I74" s="148">
        <f>SUM(I71:I73)</f>
        <v>6.4799999999999996E-2</v>
      </c>
    </row>
    <row r="75" spans="1:9">
      <c r="A75" s="270" t="s">
        <v>47</v>
      </c>
      <c r="B75" s="270"/>
      <c r="C75" s="3"/>
      <c r="D75" s="149"/>
      <c r="E75" s="150">
        <f t="shared" si="7"/>
        <v>0</v>
      </c>
      <c r="F75" s="176">
        <v>0.03</v>
      </c>
      <c r="G75" s="150"/>
      <c r="H75" s="151">
        <f>1.97%+0.75%</f>
        <v>2.7199999999999998E-2</v>
      </c>
    </row>
    <row r="76" spans="1:9">
      <c r="A76" s="273" t="s">
        <v>224</v>
      </c>
      <c r="B76" s="171" t="s">
        <v>221</v>
      </c>
      <c r="C76" s="3"/>
      <c r="D76" s="149"/>
      <c r="E76" s="150">
        <f t="shared" si="7"/>
        <v>0</v>
      </c>
      <c r="F76" s="151">
        <v>7.0000000000000001E-3</v>
      </c>
      <c r="G76" s="150"/>
      <c r="H76" s="151">
        <v>5.3E-3</v>
      </c>
    </row>
    <row r="77" spans="1:9">
      <c r="A77" s="274"/>
      <c r="B77" s="171" t="s">
        <v>222</v>
      </c>
      <c r="C77" s="3"/>
      <c r="D77" s="149"/>
      <c r="E77" s="150">
        <f>$I$70*I77</f>
        <v>0</v>
      </c>
      <c r="F77" s="148">
        <f>2.8%+1.2%</f>
        <v>3.9999999999999994E-2</v>
      </c>
      <c r="G77" s="150"/>
      <c r="H77" s="151">
        <v>3.4099999999999998E-2</v>
      </c>
      <c r="I77" s="148">
        <f>2.8%+1.2%</f>
        <v>3.9999999999999994E-2</v>
      </c>
    </row>
    <row r="78" spans="1:9">
      <c r="A78" s="270" t="s">
        <v>50</v>
      </c>
      <c r="B78" s="270"/>
      <c r="C78" s="3"/>
      <c r="D78" s="149"/>
      <c r="E78" s="150">
        <f t="shared" si="7"/>
        <v>0</v>
      </c>
      <c r="F78" s="151">
        <v>2.1299999999999999E-2</v>
      </c>
      <c r="G78" s="150"/>
      <c r="H78" s="151">
        <v>1.0999999999999999E-2</v>
      </c>
      <c r="I78" s="148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D11" sqref="D11"/>
    </sheetView>
  </sheetViews>
  <sheetFormatPr defaultRowHeight="14"/>
  <cols>
    <col min="1" max="1" width="8.7265625" style="278"/>
    <col min="2" max="2" width="17.26953125" style="283" bestFit="1" customWidth="1"/>
    <col min="3" max="3" width="40.6328125" style="189" bestFit="1" customWidth="1"/>
    <col min="4" max="4" width="31.7265625" style="189" bestFit="1" customWidth="1"/>
    <col min="5" max="5" width="11.6328125" style="278" bestFit="1" customWidth="1"/>
    <col min="6" max="6" width="12.08984375" style="283" customWidth="1"/>
    <col min="7" max="7" width="12.7265625" style="278" customWidth="1"/>
    <col min="8" max="8" width="11.6328125" style="278" customWidth="1"/>
    <col min="9" max="9" width="10" style="278" customWidth="1"/>
    <col min="10" max="16384" width="8.7265625" style="278"/>
  </cols>
  <sheetData>
    <row r="2" spans="2:9" ht="29" customHeight="1">
      <c r="B2" s="277" t="s">
        <v>308</v>
      </c>
      <c r="C2" s="277"/>
      <c r="D2" s="277"/>
      <c r="E2" s="277"/>
      <c r="F2" s="277"/>
      <c r="G2" s="277"/>
      <c r="H2" s="277"/>
      <c r="I2" s="277"/>
    </row>
    <row r="3" spans="2:9" s="297" customFormat="1" ht="28" customHeight="1">
      <c r="B3" s="298" t="s">
        <v>262</v>
      </c>
      <c r="C3" s="298" t="s">
        <v>263</v>
      </c>
      <c r="D3" s="298" t="s">
        <v>268</v>
      </c>
      <c r="E3" s="299" t="s">
        <v>264</v>
      </c>
      <c r="F3" s="298" t="s">
        <v>307</v>
      </c>
      <c r="G3" s="299" t="s">
        <v>265</v>
      </c>
      <c r="H3" s="300" t="s">
        <v>266</v>
      </c>
      <c r="I3" s="299" t="s">
        <v>267</v>
      </c>
    </row>
    <row r="4" spans="2:9" ht="26">
      <c r="B4" s="279" t="str">
        <f>销量!E6</f>
        <v>YZ166251000040</v>
      </c>
      <c r="C4" s="290" t="str">
        <f>销量!E5</f>
        <v>TX固定式副驾驶员座椅坐垫(PVC+织物)</v>
      </c>
      <c r="D4" s="290">
        <f>销量!E7</f>
        <v>0</v>
      </c>
      <c r="E4" s="11">
        <v>1155.5698087056649</v>
      </c>
      <c r="F4" s="280">
        <f>销量!C8</f>
        <v>1650</v>
      </c>
      <c r="G4" s="280">
        <f t="shared" ref="G4" si="0">F4-E4</f>
        <v>494.43019129433515</v>
      </c>
      <c r="H4" s="281">
        <f t="shared" ref="H4" si="1">G4/F4</f>
        <v>0.29965466139050617</v>
      </c>
      <c r="I4" s="282" t="s">
        <v>305</v>
      </c>
    </row>
    <row r="5" spans="2:9" ht="28">
      <c r="B5" s="279" t="str">
        <f>销量!C6</f>
        <v>YZ166251000038</v>
      </c>
      <c r="C5" s="291" t="str">
        <f>销量!C5</f>
        <v>空气悬挂主座椅（定阻尼、集成安全带、PVC+织物、通风）</v>
      </c>
      <c r="D5" s="291" t="str">
        <f>销量!C7</f>
        <v>集成安全带、气动升降、气囊减震、右扶手、单通风</v>
      </c>
      <c r="E5" s="11">
        <v>392.54256123893811</v>
      </c>
      <c r="F5" s="288">
        <f>销量!D8</f>
        <v>430</v>
      </c>
      <c r="G5" s="280">
        <f>F5-E5</f>
        <v>37.457438761061894</v>
      </c>
      <c r="H5" s="281">
        <f>G5/F5</f>
        <v>8.7110322700143947E-2</v>
      </c>
      <c r="I5" s="282" t="s">
        <v>305</v>
      </c>
    </row>
    <row r="6" spans="2:9" ht="25" customHeight="1">
      <c r="B6" s="279" t="str">
        <f>销量!D6</f>
        <v>YZ166251000039</v>
      </c>
      <c r="C6" s="188" t="str">
        <f>销量!D5</f>
        <v>TX固定式副驾驶员座椅（集成安全带、PVC+织物）</v>
      </c>
      <c r="D6" s="188" t="str">
        <f>销量!D7</f>
        <v>集成安全带、冲压件安装点</v>
      </c>
      <c r="E6" s="11">
        <v>80.673340195300582</v>
      </c>
      <c r="F6" s="280">
        <f>销量!E8</f>
        <v>70</v>
      </c>
      <c r="G6" s="280">
        <f>F6-E6</f>
        <v>-10.673340195300582</v>
      </c>
      <c r="H6" s="281">
        <f>G6/F6</f>
        <v>-0.15247628850429404</v>
      </c>
      <c r="I6" s="282" t="s">
        <v>305</v>
      </c>
    </row>
    <row r="7" spans="2:9" s="287" customFormat="1">
      <c r="B7" s="284">
        <f>销量!F6</f>
        <v>0</v>
      </c>
      <c r="C7" s="188">
        <f>销量!F5</f>
        <v>0</v>
      </c>
      <c r="D7" s="188"/>
      <c r="E7" s="285"/>
      <c r="F7" s="289"/>
      <c r="G7" s="285"/>
      <c r="H7" s="281"/>
      <c r="I7" s="286"/>
    </row>
    <row r="8" spans="2:9" s="297" customFormat="1" ht="39.5" customHeight="1">
      <c r="B8" s="292"/>
      <c r="C8" s="298" t="s">
        <v>306</v>
      </c>
      <c r="D8" s="293"/>
      <c r="E8" s="294">
        <f>SUM(E4:E7)</f>
        <v>1628.7857101399036</v>
      </c>
      <c r="F8" s="294">
        <f t="shared" ref="F8:G8" si="2">SUM(F4:F7)</f>
        <v>2150</v>
      </c>
      <c r="G8" s="294">
        <f t="shared" si="2"/>
        <v>521.21428986009641</v>
      </c>
      <c r="H8" s="295">
        <f t="shared" ref="H7:H8" si="3">G8/F8</f>
        <v>0.24242525109771926</v>
      </c>
      <c r="I8" s="296"/>
    </row>
  </sheetData>
  <mergeCells count="1">
    <mergeCell ref="B2:I2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H3" sqref="H3"/>
    </sheetView>
  </sheetViews>
  <sheetFormatPr defaultColWidth="9" defaultRowHeight="14.5"/>
  <cols>
    <col min="1" max="1" width="5.08984375" style="108" customWidth="1"/>
    <col min="2" max="2" width="32.6328125" style="108" bestFit="1" customWidth="1"/>
    <col min="3" max="3" width="14.453125" style="109" customWidth="1"/>
    <col min="4" max="5" width="13" style="109" customWidth="1"/>
    <col min="6" max="6" width="14.26953125" style="109" customWidth="1"/>
    <col min="7" max="7" width="15.453125" style="108" customWidth="1"/>
    <col min="8" max="33" width="9" style="108"/>
    <col min="34" max="34" width="4.36328125" style="108" customWidth="1"/>
    <col min="35" max="35" width="13.90625" style="108" customWidth="1"/>
    <col min="36" max="16384" width="9" style="108"/>
  </cols>
  <sheetData>
    <row r="1" spans="1:36" ht="27" customHeight="1">
      <c r="A1" s="216" t="s">
        <v>317</v>
      </c>
      <c r="B1" s="216"/>
      <c r="C1" s="216"/>
      <c r="D1" s="216"/>
      <c r="E1" s="216"/>
      <c r="F1" s="216"/>
    </row>
    <row r="2" spans="1:36" ht="15.75" customHeight="1">
      <c r="A2" s="217" t="s">
        <v>15</v>
      </c>
      <c r="B2" s="110" t="s">
        <v>1</v>
      </c>
      <c r="C2" s="110" t="s">
        <v>302</v>
      </c>
      <c r="D2" s="110" t="s">
        <v>303</v>
      </c>
      <c r="E2" s="110" t="s">
        <v>304</v>
      </c>
      <c r="F2" s="49" t="s">
        <v>17</v>
      </c>
      <c r="AJ2" s="108" t="s">
        <v>18</v>
      </c>
    </row>
    <row r="3" spans="1:36" s="46" customFormat="1" ht="15.75" customHeight="1">
      <c r="A3" s="218"/>
      <c r="B3" s="51" t="s">
        <v>3</v>
      </c>
      <c r="C3" s="111">
        <f>'2023年'!F6</f>
        <v>8400</v>
      </c>
      <c r="D3" s="111">
        <f>'2024年'!F6</f>
        <v>9000</v>
      </c>
      <c r="E3" s="111">
        <f>'2025年'!F6</f>
        <v>9000</v>
      </c>
      <c r="F3" s="111">
        <f t="shared" ref="F3:F11" si="0">SUM(C3:E3)</f>
        <v>26400</v>
      </c>
      <c r="G3" s="67"/>
      <c r="AH3" s="50" t="s">
        <v>15</v>
      </c>
      <c r="AI3" s="51" t="s">
        <v>3</v>
      </c>
      <c r="AJ3" s="46" t="s">
        <v>19</v>
      </c>
    </row>
    <row r="4" spans="1:36" s="46" customFormat="1" ht="15.75" customHeight="1">
      <c r="A4" s="60">
        <v>1</v>
      </c>
      <c r="B4" s="51" t="s">
        <v>20</v>
      </c>
      <c r="C4" s="111">
        <f>'2023年'!F7</f>
        <v>6020000</v>
      </c>
      <c r="D4" s="111">
        <f>'2024年'!F7</f>
        <v>6450000</v>
      </c>
      <c r="E4" s="111">
        <f>'2025年'!F7</f>
        <v>6450000</v>
      </c>
      <c r="F4" s="111">
        <f t="shared" si="0"/>
        <v>18920000</v>
      </c>
      <c r="G4" s="67"/>
      <c r="AH4" s="50" t="s">
        <v>21</v>
      </c>
      <c r="AI4" s="51" t="s">
        <v>20</v>
      </c>
      <c r="AJ4" s="46" t="s">
        <v>19</v>
      </c>
    </row>
    <row r="5" spans="1:36" s="46" customFormat="1" ht="15.75" customHeight="1">
      <c r="A5" s="60">
        <v>2</v>
      </c>
      <c r="B5" s="48" t="s">
        <v>22</v>
      </c>
      <c r="C5" s="111">
        <f>'2023年'!F8</f>
        <v>0</v>
      </c>
      <c r="D5" s="111">
        <f>'2024年'!F8</f>
        <v>129000.00000000012</v>
      </c>
      <c r="E5" s="111">
        <f>'2025年'!F8</f>
        <v>255420.00000000055</v>
      </c>
      <c r="F5" s="111">
        <f t="shared" si="0"/>
        <v>384420.0000000007</v>
      </c>
      <c r="G5" s="67"/>
      <c r="AH5" s="50" t="s">
        <v>23</v>
      </c>
      <c r="AI5" s="48" t="s">
        <v>24</v>
      </c>
      <c r="AJ5" s="46" t="s">
        <v>19</v>
      </c>
    </row>
    <row r="6" spans="1:36" s="46" customFormat="1" ht="15.75" customHeight="1">
      <c r="A6" s="60">
        <v>3</v>
      </c>
      <c r="B6" s="51" t="s">
        <v>25</v>
      </c>
      <c r="C6" s="112">
        <f>+C4-C5</f>
        <v>6020000</v>
      </c>
      <c r="D6" s="112">
        <f>'2024年'!F9</f>
        <v>6321000</v>
      </c>
      <c r="E6" s="112">
        <f>'2025年'!F9</f>
        <v>6194580</v>
      </c>
      <c r="F6" s="111">
        <f t="shared" si="0"/>
        <v>18535580</v>
      </c>
      <c r="G6" s="67"/>
      <c r="AH6" s="50" t="s">
        <v>26</v>
      </c>
      <c r="AI6" s="51" t="s">
        <v>25</v>
      </c>
      <c r="AJ6" s="46" t="s">
        <v>27</v>
      </c>
    </row>
    <row r="7" spans="1:36" s="46" customFormat="1" ht="15.75" customHeight="1">
      <c r="A7" s="60">
        <v>4</v>
      </c>
      <c r="B7" s="50" t="s">
        <v>28</v>
      </c>
      <c r="C7" s="111">
        <f>'2023年'!F10</f>
        <v>4560599.98839173</v>
      </c>
      <c r="D7" s="111">
        <f>'2024年'!F10</f>
        <v>4788629.9878113167</v>
      </c>
      <c r="E7" s="111">
        <f>'2025年'!F10</f>
        <v>4692857.3880550899</v>
      </c>
      <c r="F7" s="111">
        <f t="shared" si="0"/>
        <v>14042087.364258137</v>
      </c>
      <c r="G7" s="67"/>
      <c r="AH7" s="50" t="s">
        <v>29</v>
      </c>
      <c r="AI7" s="50" t="s">
        <v>28</v>
      </c>
      <c r="AJ7" s="46" t="s">
        <v>30</v>
      </c>
    </row>
    <row r="8" spans="1:36" s="46" customFormat="1" ht="15.75" customHeight="1">
      <c r="A8" s="60">
        <v>5</v>
      </c>
      <c r="B8" s="50" t="s">
        <v>31</v>
      </c>
      <c r="C8" s="111">
        <f>'2023年'!F11</f>
        <v>338444.31796218123</v>
      </c>
      <c r="D8" s="111">
        <f>'2024年'!F11</f>
        <v>362618.91210233705</v>
      </c>
      <c r="E8" s="111">
        <f>'2025年'!F11</f>
        <v>362618.91210233705</v>
      </c>
      <c r="F8" s="111">
        <f t="shared" si="0"/>
        <v>1063682.1421668553</v>
      </c>
      <c r="G8" s="67"/>
      <c r="AH8" s="50" t="s">
        <v>32</v>
      </c>
      <c r="AI8" s="50" t="s">
        <v>31</v>
      </c>
    </row>
    <row r="9" spans="1:36" s="46" customFormat="1" ht="15.75" customHeight="1">
      <c r="A9" s="60">
        <v>6</v>
      </c>
      <c r="B9" s="50" t="s">
        <v>33</v>
      </c>
      <c r="C9" s="111">
        <f>'2023年'!F12</f>
        <v>90757.457398481158</v>
      </c>
      <c r="D9" s="111">
        <f>'2024年'!F12</f>
        <v>97240.132926944119</v>
      </c>
      <c r="E9" s="111">
        <f>'2025年'!F12</f>
        <v>97240.132926944119</v>
      </c>
      <c r="F9" s="111">
        <f t="shared" si="0"/>
        <v>285237.72325236938</v>
      </c>
      <c r="G9" s="67"/>
      <c r="AH9" s="50" t="s">
        <v>34</v>
      </c>
      <c r="AI9" s="50" t="s">
        <v>33</v>
      </c>
    </row>
    <row r="10" spans="1:36" s="46" customFormat="1" ht="15.75" customHeight="1">
      <c r="A10" s="60">
        <v>7</v>
      </c>
      <c r="B10" s="113" t="s">
        <v>35</v>
      </c>
      <c r="C10" s="111">
        <f>'2023年'!F13</f>
        <v>240799.99999999994</v>
      </c>
      <c r="D10" s="111">
        <f>'2024年'!F13</f>
        <v>257999.99999999994</v>
      </c>
      <c r="E10" s="111">
        <f>'2025年'!F13</f>
        <v>257999.99999999994</v>
      </c>
      <c r="F10" s="111">
        <f t="shared" si="0"/>
        <v>756799.99999999977</v>
      </c>
      <c r="G10" s="67"/>
      <c r="AH10" s="50" t="s">
        <v>36</v>
      </c>
      <c r="AI10" s="50" t="s">
        <v>35</v>
      </c>
      <c r="AJ10" s="46" t="s">
        <v>19</v>
      </c>
    </row>
    <row r="11" spans="1:36" s="46" customFormat="1" ht="15.75" customHeight="1">
      <c r="A11" s="60">
        <v>8</v>
      </c>
      <c r="B11" s="114" t="s">
        <v>37</v>
      </c>
      <c r="C11" s="115">
        <f>'2023年'!F14</f>
        <v>670001.77536066237</v>
      </c>
      <c r="D11" s="115">
        <f>'2024年'!F14</f>
        <v>717859.04502928106</v>
      </c>
      <c r="E11" s="115">
        <f>'2025年'!F14</f>
        <v>717859.04502928106</v>
      </c>
      <c r="F11" s="115">
        <f t="shared" si="0"/>
        <v>2105719.8654192244</v>
      </c>
      <c r="G11" s="67"/>
      <c r="AH11" s="50" t="s">
        <v>38</v>
      </c>
      <c r="AI11" s="53" t="s">
        <v>37</v>
      </c>
    </row>
    <row r="12" spans="1:36" s="46" customFormat="1" ht="15.75" customHeight="1">
      <c r="A12" s="60">
        <v>9</v>
      </c>
      <c r="B12" s="116" t="s">
        <v>39</v>
      </c>
      <c r="C12" s="111">
        <f>'2023年'!F15</f>
        <v>789398.23624760786</v>
      </c>
      <c r="D12" s="111">
        <f>'2024年'!F15</f>
        <v>814510.96715940244</v>
      </c>
      <c r="E12" s="111">
        <f>'2025年'!F15</f>
        <v>783863.5669156285</v>
      </c>
      <c r="F12" s="111">
        <f>F6-F7-F11</f>
        <v>2387772.770322639</v>
      </c>
      <c r="G12" s="67"/>
      <c r="I12" s="108"/>
      <c r="J12" s="108"/>
      <c r="K12" s="108"/>
      <c r="L12" s="108"/>
      <c r="M12" s="108"/>
      <c r="N12" s="108"/>
      <c r="AH12" s="50" t="s">
        <v>40</v>
      </c>
      <c r="AI12" s="53" t="s">
        <v>39</v>
      </c>
    </row>
    <row r="13" spans="1:36" ht="15.75" customHeight="1">
      <c r="A13" s="60">
        <v>10</v>
      </c>
      <c r="B13" s="117" t="s">
        <v>41</v>
      </c>
      <c r="C13" s="118">
        <f>+C12/C6</f>
        <v>0.13112927512418734</v>
      </c>
      <c r="D13" s="118">
        <f>'2024年'!F16</f>
        <v>0.12885792867574788</v>
      </c>
      <c r="E13" s="118">
        <f>'2025年'!F16</f>
        <v>0.12654022821815661</v>
      </c>
      <c r="F13" s="118">
        <f>+F12/F6</f>
        <v>0.12882104419298662</v>
      </c>
      <c r="G13" s="67"/>
      <c r="AH13" s="117" t="s">
        <v>42</v>
      </c>
      <c r="AI13" s="117" t="s">
        <v>41</v>
      </c>
    </row>
    <row r="14" spans="1:36" ht="15.75" customHeight="1">
      <c r="A14" s="60">
        <v>11</v>
      </c>
      <c r="B14" s="117" t="s">
        <v>43</v>
      </c>
      <c r="C14" s="111">
        <f>'2023年'!F17</f>
        <v>270900</v>
      </c>
      <c r="D14" s="111">
        <f>'2024年'!F17</f>
        <v>290250</v>
      </c>
      <c r="E14" s="111">
        <f>'2025年'!F17</f>
        <v>290250</v>
      </c>
      <c r="F14" s="111">
        <f>SUM(C14:E14)</f>
        <v>851400</v>
      </c>
      <c r="G14" s="67"/>
      <c r="AH14" s="117" t="s">
        <v>44</v>
      </c>
      <c r="AI14" s="117" t="s">
        <v>43</v>
      </c>
    </row>
    <row r="15" spans="1:36" ht="15.75" customHeight="1">
      <c r="A15" s="158"/>
      <c r="B15" s="117"/>
      <c r="C15" s="111"/>
      <c r="D15" s="111"/>
      <c r="E15" s="111"/>
      <c r="F15" s="111"/>
      <c r="G15" s="67"/>
      <c r="AH15" s="117"/>
      <c r="AI15" s="117"/>
    </row>
    <row r="16" spans="1:36" ht="15.75" customHeight="1">
      <c r="A16" s="60">
        <v>12</v>
      </c>
      <c r="B16" s="117" t="s">
        <v>45</v>
      </c>
      <c r="C16" s="119">
        <f>'2023年'!F19</f>
        <v>42140</v>
      </c>
      <c r="D16" s="119">
        <f>'2024年'!F19</f>
        <v>45150</v>
      </c>
      <c r="E16" s="119">
        <f>'2025年'!F19</f>
        <v>34650</v>
      </c>
      <c r="F16" s="111">
        <f>SUM(C16:E16)</f>
        <v>121940</v>
      </c>
      <c r="G16" s="67"/>
      <c r="O16" s="67"/>
      <c r="AH16" s="117" t="s">
        <v>46</v>
      </c>
      <c r="AI16" s="117" t="s">
        <v>45</v>
      </c>
      <c r="AJ16" s="108" t="s">
        <v>19</v>
      </c>
    </row>
    <row r="17" spans="1:36" ht="15.75" customHeight="1">
      <c r="A17" s="60">
        <v>13</v>
      </c>
      <c r="B17" s="117" t="s">
        <v>47</v>
      </c>
      <c r="C17" s="119">
        <f>'2023年'!F20</f>
        <v>180600</v>
      </c>
      <c r="D17" s="119">
        <f>'2024年'!F20</f>
        <v>193500</v>
      </c>
      <c r="E17" s="119">
        <f>'2025年'!F20</f>
        <v>193500</v>
      </c>
      <c r="F17" s="111">
        <f>SUM(C17:E17)</f>
        <v>567600</v>
      </c>
      <c r="G17" s="67"/>
      <c r="AH17" s="117" t="s">
        <v>48</v>
      </c>
      <c r="AI17" s="117" t="s">
        <v>47</v>
      </c>
    </row>
    <row r="18" spans="1:36" s="45" customFormat="1" ht="15.75" customHeight="1">
      <c r="A18" s="60">
        <v>14</v>
      </c>
      <c r="B18" s="58" t="s">
        <v>49</v>
      </c>
      <c r="C18" s="120">
        <f>'2023年'!F21</f>
        <v>81736.666666666657</v>
      </c>
      <c r="D18" s="120">
        <f>'2024年'!F21</f>
        <v>81736.666666666657</v>
      </c>
      <c r="E18" s="120">
        <f>'2025年'!F21</f>
        <v>81736.666666666657</v>
      </c>
      <c r="F18" s="111">
        <f>SUM(C18:E18)</f>
        <v>245209.99999999997</v>
      </c>
      <c r="G18" s="67"/>
      <c r="AH18" s="58"/>
      <c r="AI18" s="58"/>
    </row>
    <row r="19" spans="1:36" s="46" customFormat="1" ht="15.75" customHeight="1">
      <c r="A19" s="60">
        <v>15</v>
      </c>
      <c r="B19" s="50" t="s">
        <v>50</v>
      </c>
      <c r="C19" s="119">
        <f>'2023年'!F22</f>
        <v>128225.99999999999</v>
      </c>
      <c r="D19" s="119">
        <f>'2024年'!F22</f>
        <v>137384.99999999997</v>
      </c>
      <c r="E19" s="119">
        <f>'2025年'!F22</f>
        <v>137384.99999999997</v>
      </c>
      <c r="F19" s="111">
        <f>SUM(C19:E19)</f>
        <v>402995.99999999988</v>
      </c>
      <c r="G19" s="67"/>
      <c r="AH19" s="50" t="s">
        <v>51</v>
      </c>
      <c r="AI19" s="50" t="s">
        <v>50</v>
      </c>
    </row>
    <row r="20" spans="1:36" s="106" customFormat="1" ht="15.75" customHeight="1">
      <c r="A20" s="60">
        <v>16</v>
      </c>
      <c r="B20" s="121" t="s">
        <v>52</v>
      </c>
      <c r="C20" s="115">
        <f t="shared" ref="C20" si="1">+C19+C18+C17+C16+C14</f>
        <v>703602.66666666663</v>
      </c>
      <c r="D20" s="115">
        <f>'2024年'!F23</f>
        <v>748021.66666666663</v>
      </c>
      <c r="E20" s="115">
        <f>'2025年'!F23</f>
        <v>737521.66666666663</v>
      </c>
      <c r="F20" s="115">
        <f>SUM(C20:E20)</f>
        <v>2189146</v>
      </c>
      <c r="G20" s="67"/>
      <c r="AH20" s="134" t="s">
        <v>53</v>
      </c>
      <c r="AI20" s="135" t="s">
        <v>52</v>
      </c>
    </row>
    <row r="21" spans="1:36" ht="15.75" customHeight="1">
      <c r="A21" s="60">
        <v>17</v>
      </c>
      <c r="B21" s="117" t="s">
        <v>54</v>
      </c>
      <c r="C21" s="122">
        <f>+C12-C20</f>
        <v>85795.569580941228</v>
      </c>
      <c r="D21" s="122">
        <f>'2024年'!F24</f>
        <v>66489.300492735812</v>
      </c>
      <c r="E21" s="122">
        <f>'2025年'!F24</f>
        <v>46341.900248961872</v>
      </c>
      <c r="F21" s="122">
        <f>+F12-F20</f>
        <v>198626.77032263903</v>
      </c>
      <c r="G21" s="67"/>
      <c r="AH21" s="117" t="s">
        <v>55</v>
      </c>
      <c r="AI21" s="117" t="s">
        <v>54</v>
      </c>
    </row>
    <row r="22" spans="1:36" ht="15.75" customHeight="1">
      <c r="A22" s="60">
        <v>18</v>
      </c>
      <c r="B22" s="117" t="s">
        <v>56</v>
      </c>
      <c r="C22" s="122">
        <f>IF(C21&lt;0,0,C21*0.15)</f>
        <v>12869.335437141184</v>
      </c>
      <c r="D22" s="122">
        <f>'2024年'!F25</f>
        <v>9973.3950739103711</v>
      </c>
      <c r="E22" s="122">
        <f>'2025年'!F25</f>
        <v>6951.2850373442807</v>
      </c>
      <c r="F22" s="122">
        <f>IF(F21&lt;0,0,F21*0.15)</f>
        <v>29794.015548395852</v>
      </c>
      <c r="G22" s="67"/>
      <c r="AH22" s="117" t="s">
        <v>57</v>
      </c>
      <c r="AI22" s="117" t="s">
        <v>56</v>
      </c>
    </row>
    <row r="23" spans="1:36" ht="15.75" customHeight="1">
      <c r="A23" s="60">
        <v>19</v>
      </c>
      <c r="B23" s="117" t="s">
        <v>58</v>
      </c>
      <c r="C23" s="122">
        <f>C21-C22</f>
        <v>72926.234143800044</v>
      </c>
      <c r="D23" s="122">
        <f>'2024年'!F26</f>
        <v>11869.931625614816</v>
      </c>
      <c r="E23" s="122">
        <f>'2025年'!F26</f>
        <v>-14416.594330943073</v>
      </c>
      <c r="F23" s="122">
        <f>F21-F22</f>
        <v>168832.75477424316</v>
      </c>
      <c r="G23" s="67"/>
      <c r="AH23" s="117" t="s">
        <v>59</v>
      </c>
      <c r="AI23" s="117" t="s">
        <v>58</v>
      </c>
    </row>
    <row r="24" spans="1:36" ht="15.75" customHeight="1">
      <c r="A24" s="60">
        <v>20</v>
      </c>
      <c r="B24" s="117" t="s">
        <v>60</v>
      </c>
      <c r="C24" s="123">
        <f>(C23/C4)*100%</f>
        <v>1.2113992382691037E-2</v>
      </c>
      <c r="D24" s="123">
        <f>'2024年'!F27</f>
        <v>1.8402994768395063E-3</v>
      </c>
      <c r="E24" s="123">
        <f>'2025年'!F27</f>
        <v>-2.2351309040221819E-3</v>
      </c>
      <c r="F24" s="123">
        <f>(F23/F4)*100%</f>
        <v>8.9235071233743739E-3</v>
      </c>
      <c r="G24" s="67"/>
      <c r="AH24" s="136" t="s">
        <v>61</v>
      </c>
      <c r="AI24" s="136" t="s">
        <v>62</v>
      </c>
    </row>
    <row r="25" spans="1:36" s="107" customFormat="1" ht="15.75" customHeight="1">
      <c r="C25" s="124"/>
      <c r="D25" s="124"/>
      <c r="E25" s="124"/>
      <c r="F25" s="124"/>
      <c r="G25" s="133"/>
    </row>
    <row r="26" spans="1:36" s="107" customFormat="1" ht="15.75" hidden="1" customHeight="1">
      <c r="A26" s="107" t="s">
        <v>63</v>
      </c>
      <c r="C26" s="125"/>
      <c r="D26" s="125"/>
      <c r="E26" s="125"/>
      <c r="F26" s="125"/>
      <c r="G26" s="133"/>
      <c r="AH26" s="107" t="s">
        <v>63</v>
      </c>
    </row>
    <row r="27" spans="1:36" ht="15.75" hidden="1" customHeight="1">
      <c r="A27" s="117" t="s">
        <v>15</v>
      </c>
      <c r="B27" s="126" t="s">
        <v>1</v>
      </c>
      <c r="C27" s="110" t="s">
        <v>64</v>
      </c>
      <c r="D27" s="110" t="s">
        <v>16</v>
      </c>
      <c r="E27" s="110" t="s">
        <v>65</v>
      </c>
      <c r="F27" s="49" t="s">
        <v>17</v>
      </c>
      <c r="AJ27" s="108" t="s">
        <v>18</v>
      </c>
    </row>
    <row r="28" spans="1:36" s="46" customFormat="1" ht="15.75" hidden="1" customHeight="1">
      <c r="A28" s="50" t="s">
        <v>66</v>
      </c>
      <c r="B28" s="53" t="s">
        <v>67</v>
      </c>
      <c r="C28" s="57"/>
      <c r="D28" s="57"/>
      <c r="E28" s="57"/>
      <c r="F28" s="57"/>
      <c r="G28" s="67"/>
      <c r="AH28" s="50" t="s">
        <v>68</v>
      </c>
      <c r="AI28" s="53" t="s">
        <v>67</v>
      </c>
    </row>
    <row r="29" spans="1:36" s="46" customFormat="1" ht="15.75" hidden="1" customHeight="1">
      <c r="A29" s="50" t="s">
        <v>21</v>
      </c>
      <c r="B29" s="50" t="s">
        <v>69</v>
      </c>
      <c r="C29" s="52">
        <f>+C6/C3</f>
        <v>716.66666666666663</v>
      </c>
      <c r="D29" s="52">
        <f t="shared" ref="D29:E29" si="2">+D6/D3</f>
        <v>702.33333333333337</v>
      </c>
      <c r="E29" s="52">
        <f t="shared" si="2"/>
        <v>688.28666666666663</v>
      </c>
      <c r="F29" s="52">
        <f>+F6/F3</f>
        <v>702.10530303030305</v>
      </c>
      <c r="G29" s="67"/>
      <c r="AH29" s="50" t="s">
        <v>21</v>
      </c>
      <c r="AI29" s="50" t="s">
        <v>69</v>
      </c>
    </row>
    <row r="30" spans="1:36" s="46" customFormat="1" ht="15.75" hidden="1" customHeight="1">
      <c r="A30" s="50" t="s">
        <v>23</v>
      </c>
      <c r="B30" s="50" t="s">
        <v>70</v>
      </c>
      <c r="C30" s="52">
        <f>+C7/C3</f>
        <v>542.92857004663449</v>
      </c>
      <c r="D30" s="52">
        <f t="shared" ref="D30:E30" si="3">+D7/D3</f>
        <v>532.06999864570184</v>
      </c>
      <c r="E30" s="52">
        <f t="shared" si="3"/>
        <v>521.42859867278776</v>
      </c>
      <c r="F30" s="52">
        <f>+F7/F3</f>
        <v>531.89724864614152</v>
      </c>
      <c r="G30" s="67"/>
      <c r="AH30" s="50" t="s">
        <v>23</v>
      </c>
      <c r="AI30" s="50" t="s">
        <v>70</v>
      </c>
    </row>
    <row r="31" spans="1:36" s="46" customFormat="1" ht="15.75" hidden="1" customHeight="1">
      <c r="A31" s="50" t="s">
        <v>71</v>
      </c>
      <c r="B31" s="50" t="s">
        <v>72</v>
      </c>
      <c r="C31" s="57">
        <f t="shared" ref="C31:F31" si="4">C29-C30</f>
        <v>173.73809662003214</v>
      </c>
      <c r="D31" s="57">
        <f t="shared" si="4"/>
        <v>170.26333468763153</v>
      </c>
      <c r="E31" s="57">
        <f t="shared" si="4"/>
        <v>166.85806799387888</v>
      </c>
      <c r="F31" s="57">
        <f t="shared" si="4"/>
        <v>170.20805438416153</v>
      </c>
      <c r="G31" s="67"/>
      <c r="AH31" s="50" t="s">
        <v>71</v>
      </c>
      <c r="AI31" s="50" t="s">
        <v>72</v>
      </c>
    </row>
    <row r="32" spans="1:36" s="46" customFormat="1" ht="15.75" hidden="1" customHeight="1">
      <c r="A32" s="50">
        <v>3.1</v>
      </c>
      <c r="B32" s="50" t="s">
        <v>73</v>
      </c>
      <c r="C32" s="127">
        <f t="shared" ref="C32:F32" si="5">C31/C29</f>
        <v>0.24242525109771929</v>
      </c>
      <c r="D32" s="127">
        <f t="shared" si="5"/>
        <v>0.24242525109771929</v>
      </c>
      <c r="E32" s="127">
        <f t="shared" si="5"/>
        <v>0.24242525109771929</v>
      </c>
      <c r="F32" s="127">
        <f t="shared" si="5"/>
        <v>0.24242525109771931</v>
      </c>
      <c r="G32" s="67"/>
      <c r="AH32" s="50"/>
      <c r="AI32" s="50"/>
    </row>
    <row r="33" spans="1:35" s="46" customFormat="1" ht="15.75" hidden="1" customHeight="1">
      <c r="A33" s="50" t="s">
        <v>68</v>
      </c>
      <c r="B33" s="53" t="s">
        <v>8</v>
      </c>
      <c r="C33" s="57"/>
      <c r="D33" s="57"/>
      <c r="E33" s="57"/>
      <c r="F33" s="57"/>
      <c r="G33" s="67"/>
      <c r="AH33" s="50" t="s">
        <v>74</v>
      </c>
      <c r="AI33" s="53" t="s">
        <v>8</v>
      </c>
    </row>
    <row r="34" spans="1:35" s="46" customFormat="1" ht="15.75" hidden="1" customHeight="1">
      <c r="A34" s="50" t="s">
        <v>21</v>
      </c>
      <c r="B34" s="58" t="s">
        <v>75</v>
      </c>
      <c r="C34" s="52">
        <f>+C8/C3</f>
        <v>40.290990233593007</v>
      </c>
      <c r="D34" s="52">
        <f t="shared" ref="D34:E34" si="6">+D8/D3</f>
        <v>40.290990233593007</v>
      </c>
      <c r="E34" s="52">
        <f t="shared" si="6"/>
        <v>40.290990233593007</v>
      </c>
      <c r="F34" s="52">
        <f>+F8/F3</f>
        <v>40.290990233593</v>
      </c>
      <c r="G34" s="67"/>
      <c r="AH34" s="50" t="s">
        <v>71</v>
      </c>
      <c r="AI34" s="50" t="s">
        <v>75</v>
      </c>
    </row>
    <row r="35" spans="1:35" s="46" customFormat="1" ht="15.75" hidden="1" customHeight="1">
      <c r="A35" s="50" t="s">
        <v>23</v>
      </c>
      <c r="B35" s="58" t="s">
        <v>76</v>
      </c>
      <c r="C35" s="52">
        <f>+C9/C3</f>
        <v>10.804459214104901</v>
      </c>
      <c r="D35" s="52">
        <f t="shared" ref="D35:E35" si="7">+D9/D3</f>
        <v>10.804459214104902</v>
      </c>
      <c r="E35" s="52">
        <f t="shared" si="7"/>
        <v>10.804459214104902</v>
      </c>
      <c r="F35" s="52">
        <f>+F9/F3</f>
        <v>10.804459214104901</v>
      </c>
      <c r="G35" s="67"/>
      <c r="AH35" s="50" t="s">
        <v>26</v>
      </c>
      <c r="AI35" s="50" t="s">
        <v>76</v>
      </c>
    </row>
    <row r="36" spans="1:35" s="46" customFormat="1" ht="15.75" hidden="1" customHeight="1">
      <c r="A36" s="50" t="s">
        <v>71</v>
      </c>
      <c r="B36" s="58" t="s">
        <v>77</v>
      </c>
      <c r="C36" s="52">
        <f>+C10/C3</f>
        <v>28.666666666666661</v>
      </c>
      <c r="D36" s="52">
        <f t="shared" ref="D36:E36" si="8">+D10/D3</f>
        <v>28.666666666666661</v>
      </c>
      <c r="E36" s="52">
        <f t="shared" si="8"/>
        <v>28.666666666666661</v>
      </c>
      <c r="F36" s="52">
        <f>+F10/F3</f>
        <v>28.666666666666657</v>
      </c>
      <c r="G36" s="67"/>
      <c r="AH36" s="50" t="s">
        <v>32</v>
      </c>
      <c r="AI36" s="50" t="s">
        <v>77</v>
      </c>
    </row>
    <row r="37" spans="1:35" s="46" customFormat="1" ht="15.75" hidden="1" customHeight="1">
      <c r="A37" s="50" t="s">
        <v>78</v>
      </c>
      <c r="B37" s="116" t="s">
        <v>79</v>
      </c>
      <c r="C37" s="52"/>
      <c r="D37" s="52"/>
      <c r="E37" s="52"/>
      <c r="F37" s="52"/>
      <c r="G37" s="67"/>
      <c r="AH37" s="50" t="s">
        <v>78</v>
      </c>
      <c r="AI37" s="53" t="s">
        <v>79</v>
      </c>
    </row>
    <row r="38" spans="1:35" s="46" customFormat="1" hidden="1">
      <c r="A38" s="50" t="s">
        <v>21</v>
      </c>
      <c r="B38" s="58" t="s">
        <v>80</v>
      </c>
      <c r="C38" s="52">
        <f>+C12/C3</f>
        <v>93.975980505667607</v>
      </c>
      <c r="D38" s="52">
        <f t="shared" ref="D38:E38" si="9">+D12/D3</f>
        <v>90.501218573266939</v>
      </c>
      <c r="E38" s="52">
        <f t="shared" si="9"/>
        <v>87.095951879514274</v>
      </c>
      <c r="F38" s="52">
        <f>+F12/F3</f>
        <v>90.445938269796926</v>
      </c>
      <c r="G38" s="67"/>
      <c r="AH38" s="50" t="s">
        <v>21</v>
      </c>
      <c r="AI38" s="50" t="s">
        <v>81</v>
      </c>
    </row>
    <row r="39" spans="1:35" s="46" customFormat="1" ht="15.75" customHeight="1">
      <c r="A39" s="50" t="s">
        <v>23</v>
      </c>
      <c r="B39" s="58" t="s">
        <v>82</v>
      </c>
      <c r="C39" s="111">
        <f t="shared" ref="C39:E39" si="10">+C20/C38</f>
        <v>7487.0478911814389</v>
      </c>
      <c r="D39" s="111">
        <f t="shared" si="10"/>
        <v>8265.3214891365442</v>
      </c>
      <c r="E39" s="111">
        <f t="shared" si="10"/>
        <v>8467.9213069159669</v>
      </c>
      <c r="F39" s="181">
        <f t="shared" ref="F39" si="11">+F20/F38</f>
        <v>24203.917189402775</v>
      </c>
      <c r="G39" s="67"/>
      <c r="AH39" s="50" t="s">
        <v>23</v>
      </c>
      <c r="AI39" s="50" t="s">
        <v>82</v>
      </c>
    </row>
    <row r="40" spans="1:35" s="46" customFormat="1" ht="15.75" hidden="1" customHeight="1">
      <c r="A40" s="50" t="s">
        <v>83</v>
      </c>
      <c r="B40" s="53" t="s">
        <v>84</v>
      </c>
      <c r="C40" s="57"/>
      <c r="D40" s="57"/>
      <c r="E40" s="57"/>
      <c r="F40" s="57"/>
      <c r="G40" s="67"/>
      <c r="AH40" s="50" t="s">
        <v>83</v>
      </c>
      <c r="AI40" s="53" t="s">
        <v>84</v>
      </c>
    </row>
    <row r="41" spans="1:35" s="46" customFormat="1" ht="15.75" hidden="1" customHeight="1">
      <c r="A41" s="50" t="s">
        <v>21</v>
      </c>
      <c r="B41" s="50" t="s">
        <v>85</v>
      </c>
      <c r="C41" s="57">
        <f>+C14/C3</f>
        <v>32.25</v>
      </c>
      <c r="D41" s="57">
        <f t="shared" ref="D41:E41" si="12">+D14/D3</f>
        <v>32.25</v>
      </c>
      <c r="E41" s="57">
        <f t="shared" si="12"/>
        <v>32.25</v>
      </c>
      <c r="F41" s="57">
        <f>+F14/F3</f>
        <v>32.25</v>
      </c>
      <c r="G41" s="67"/>
      <c r="AH41" s="50" t="s">
        <v>21</v>
      </c>
      <c r="AI41" s="50" t="s">
        <v>85</v>
      </c>
    </row>
    <row r="42" spans="1:35" s="46" customFormat="1" ht="15.75" hidden="1" customHeight="1">
      <c r="A42" s="50" t="s">
        <v>23</v>
      </c>
      <c r="B42" s="50" t="s">
        <v>86</v>
      </c>
      <c r="C42" s="57">
        <f>+C16/C3</f>
        <v>5.0166666666666666</v>
      </c>
      <c r="D42" s="57">
        <f t="shared" ref="D42:E42" si="13">+D16/D3</f>
        <v>5.0166666666666666</v>
      </c>
      <c r="E42" s="57">
        <f t="shared" si="13"/>
        <v>3.85</v>
      </c>
      <c r="F42" s="57">
        <f>+F16/F3</f>
        <v>4.6189393939393941</v>
      </c>
      <c r="G42" s="67"/>
      <c r="AH42" s="50" t="s">
        <v>23</v>
      </c>
      <c r="AI42" s="50" t="s">
        <v>86</v>
      </c>
    </row>
    <row r="43" spans="1:35" s="46" customFormat="1" ht="15.75" hidden="1" customHeight="1">
      <c r="A43" s="50" t="s">
        <v>71</v>
      </c>
      <c r="B43" s="50" t="s">
        <v>87</v>
      </c>
      <c r="C43" s="57">
        <f>+C17/C3</f>
        <v>21.5</v>
      </c>
      <c r="D43" s="57">
        <f t="shared" ref="D43:E43" si="14">+D17/D3</f>
        <v>21.5</v>
      </c>
      <c r="E43" s="57">
        <f t="shared" si="14"/>
        <v>21.5</v>
      </c>
      <c r="F43" s="57">
        <f>+F17/F3</f>
        <v>21.5</v>
      </c>
      <c r="G43" s="67"/>
      <c r="AH43" s="50" t="s">
        <v>71</v>
      </c>
      <c r="AI43" s="50" t="s">
        <v>87</v>
      </c>
    </row>
    <row r="44" spans="1:35" s="46" customFormat="1" ht="15.75" hidden="1" customHeight="1">
      <c r="A44" s="50" t="s">
        <v>26</v>
      </c>
      <c r="B44" s="50" t="s">
        <v>88</v>
      </c>
      <c r="C44" s="57"/>
      <c r="D44" s="57"/>
      <c r="E44" s="57"/>
      <c r="F44" s="57"/>
      <c r="G44" s="67"/>
      <c r="AH44" s="50" t="s">
        <v>26</v>
      </c>
      <c r="AI44" s="50" t="s">
        <v>89</v>
      </c>
    </row>
    <row r="45" spans="1:35" s="46" customFormat="1" ht="15.75" hidden="1" customHeight="1">
      <c r="A45" s="50" t="s">
        <v>29</v>
      </c>
      <c r="B45" s="50" t="s">
        <v>90</v>
      </c>
      <c r="C45" s="57"/>
      <c r="D45" s="57"/>
      <c r="E45" s="57"/>
      <c r="F45" s="57"/>
      <c r="G45" s="67"/>
      <c r="AH45" s="50" t="s">
        <v>29</v>
      </c>
      <c r="AI45" s="50" t="s">
        <v>90</v>
      </c>
    </row>
    <row r="46" spans="1:35" s="46" customFormat="1" ht="15.75" hidden="1" customHeight="1">
      <c r="A46" s="50" t="s">
        <v>91</v>
      </c>
      <c r="B46" s="53" t="s">
        <v>92</v>
      </c>
      <c r="C46" s="57"/>
      <c r="D46" s="57"/>
      <c r="E46" s="57"/>
      <c r="F46" s="57"/>
      <c r="G46" s="67"/>
      <c r="AH46" s="50" t="s">
        <v>91</v>
      </c>
      <c r="AI46" s="53" t="s">
        <v>92</v>
      </c>
    </row>
    <row r="47" spans="1:35" s="46" customFormat="1" ht="15.75" hidden="1" customHeight="1">
      <c r="A47" s="50" t="s">
        <v>21</v>
      </c>
      <c r="B47" s="50" t="s">
        <v>93</v>
      </c>
      <c r="C47" s="128">
        <f>+(C10+C16)/C6</f>
        <v>4.6999999999999993E-2</v>
      </c>
      <c r="D47" s="128">
        <f t="shared" ref="D47:E47" si="15">+(D10+D16)/D6</f>
        <v>4.795918367346938E-2</v>
      </c>
      <c r="E47" s="128">
        <f t="shared" si="15"/>
        <v>4.7242912352411293E-2</v>
      </c>
      <c r="F47" s="128">
        <f>+(F10+F16)/F6</f>
        <v>4.7408281801810344E-2</v>
      </c>
      <c r="G47" s="67"/>
      <c r="AH47" s="50" t="s">
        <v>21</v>
      </c>
      <c r="AI47" s="50" t="s">
        <v>93</v>
      </c>
    </row>
    <row r="48" spans="1:35" s="46" customFormat="1" ht="15.75" hidden="1" customHeight="1">
      <c r="A48" s="50" t="s">
        <v>23</v>
      </c>
      <c r="B48" s="50" t="s">
        <v>94</v>
      </c>
      <c r="C48" s="128">
        <f>+(C8+C9+C14)/C6</f>
        <v>0.11629597597353196</v>
      </c>
      <c r="D48" s="128">
        <f t="shared" ref="D48:E48" si="16">+(D8+D9+D14)/D6</f>
        <v>0.11866936323829792</v>
      </c>
      <c r="E48" s="128">
        <f t="shared" si="16"/>
        <v>0.12109118697785502</v>
      </c>
      <c r="F48" s="128">
        <f>+(F8+F9+F14)/F6</f>
        <v>0.1187079047658193</v>
      </c>
      <c r="G48" s="67"/>
      <c r="AH48" s="50" t="s">
        <v>23</v>
      </c>
      <c r="AI48" s="50" t="s">
        <v>94</v>
      </c>
    </row>
    <row r="49" spans="1:35" s="46" customFormat="1" ht="15.75" hidden="1" customHeight="1">
      <c r="A49" s="50" t="s">
        <v>71</v>
      </c>
      <c r="B49" s="50" t="s">
        <v>95</v>
      </c>
      <c r="C49" s="128">
        <f>+C17/C6</f>
        <v>0.03</v>
      </c>
      <c r="D49" s="128">
        <f t="shared" ref="D49:E49" si="17">+D17/D6</f>
        <v>3.0612244897959183E-2</v>
      </c>
      <c r="E49" s="128">
        <f t="shared" si="17"/>
        <v>3.1236984589754269E-2</v>
      </c>
      <c r="F49" s="128">
        <f>+F17/F6</f>
        <v>3.0622187166519741E-2</v>
      </c>
      <c r="G49" s="67"/>
      <c r="AH49" s="50" t="s">
        <v>71</v>
      </c>
      <c r="AI49" s="50" t="s">
        <v>95</v>
      </c>
    </row>
    <row r="50" spans="1:35" s="46" customFormat="1" ht="15.75" hidden="1" customHeight="1">
      <c r="A50" s="50" t="s">
        <v>26</v>
      </c>
      <c r="B50" s="50" t="s">
        <v>96</v>
      </c>
      <c r="C50" s="128">
        <f>+C18/C6</f>
        <v>1.3577519379844959E-2</v>
      </c>
      <c r="D50" s="128">
        <f t="shared" ref="D50:E50" si="18">+D18/D6</f>
        <v>1.2930970837947581E-2</v>
      </c>
      <c r="E50" s="128">
        <f t="shared" si="18"/>
        <v>1.3194868201987326E-2</v>
      </c>
      <c r="F50" s="128">
        <f>+F18/F6</f>
        <v>1.3229151717939227E-2</v>
      </c>
      <c r="G50" s="67"/>
      <c r="AH50" s="50" t="s">
        <v>26</v>
      </c>
      <c r="AI50" s="50" t="s">
        <v>96</v>
      </c>
    </row>
    <row r="51" spans="1:35" s="46" customFormat="1" ht="15.75" hidden="1" customHeight="1">
      <c r="A51" s="50" t="s">
        <v>29</v>
      </c>
      <c r="B51" s="50" t="s">
        <v>97</v>
      </c>
      <c r="C51" s="128">
        <f>+C19/C6</f>
        <v>2.1299999999999996E-2</v>
      </c>
      <c r="D51" s="128">
        <f t="shared" ref="D51:E51" si="19">+D19/D6</f>
        <v>2.1734693877551017E-2</v>
      </c>
      <c r="E51" s="128">
        <f t="shared" si="19"/>
        <v>2.2178259058725527E-2</v>
      </c>
      <c r="F51" s="128">
        <f>+F19/F6</f>
        <v>2.1741752888229011E-2</v>
      </c>
      <c r="G51" s="67"/>
      <c r="AH51" s="50" t="s">
        <v>29</v>
      </c>
      <c r="AI51" s="50" t="s">
        <v>97</v>
      </c>
    </row>
    <row r="52" spans="1:35" s="46" customFormat="1" ht="15.75" hidden="1" customHeight="1">
      <c r="A52" s="50" t="s">
        <v>32</v>
      </c>
      <c r="B52" s="50" t="s">
        <v>98</v>
      </c>
      <c r="C52" s="128">
        <f>+C23/C6</f>
        <v>1.2113992382691037E-2</v>
      </c>
      <c r="D52" s="128">
        <f t="shared" ref="D52:E52" si="20">+D23/D6</f>
        <v>1.8778566090199044E-3</v>
      </c>
      <c r="E52" s="128">
        <f t="shared" si="20"/>
        <v>-2.3272916535008142E-3</v>
      </c>
      <c r="F52" s="128">
        <f>+F23/F6</f>
        <v>9.1085768437914084E-3</v>
      </c>
      <c r="G52" s="67"/>
      <c r="AH52" s="50" t="s">
        <v>32</v>
      </c>
      <c r="AI52" s="50" t="s">
        <v>99</v>
      </c>
    </row>
    <row r="53" spans="1:35" s="46" customFormat="1" ht="15.75" hidden="1" customHeight="1">
      <c r="A53" s="50" t="s">
        <v>100</v>
      </c>
      <c r="B53" s="53" t="s">
        <v>101</v>
      </c>
      <c r="C53" s="57">
        <f>+C21/C3</f>
        <v>10.213758283445385</v>
      </c>
      <c r="D53" s="57">
        <f t="shared" ref="D53:E53" si="21">+D21/D3</f>
        <v>7.3877000547484233</v>
      </c>
      <c r="E53" s="57">
        <f t="shared" si="21"/>
        <v>5.1491000276624304</v>
      </c>
      <c r="F53" s="57">
        <f>+F21/F3</f>
        <v>7.5237413000999629</v>
      </c>
      <c r="G53" s="67"/>
      <c r="AH53" s="50" t="s">
        <v>100</v>
      </c>
      <c r="AI53" s="53" t="s">
        <v>101</v>
      </c>
    </row>
    <row r="54" spans="1:35" s="46" customFormat="1" ht="15.75" hidden="1" customHeight="1">
      <c r="A54" s="50" t="s">
        <v>102</v>
      </c>
      <c r="B54" s="129" t="s">
        <v>103</v>
      </c>
      <c r="C54" s="57"/>
      <c r="D54" s="57"/>
      <c r="E54" s="57"/>
      <c r="F54" s="57"/>
      <c r="G54" s="67"/>
      <c r="AH54" s="50"/>
      <c r="AI54" s="53"/>
    </row>
    <row r="55" spans="1:35" s="46" customFormat="1" ht="15.75" hidden="1" customHeight="1">
      <c r="A55" s="50" t="s">
        <v>21</v>
      </c>
      <c r="B55" s="50" t="s">
        <v>104</v>
      </c>
      <c r="C55" s="57">
        <f>C56+C57</f>
        <v>245209.99999999997</v>
      </c>
      <c r="D55" s="57"/>
      <c r="E55" s="57"/>
      <c r="F55" s="57"/>
      <c r="G55" s="67"/>
    </row>
    <row r="56" spans="1:35" s="46" customFormat="1" ht="15.75" hidden="1" customHeight="1">
      <c r="A56" s="50">
        <v>1.1000000000000001</v>
      </c>
      <c r="B56" s="130" t="s">
        <v>105</v>
      </c>
      <c r="C56" s="57">
        <f>项目投资!B27</f>
        <v>245209.99999999997</v>
      </c>
      <c r="D56" s="57"/>
      <c r="E56" s="57"/>
      <c r="F56" s="57"/>
      <c r="G56" s="67"/>
    </row>
    <row r="57" spans="1:35" s="46" customFormat="1" ht="15.75" hidden="1" customHeight="1">
      <c r="A57" s="50">
        <v>1.2</v>
      </c>
      <c r="B57" s="50" t="s">
        <v>106</v>
      </c>
      <c r="C57" s="57">
        <f>项目投资!B26</f>
        <v>0</v>
      </c>
      <c r="D57" s="57"/>
      <c r="E57" s="57"/>
      <c r="F57" s="57"/>
      <c r="G57" s="67"/>
    </row>
    <row r="58" spans="1:35" ht="15.75" hidden="1" customHeight="1">
      <c r="A58" s="117" t="s">
        <v>23</v>
      </c>
      <c r="B58" s="117" t="s">
        <v>107</v>
      </c>
      <c r="C58" s="131">
        <f t="shared" ref="C58:E58" si="22">C59+C60</f>
        <v>72926.234143800044</v>
      </c>
      <c r="D58" s="131">
        <f t="shared" si="22"/>
        <v>11869.931625614816</v>
      </c>
      <c r="E58" s="131">
        <f t="shared" si="22"/>
        <v>-14416.594330943073</v>
      </c>
      <c r="F58" s="131">
        <f t="shared" ref="F58" si="23">F59+F60</f>
        <v>168832.75477424316</v>
      </c>
      <c r="G58" s="67"/>
    </row>
    <row r="59" spans="1:35" ht="15.75" hidden="1" customHeight="1">
      <c r="A59" s="117" t="s">
        <v>71</v>
      </c>
      <c r="B59" s="117" t="s">
        <v>108</v>
      </c>
      <c r="C59" s="131">
        <f t="shared" ref="C59:E59" si="24">C23</f>
        <v>72926.234143800044</v>
      </c>
      <c r="D59" s="131">
        <f t="shared" si="24"/>
        <v>11869.931625614816</v>
      </c>
      <c r="E59" s="131">
        <f t="shared" si="24"/>
        <v>-14416.594330943073</v>
      </c>
      <c r="F59" s="131">
        <f t="shared" ref="F59" si="25">F23</f>
        <v>168832.75477424316</v>
      </c>
      <c r="G59" s="67"/>
    </row>
    <row r="60" spans="1:35" ht="15.75" hidden="1" customHeight="1">
      <c r="A60" s="117" t="s">
        <v>26</v>
      </c>
      <c r="B60" s="117" t="s">
        <v>109</v>
      </c>
      <c r="C60" s="131">
        <f>'2023年'!F18</f>
        <v>0</v>
      </c>
      <c r="D60" s="131">
        <f>'2024年'!F18</f>
        <v>0</v>
      </c>
      <c r="E60" s="131">
        <f>'2025年'!F18</f>
        <v>0</v>
      </c>
      <c r="F60" s="131">
        <f>项目投资!I26</f>
        <v>0</v>
      </c>
      <c r="G60" s="67"/>
    </row>
    <row r="61" spans="1:35" ht="15.75" hidden="1" customHeight="1">
      <c r="A61" s="117" t="s">
        <v>29</v>
      </c>
      <c r="B61" s="117" t="s">
        <v>110</v>
      </c>
      <c r="C61" s="132"/>
      <c r="D61" s="132"/>
      <c r="E61" s="132"/>
      <c r="F61" s="131"/>
      <c r="G61" s="67"/>
    </row>
    <row r="62" spans="1:35" hidden="1"/>
    <row r="63" spans="1:35" hidden="1">
      <c r="B63"/>
    </row>
    <row r="104" spans="5:6" ht="20.149999999999999" customHeight="1">
      <c r="E104" s="219" t="s">
        <v>252</v>
      </c>
      <c r="F104" s="219"/>
    </row>
    <row r="105" spans="5:6" ht="20.149999999999999" customHeight="1">
      <c r="E105" s="219"/>
      <c r="F105" s="219"/>
    </row>
    <row r="106" spans="5:6" ht="20.149999999999999" customHeight="1">
      <c r="E106" s="219"/>
      <c r="F106" s="219"/>
    </row>
    <row r="107" spans="5:6" ht="20.149999999999999" customHeight="1">
      <c r="E107" s="219"/>
      <c r="F107" s="219"/>
    </row>
    <row r="108" spans="5:6" ht="20.149999999999999" customHeight="1">
      <c r="E108" s="219"/>
      <c r="F108" s="219"/>
    </row>
    <row r="109" spans="5:6" ht="20.149999999999999" customHeight="1">
      <c r="E109" s="219"/>
      <c r="F109" s="219"/>
    </row>
  </sheetData>
  <mergeCells count="3">
    <mergeCell ref="A1:F1"/>
    <mergeCell ref="A2:A3"/>
    <mergeCell ref="E104:F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08984375" defaultRowHeight="19.899999999999999" customHeight="1"/>
  <cols>
    <col min="1" max="1" width="8" style="71" customWidth="1"/>
    <col min="2" max="2" width="28.453125" style="71" customWidth="1"/>
    <col min="3" max="4" width="9.08984375" style="71"/>
    <col min="5" max="5" width="13.90625" style="71" customWidth="1"/>
    <col min="6" max="12" width="16.08984375" style="71" customWidth="1"/>
    <col min="13" max="13" width="10.6328125" style="71" customWidth="1"/>
    <col min="14" max="254" width="9.08984375" style="71"/>
    <col min="255" max="255" width="8" style="71" customWidth="1"/>
    <col min="256" max="256" width="28.453125" style="71" customWidth="1"/>
    <col min="257" max="268" width="9.08984375" style="71"/>
    <col min="269" max="269" width="10.6328125" style="71" customWidth="1"/>
    <col min="270" max="510" width="9.08984375" style="71"/>
    <col min="511" max="511" width="8" style="71" customWidth="1"/>
    <col min="512" max="512" width="28.453125" style="71" customWidth="1"/>
    <col min="513" max="524" width="9.08984375" style="71"/>
    <col min="525" max="525" width="10.6328125" style="71" customWidth="1"/>
    <col min="526" max="766" width="9.08984375" style="71"/>
    <col min="767" max="767" width="8" style="71" customWidth="1"/>
    <col min="768" max="768" width="28.453125" style="71" customWidth="1"/>
    <col min="769" max="780" width="9.08984375" style="71"/>
    <col min="781" max="781" width="10.6328125" style="71" customWidth="1"/>
    <col min="782" max="1022" width="9.08984375" style="71"/>
    <col min="1023" max="1023" width="8" style="71" customWidth="1"/>
    <col min="1024" max="1024" width="28.453125" style="71" customWidth="1"/>
    <col min="1025" max="1036" width="9.08984375" style="71"/>
    <col min="1037" max="1037" width="10.6328125" style="71" customWidth="1"/>
    <col min="1038" max="1278" width="9.08984375" style="71"/>
    <col min="1279" max="1279" width="8" style="71" customWidth="1"/>
    <col min="1280" max="1280" width="28.453125" style="71" customWidth="1"/>
    <col min="1281" max="1292" width="9.08984375" style="71"/>
    <col min="1293" max="1293" width="10.6328125" style="71" customWidth="1"/>
    <col min="1294" max="1534" width="9.08984375" style="71"/>
    <col min="1535" max="1535" width="8" style="71" customWidth="1"/>
    <col min="1536" max="1536" width="28.453125" style="71" customWidth="1"/>
    <col min="1537" max="1548" width="9.08984375" style="71"/>
    <col min="1549" max="1549" width="10.6328125" style="71" customWidth="1"/>
    <col min="1550" max="1790" width="9.08984375" style="71"/>
    <col min="1791" max="1791" width="8" style="71" customWidth="1"/>
    <col min="1792" max="1792" width="28.453125" style="71" customWidth="1"/>
    <col min="1793" max="1804" width="9.08984375" style="71"/>
    <col min="1805" max="1805" width="10.6328125" style="71" customWidth="1"/>
    <col min="1806" max="2046" width="9.08984375" style="71"/>
    <col min="2047" max="2047" width="8" style="71" customWidth="1"/>
    <col min="2048" max="2048" width="28.453125" style="71" customWidth="1"/>
    <col min="2049" max="2060" width="9.08984375" style="71"/>
    <col min="2061" max="2061" width="10.6328125" style="71" customWidth="1"/>
    <col min="2062" max="2302" width="9.08984375" style="71"/>
    <col min="2303" max="2303" width="8" style="71" customWidth="1"/>
    <col min="2304" max="2304" width="28.453125" style="71" customWidth="1"/>
    <col min="2305" max="2316" width="9.08984375" style="71"/>
    <col min="2317" max="2317" width="10.6328125" style="71" customWidth="1"/>
    <col min="2318" max="2558" width="9.08984375" style="71"/>
    <col min="2559" max="2559" width="8" style="71" customWidth="1"/>
    <col min="2560" max="2560" width="28.453125" style="71" customWidth="1"/>
    <col min="2561" max="2572" width="9.08984375" style="71"/>
    <col min="2573" max="2573" width="10.6328125" style="71" customWidth="1"/>
    <col min="2574" max="2814" width="9.08984375" style="71"/>
    <col min="2815" max="2815" width="8" style="71" customWidth="1"/>
    <col min="2816" max="2816" width="28.453125" style="71" customWidth="1"/>
    <col min="2817" max="2828" width="9.08984375" style="71"/>
    <col min="2829" max="2829" width="10.6328125" style="71" customWidth="1"/>
    <col min="2830" max="3070" width="9.08984375" style="71"/>
    <col min="3071" max="3071" width="8" style="71" customWidth="1"/>
    <col min="3072" max="3072" width="28.453125" style="71" customWidth="1"/>
    <col min="3073" max="3084" width="9.08984375" style="71"/>
    <col min="3085" max="3085" width="10.6328125" style="71" customWidth="1"/>
    <col min="3086" max="3326" width="9.08984375" style="71"/>
    <col min="3327" max="3327" width="8" style="71" customWidth="1"/>
    <col min="3328" max="3328" width="28.453125" style="71" customWidth="1"/>
    <col min="3329" max="3340" width="9.08984375" style="71"/>
    <col min="3341" max="3341" width="10.6328125" style="71" customWidth="1"/>
    <col min="3342" max="3582" width="9.08984375" style="71"/>
    <col min="3583" max="3583" width="8" style="71" customWidth="1"/>
    <col min="3584" max="3584" width="28.453125" style="71" customWidth="1"/>
    <col min="3585" max="3596" width="9.08984375" style="71"/>
    <col min="3597" max="3597" width="10.6328125" style="71" customWidth="1"/>
    <col min="3598" max="3838" width="9.08984375" style="71"/>
    <col min="3839" max="3839" width="8" style="71" customWidth="1"/>
    <col min="3840" max="3840" width="28.453125" style="71" customWidth="1"/>
    <col min="3841" max="3852" width="9.08984375" style="71"/>
    <col min="3853" max="3853" width="10.6328125" style="71" customWidth="1"/>
    <col min="3854" max="4094" width="9.08984375" style="71"/>
    <col min="4095" max="4095" width="8" style="71" customWidth="1"/>
    <col min="4096" max="4096" width="28.453125" style="71" customWidth="1"/>
    <col min="4097" max="4108" width="9.08984375" style="71"/>
    <col min="4109" max="4109" width="10.6328125" style="71" customWidth="1"/>
    <col min="4110" max="4350" width="9.08984375" style="71"/>
    <col min="4351" max="4351" width="8" style="71" customWidth="1"/>
    <col min="4352" max="4352" width="28.453125" style="71" customWidth="1"/>
    <col min="4353" max="4364" width="9.08984375" style="71"/>
    <col min="4365" max="4365" width="10.6328125" style="71" customWidth="1"/>
    <col min="4366" max="4606" width="9.08984375" style="71"/>
    <col min="4607" max="4607" width="8" style="71" customWidth="1"/>
    <col min="4608" max="4608" width="28.453125" style="71" customWidth="1"/>
    <col min="4609" max="4620" width="9.08984375" style="71"/>
    <col min="4621" max="4621" width="10.6328125" style="71" customWidth="1"/>
    <col min="4622" max="4862" width="9.08984375" style="71"/>
    <col min="4863" max="4863" width="8" style="71" customWidth="1"/>
    <col min="4864" max="4864" width="28.453125" style="71" customWidth="1"/>
    <col min="4865" max="4876" width="9.08984375" style="71"/>
    <col min="4877" max="4877" width="10.6328125" style="71" customWidth="1"/>
    <col min="4878" max="5118" width="9.08984375" style="71"/>
    <col min="5119" max="5119" width="8" style="71" customWidth="1"/>
    <col min="5120" max="5120" width="28.453125" style="71" customWidth="1"/>
    <col min="5121" max="5132" width="9.08984375" style="71"/>
    <col min="5133" max="5133" width="10.6328125" style="71" customWidth="1"/>
    <col min="5134" max="5374" width="9.08984375" style="71"/>
    <col min="5375" max="5375" width="8" style="71" customWidth="1"/>
    <col min="5376" max="5376" width="28.453125" style="71" customWidth="1"/>
    <col min="5377" max="5388" width="9.08984375" style="71"/>
    <col min="5389" max="5389" width="10.6328125" style="71" customWidth="1"/>
    <col min="5390" max="5630" width="9.08984375" style="71"/>
    <col min="5631" max="5631" width="8" style="71" customWidth="1"/>
    <col min="5632" max="5632" width="28.453125" style="71" customWidth="1"/>
    <col min="5633" max="5644" width="9.08984375" style="71"/>
    <col min="5645" max="5645" width="10.6328125" style="71" customWidth="1"/>
    <col min="5646" max="5886" width="9.08984375" style="71"/>
    <col min="5887" max="5887" width="8" style="71" customWidth="1"/>
    <col min="5888" max="5888" width="28.453125" style="71" customWidth="1"/>
    <col min="5889" max="5900" width="9.08984375" style="71"/>
    <col min="5901" max="5901" width="10.6328125" style="71" customWidth="1"/>
    <col min="5902" max="6142" width="9.08984375" style="71"/>
    <col min="6143" max="6143" width="8" style="71" customWidth="1"/>
    <col min="6144" max="6144" width="28.453125" style="71" customWidth="1"/>
    <col min="6145" max="6156" width="9.08984375" style="71"/>
    <col min="6157" max="6157" width="10.6328125" style="71" customWidth="1"/>
    <col min="6158" max="6398" width="9.08984375" style="71"/>
    <col min="6399" max="6399" width="8" style="71" customWidth="1"/>
    <col min="6400" max="6400" width="28.453125" style="71" customWidth="1"/>
    <col min="6401" max="6412" width="9.08984375" style="71"/>
    <col min="6413" max="6413" width="10.6328125" style="71" customWidth="1"/>
    <col min="6414" max="6654" width="9.08984375" style="71"/>
    <col min="6655" max="6655" width="8" style="71" customWidth="1"/>
    <col min="6656" max="6656" width="28.453125" style="71" customWidth="1"/>
    <col min="6657" max="6668" width="9.08984375" style="71"/>
    <col min="6669" max="6669" width="10.6328125" style="71" customWidth="1"/>
    <col min="6670" max="6910" width="9.08984375" style="71"/>
    <col min="6911" max="6911" width="8" style="71" customWidth="1"/>
    <col min="6912" max="6912" width="28.453125" style="71" customWidth="1"/>
    <col min="6913" max="6924" width="9.08984375" style="71"/>
    <col min="6925" max="6925" width="10.6328125" style="71" customWidth="1"/>
    <col min="6926" max="7166" width="9.08984375" style="71"/>
    <col min="7167" max="7167" width="8" style="71" customWidth="1"/>
    <col min="7168" max="7168" width="28.453125" style="71" customWidth="1"/>
    <col min="7169" max="7180" width="9.08984375" style="71"/>
    <col min="7181" max="7181" width="10.6328125" style="71" customWidth="1"/>
    <col min="7182" max="7422" width="9.08984375" style="71"/>
    <col min="7423" max="7423" width="8" style="71" customWidth="1"/>
    <col min="7424" max="7424" width="28.453125" style="71" customWidth="1"/>
    <col min="7425" max="7436" width="9.08984375" style="71"/>
    <col min="7437" max="7437" width="10.6328125" style="71" customWidth="1"/>
    <col min="7438" max="7678" width="9.08984375" style="71"/>
    <col min="7679" max="7679" width="8" style="71" customWidth="1"/>
    <col min="7680" max="7680" width="28.453125" style="71" customWidth="1"/>
    <col min="7681" max="7692" width="9.08984375" style="71"/>
    <col min="7693" max="7693" width="10.6328125" style="71" customWidth="1"/>
    <col min="7694" max="7934" width="9.08984375" style="71"/>
    <col min="7935" max="7935" width="8" style="71" customWidth="1"/>
    <col min="7936" max="7936" width="28.453125" style="71" customWidth="1"/>
    <col min="7937" max="7948" width="9.08984375" style="71"/>
    <col min="7949" max="7949" width="10.6328125" style="71" customWidth="1"/>
    <col min="7950" max="8190" width="9.08984375" style="71"/>
    <col min="8191" max="8191" width="8" style="71" customWidth="1"/>
    <col min="8192" max="8192" width="28.453125" style="71" customWidth="1"/>
    <col min="8193" max="8204" width="9.08984375" style="71"/>
    <col min="8205" max="8205" width="10.6328125" style="71" customWidth="1"/>
    <col min="8206" max="8446" width="9.08984375" style="71"/>
    <col min="8447" max="8447" width="8" style="71" customWidth="1"/>
    <col min="8448" max="8448" width="28.453125" style="71" customWidth="1"/>
    <col min="8449" max="8460" width="9.08984375" style="71"/>
    <col min="8461" max="8461" width="10.6328125" style="71" customWidth="1"/>
    <col min="8462" max="8702" width="9.08984375" style="71"/>
    <col min="8703" max="8703" width="8" style="71" customWidth="1"/>
    <col min="8704" max="8704" width="28.453125" style="71" customWidth="1"/>
    <col min="8705" max="8716" width="9.08984375" style="71"/>
    <col min="8717" max="8717" width="10.6328125" style="71" customWidth="1"/>
    <col min="8718" max="8958" width="9.08984375" style="71"/>
    <col min="8959" max="8959" width="8" style="71" customWidth="1"/>
    <col min="8960" max="8960" width="28.453125" style="71" customWidth="1"/>
    <col min="8961" max="8972" width="9.08984375" style="71"/>
    <col min="8973" max="8973" width="10.6328125" style="71" customWidth="1"/>
    <col min="8974" max="9214" width="9.08984375" style="71"/>
    <col min="9215" max="9215" width="8" style="71" customWidth="1"/>
    <col min="9216" max="9216" width="28.453125" style="71" customWidth="1"/>
    <col min="9217" max="9228" width="9.08984375" style="71"/>
    <col min="9229" max="9229" width="10.6328125" style="71" customWidth="1"/>
    <col min="9230" max="9470" width="9.08984375" style="71"/>
    <col min="9471" max="9471" width="8" style="71" customWidth="1"/>
    <col min="9472" max="9472" width="28.453125" style="71" customWidth="1"/>
    <col min="9473" max="9484" width="9.08984375" style="71"/>
    <col min="9485" max="9485" width="10.6328125" style="71" customWidth="1"/>
    <col min="9486" max="9726" width="9.08984375" style="71"/>
    <col min="9727" max="9727" width="8" style="71" customWidth="1"/>
    <col min="9728" max="9728" width="28.453125" style="71" customWidth="1"/>
    <col min="9729" max="9740" width="9.08984375" style="71"/>
    <col min="9741" max="9741" width="10.6328125" style="71" customWidth="1"/>
    <col min="9742" max="9982" width="9.08984375" style="71"/>
    <col min="9983" max="9983" width="8" style="71" customWidth="1"/>
    <col min="9984" max="9984" width="28.453125" style="71" customWidth="1"/>
    <col min="9985" max="9996" width="9.08984375" style="71"/>
    <col min="9997" max="9997" width="10.6328125" style="71" customWidth="1"/>
    <col min="9998" max="10238" width="9.08984375" style="71"/>
    <col min="10239" max="10239" width="8" style="71" customWidth="1"/>
    <col min="10240" max="10240" width="28.453125" style="71" customWidth="1"/>
    <col min="10241" max="10252" width="9.08984375" style="71"/>
    <col min="10253" max="10253" width="10.6328125" style="71" customWidth="1"/>
    <col min="10254" max="10494" width="9.08984375" style="71"/>
    <col min="10495" max="10495" width="8" style="71" customWidth="1"/>
    <col min="10496" max="10496" width="28.453125" style="71" customWidth="1"/>
    <col min="10497" max="10508" width="9.08984375" style="71"/>
    <col min="10509" max="10509" width="10.6328125" style="71" customWidth="1"/>
    <col min="10510" max="10750" width="9.08984375" style="71"/>
    <col min="10751" max="10751" width="8" style="71" customWidth="1"/>
    <col min="10752" max="10752" width="28.453125" style="71" customWidth="1"/>
    <col min="10753" max="10764" width="9.08984375" style="71"/>
    <col min="10765" max="10765" width="10.6328125" style="71" customWidth="1"/>
    <col min="10766" max="11006" width="9.08984375" style="71"/>
    <col min="11007" max="11007" width="8" style="71" customWidth="1"/>
    <col min="11008" max="11008" width="28.453125" style="71" customWidth="1"/>
    <col min="11009" max="11020" width="9.08984375" style="71"/>
    <col min="11021" max="11021" width="10.6328125" style="71" customWidth="1"/>
    <col min="11022" max="11262" width="9.08984375" style="71"/>
    <col min="11263" max="11263" width="8" style="71" customWidth="1"/>
    <col min="11264" max="11264" width="28.453125" style="71" customWidth="1"/>
    <col min="11265" max="11276" width="9.08984375" style="71"/>
    <col min="11277" max="11277" width="10.6328125" style="71" customWidth="1"/>
    <col min="11278" max="11518" width="9.08984375" style="71"/>
    <col min="11519" max="11519" width="8" style="71" customWidth="1"/>
    <col min="11520" max="11520" width="28.453125" style="71" customWidth="1"/>
    <col min="11521" max="11532" width="9.08984375" style="71"/>
    <col min="11533" max="11533" width="10.6328125" style="71" customWidth="1"/>
    <col min="11534" max="11774" width="9.08984375" style="71"/>
    <col min="11775" max="11775" width="8" style="71" customWidth="1"/>
    <col min="11776" max="11776" width="28.453125" style="71" customWidth="1"/>
    <col min="11777" max="11788" width="9.08984375" style="71"/>
    <col min="11789" max="11789" width="10.6328125" style="71" customWidth="1"/>
    <col min="11790" max="12030" width="9.08984375" style="71"/>
    <col min="12031" max="12031" width="8" style="71" customWidth="1"/>
    <col min="12032" max="12032" width="28.453125" style="71" customWidth="1"/>
    <col min="12033" max="12044" width="9.08984375" style="71"/>
    <col min="12045" max="12045" width="10.6328125" style="71" customWidth="1"/>
    <col min="12046" max="12286" width="9.08984375" style="71"/>
    <col min="12287" max="12287" width="8" style="71" customWidth="1"/>
    <col min="12288" max="12288" width="28.453125" style="71" customWidth="1"/>
    <col min="12289" max="12300" width="9.08984375" style="71"/>
    <col min="12301" max="12301" width="10.6328125" style="71" customWidth="1"/>
    <col min="12302" max="12542" width="9.08984375" style="71"/>
    <col min="12543" max="12543" width="8" style="71" customWidth="1"/>
    <col min="12544" max="12544" width="28.453125" style="71" customWidth="1"/>
    <col min="12545" max="12556" width="9.08984375" style="71"/>
    <col min="12557" max="12557" width="10.6328125" style="71" customWidth="1"/>
    <col min="12558" max="12798" width="9.08984375" style="71"/>
    <col min="12799" max="12799" width="8" style="71" customWidth="1"/>
    <col min="12800" max="12800" width="28.453125" style="71" customWidth="1"/>
    <col min="12801" max="12812" width="9.08984375" style="71"/>
    <col min="12813" max="12813" width="10.6328125" style="71" customWidth="1"/>
    <col min="12814" max="13054" width="9.08984375" style="71"/>
    <col min="13055" max="13055" width="8" style="71" customWidth="1"/>
    <col min="13056" max="13056" width="28.453125" style="71" customWidth="1"/>
    <col min="13057" max="13068" width="9.08984375" style="71"/>
    <col min="13069" max="13069" width="10.6328125" style="71" customWidth="1"/>
    <col min="13070" max="13310" width="9.08984375" style="71"/>
    <col min="13311" max="13311" width="8" style="71" customWidth="1"/>
    <col min="13312" max="13312" width="28.453125" style="71" customWidth="1"/>
    <col min="13313" max="13324" width="9.08984375" style="71"/>
    <col min="13325" max="13325" width="10.6328125" style="71" customWidth="1"/>
    <col min="13326" max="13566" width="9.08984375" style="71"/>
    <col min="13567" max="13567" width="8" style="71" customWidth="1"/>
    <col min="13568" max="13568" width="28.453125" style="71" customWidth="1"/>
    <col min="13569" max="13580" width="9.08984375" style="71"/>
    <col min="13581" max="13581" width="10.6328125" style="71" customWidth="1"/>
    <col min="13582" max="13822" width="9.08984375" style="71"/>
    <col min="13823" max="13823" width="8" style="71" customWidth="1"/>
    <col min="13824" max="13824" width="28.453125" style="71" customWidth="1"/>
    <col min="13825" max="13836" width="9.08984375" style="71"/>
    <col min="13837" max="13837" width="10.6328125" style="71" customWidth="1"/>
    <col min="13838" max="14078" width="9.08984375" style="71"/>
    <col min="14079" max="14079" width="8" style="71" customWidth="1"/>
    <col min="14080" max="14080" width="28.453125" style="71" customWidth="1"/>
    <col min="14081" max="14092" width="9.08984375" style="71"/>
    <col min="14093" max="14093" width="10.6328125" style="71" customWidth="1"/>
    <col min="14094" max="14334" width="9.08984375" style="71"/>
    <col min="14335" max="14335" width="8" style="71" customWidth="1"/>
    <col min="14336" max="14336" width="28.453125" style="71" customWidth="1"/>
    <col min="14337" max="14348" width="9.08984375" style="71"/>
    <col min="14349" max="14349" width="10.6328125" style="71" customWidth="1"/>
    <col min="14350" max="14590" width="9.08984375" style="71"/>
    <col min="14591" max="14591" width="8" style="71" customWidth="1"/>
    <col min="14592" max="14592" width="28.453125" style="71" customWidth="1"/>
    <col min="14593" max="14604" width="9.08984375" style="71"/>
    <col min="14605" max="14605" width="10.6328125" style="71" customWidth="1"/>
    <col min="14606" max="14846" width="9.08984375" style="71"/>
    <col min="14847" max="14847" width="8" style="71" customWidth="1"/>
    <col min="14848" max="14848" width="28.453125" style="71" customWidth="1"/>
    <col min="14849" max="14860" width="9.08984375" style="71"/>
    <col min="14861" max="14861" width="10.6328125" style="71" customWidth="1"/>
    <col min="14862" max="15102" width="9.08984375" style="71"/>
    <col min="15103" max="15103" width="8" style="71" customWidth="1"/>
    <col min="15104" max="15104" width="28.453125" style="71" customWidth="1"/>
    <col min="15105" max="15116" width="9.08984375" style="71"/>
    <col min="15117" max="15117" width="10.6328125" style="71" customWidth="1"/>
    <col min="15118" max="15358" width="9.08984375" style="71"/>
    <col min="15359" max="15359" width="8" style="71" customWidth="1"/>
    <col min="15360" max="15360" width="28.453125" style="71" customWidth="1"/>
    <col min="15361" max="15372" width="9.08984375" style="71"/>
    <col min="15373" max="15373" width="10.6328125" style="71" customWidth="1"/>
    <col min="15374" max="15614" width="9.08984375" style="71"/>
    <col min="15615" max="15615" width="8" style="71" customWidth="1"/>
    <col min="15616" max="15616" width="28.453125" style="71" customWidth="1"/>
    <col min="15617" max="15628" width="9.08984375" style="71"/>
    <col min="15629" max="15629" width="10.6328125" style="71" customWidth="1"/>
    <col min="15630" max="15870" width="9.08984375" style="71"/>
    <col min="15871" max="15871" width="8" style="71" customWidth="1"/>
    <col min="15872" max="15872" width="28.453125" style="71" customWidth="1"/>
    <col min="15873" max="15884" width="9.08984375" style="71"/>
    <col min="15885" max="15885" width="10.6328125" style="71" customWidth="1"/>
    <col min="15886" max="16126" width="9.08984375" style="71"/>
    <col min="16127" max="16127" width="8" style="71" customWidth="1"/>
    <col min="16128" max="16128" width="28.453125" style="71" customWidth="1"/>
    <col min="16129" max="16140" width="9.08984375" style="71"/>
    <col min="16141" max="16141" width="10.6328125" style="71" customWidth="1"/>
    <col min="16142" max="16384" width="9.08984375" style="71"/>
  </cols>
  <sheetData>
    <row r="1" spans="1:13" ht="17.5">
      <c r="A1" s="72" t="s">
        <v>111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3">
      <c r="A2" s="71" t="s">
        <v>112</v>
      </c>
      <c r="B2" s="75"/>
    </row>
    <row r="3" spans="1:13" ht="16.899999999999999" customHeight="1">
      <c r="A3" s="76" t="s">
        <v>15</v>
      </c>
      <c r="B3" s="76" t="s">
        <v>113</v>
      </c>
      <c r="C3" s="220" t="s">
        <v>114</v>
      </c>
      <c r="D3" s="220"/>
      <c r="E3" s="220"/>
      <c r="F3" s="78"/>
      <c r="G3" s="79"/>
      <c r="H3" s="80"/>
      <c r="I3" s="80"/>
      <c r="J3" s="80" t="s">
        <v>115</v>
      </c>
      <c r="K3" s="80"/>
      <c r="L3" s="80"/>
      <c r="M3" s="101"/>
    </row>
    <row r="4" spans="1:13" ht="16.149999999999999" customHeight="1">
      <c r="A4" s="81"/>
      <c r="B4" s="81" t="s">
        <v>116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117</v>
      </c>
    </row>
    <row r="5" spans="1:13" ht="15.65" customHeight="1">
      <c r="A5" s="83">
        <v>1</v>
      </c>
      <c r="B5" s="84" t="s">
        <v>118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6020000</v>
      </c>
      <c r="G5" s="85">
        <f t="shared" si="1"/>
        <v>6450000</v>
      </c>
      <c r="H5" s="85">
        <f t="shared" si="1"/>
        <v>6450000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18920000</v>
      </c>
      <c r="M5" s="89" t="e">
        <f t="shared" ref="M5:M17" si="2">SUM(C5:L5)</f>
        <v>#REF!</v>
      </c>
    </row>
    <row r="6" spans="1:13" ht="15.65" customHeight="1">
      <c r="A6" s="83">
        <v>1.1000000000000001</v>
      </c>
      <c r="B6" s="86" t="s">
        <v>119</v>
      </c>
      <c r="C6" s="87"/>
      <c r="D6" s="87"/>
      <c r="E6" s="87" t="e">
        <f>损益表!#REF!</f>
        <v>#REF!</v>
      </c>
      <c r="F6" s="87">
        <f>损益表!C4</f>
        <v>6020000</v>
      </c>
      <c r="G6" s="87">
        <f>损益表!D4</f>
        <v>6450000</v>
      </c>
      <c r="H6" s="87">
        <f>损益表!E4</f>
        <v>6450000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损益表!F4</f>
        <v>18920000</v>
      </c>
      <c r="M6" s="89" t="e">
        <f t="shared" si="2"/>
        <v>#REF!</v>
      </c>
    </row>
    <row r="7" spans="1:13" ht="15.65" customHeight="1">
      <c r="A7" s="83">
        <v>1.2</v>
      </c>
      <c r="B7" s="86" t="s">
        <v>120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5" customHeight="1">
      <c r="A8" s="83">
        <v>1.3</v>
      </c>
      <c r="B8" s="86" t="s">
        <v>121</v>
      </c>
      <c r="C8" s="87" t="s">
        <v>122</v>
      </c>
      <c r="D8" s="87" t="s">
        <v>122</v>
      </c>
      <c r="E8" s="87" t="s">
        <v>122</v>
      </c>
      <c r="F8" s="87" t="s">
        <v>122</v>
      </c>
      <c r="G8" s="87" t="s">
        <v>122</v>
      </c>
      <c r="H8" s="87" t="s">
        <v>122</v>
      </c>
      <c r="I8" s="87" t="s">
        <v>122</v>
      </c>
      <c r="J8" s="87" t="s">
        <v>122</v>
      </c>
      <c r="K8" s="87" t="s">
        <v>122</v>
      </c>
      <c r="L8" s="87"/>
      <c r="M8" s="89">
        <f t="shared" si="2"/>
        <v>0</v>
      </c>
    </row>
    <row r="9" spans="1:13" s="70" customFormat="1" ht="15.65" customHeight="1">
      <c r="A9" s="88">
        <v>1.4</v>
      </c>
      <c r="B9" s="89" t="s">
        <v>123</v>
      </c>
      <c r="C9" s="87" t="s">
        <v>122</v>
      </c>
      <c r="D9" s="87" t="s">
        <v>122</v>
      </c>
      <c r="E9" s="87" t="s">
        <v>122</v>
      </c>
      <c r="F9" s="87" t="s">
        <v>122</v>
      </c>
      <c r="G9" s="87" t="s">
        <v>122</v>
      </c>
      <c r="H9" s="87" t="s">
        <v>122</v>
      </c>
      <c r="I9" s="87" t="s">
        <v>122</v>
      </c>
      <c r="J9" s="87" t="s">
        <v>122</v>
      </c>
      <c r="K9" s="87" t="s">
        <v>122</v>
      </c>
      <c r="L9" s="87" t="s">
        <v>122</v>
      </c>
      <c r="M9" s="89">
        <f t="shared" si="2"/>
        <v>0</v>
      </c>
    </row>
    <row r="10" spans="1:13" ht="15.65" customHeight="1">
      <c r="A10" s="88">
        <v>2</v>
      </c>
      <c r="B10" s="84" t="s">
        <v>124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125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126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127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128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56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3">
      <c r="A17" s="83">
        <v>3</v>
      </c>
      <c r="B17" s="84" t="s">
        <v>130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6020000</v>
      </c>
      <c r="G17" s="85">
        <f t="shared" si="4"/>
        <v>6450000</v>
      </c>
      <c r="H17" s="85">
        <f t="shared" si="4"/>
        <v>6450000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18920000</v>
      </c>
      <c r="M17" s="89" t="e">
        <f t="shared" si="2"/>
        <v>#REF!</v>
      </c>
    </row>
    <row r="18" spans="1:18" ht="13">
      <c r="A18" s="90">
        <v>4</v>
      </c>
      <c r="B18" s="86" t="s">
        <v>131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122</v>
      </c>
    </row>
    <row r="19" spans="1:18" s="70" customFormat="1" ht="13">
      <c r="A19" s="90">
        <v>5</v>
      </c>
      <c r="B19" s="86" t="s">
        <v>132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6020000</v>
      </c>
      <c r="G19" s="87">
        <f t="shared" si="6"/>
        <v>6450000</v>
      </c>
      <c r="H19" s="87">
        <f t="shared" si="6"/>
        <v>6450000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18920000</v>
      </c>
      <c r="M19" s="89" t="e">
        <f>SUM(C19:L19)</f>
        <v>#REF!</v>
      </c>
    </row>
    <row r="20" spans="1:18" s="70" customFormat="1" ht="13">
      <c r="A20" s="83">
        <v>6</v>
      </c>
      <c r="B20" s="86" t="s">
        <v>133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122</v>
      </c>
    </row>
    <row r="21" spans="1:18" ht="13">
      <c r="A21" s="91"/>
      <c r="B21" s="92" t="s">
        <v>134</v>
      </c>
      <c r="C21" s="92"/>
      <c r="D21" s="92"/>
      <c r="E21" s="92" t="s">
        <v>135</v>
      </c>
      <c r="F21" s="92"/>
      <c r="G21" s="92"/>
      <c r="H21" s="92"/>
      <c r="I21" s="92" t="s">
        <v>136</v>
      </c>
      <c r="J21" s="92"/>
      <c r="K21" s="92"/>
      <c r="L21" s="92"/>
      <c r="M21" s="103"/>
    </row>
    <row r="22" spans="1:18" ht="13">
      <c r="A22" s="93"/>
      <c r="B22" s="94" t="s">
        <v>137</v>
      </c>
      <c r="C22" s="94"/>
      <c r="D22" s="95" t="s">
        <v>138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3">
      <c r="A23" s="93"/>
      <c r="B23" s="94" t="s">
        <v>139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3">
      <c r="A24" s="98"/>
      <c r="B24" s="99" t="s">
        <v>140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F21" sqref="F21"/>
    </sheetView>
  </sheetViews>
  <sheetFormatPr defaultColWidth="9" defaultRowHeight="14.5"/>
  <cols>
    <col min="1" max="1" width="5.08984375" style="46" customWidth="1"/>
    <col min="2" max="2" width="17.453125" style="46" customWidth="1"/>
    <col min="3" max="5" width="16.08984375" style="47" bestFit="1" customWidth="1"/>
    <col min="6" max="6" width="18.7265625" style="47" customWidth="1"/>
    <col min="7" max="7" width="12.36328125" style="46" customWidth="1"/>
    <col min="8" max="8" width="10.08984375" style="46" customWidth="1"/>
    <col min="9" max="15" width="9" style="46" customWidth="1"/>
    <col min="16" max="32" width="9" style="46"/>
    <col min="33" max="33" width="4.36328125" style="46" customWidth="1"/>
    <col min="34" max="34" width="13.90625" style="46" customWidth="1"/>
    <col min="35" max="16384" width="9" style="46"/>
  </cols>
  <sheetData>
    <row r="1" spans="1:35">
      <c r="A1" s="221" t="s">
        <v>141</v>
      </c>
      <c r="B1" s="221"/>
      <c r="C1" s="225" t="s">
        <v>242</v>
      </c>
      <c r="D1" s="226"/>
      <c r="E1" s="226"/>
      <c r="F1" s="227"/>
    </row>
    <row r="2" spans="1:35">
      <c r="A2" s="221" t="s">
        <v>142</v>
      </c>
      <c r="B2" s="221"/>
      <c r="C2" s="228" t="s">
        <v>260</v>
      </c>
      <c r="D2" s="228"/>
      <c r="E2" s="228"/>
      <c r="F2" s="228"/>
    </row>
    <row r="3" spans="1:35" ht="66">
      <c r="A3" s="221" t="s">
        <v>143</v>
      </c>
      <c r="B3" s="221"/>
      <c r="C3" s="182" t="s">
        <v>254</v>
      </c>
      <c r="D3" s="182" t="s">
        <v>255</v>
      </c>
      <c r="E3" s="182" t="s">
        <v>256</v>
      </c>
      <c r="F3" s="222" t="s">
        <v>17</v>
      </c>
    </row>
    <row r="4" spans="1:35" ht="16.5">
      <c r="A4" s="221" t="s">
        <v>144</v>
      </c>
      <c r="B4" s="221"/>
      <c r="C4" s="183" t="s">
        <v>257</v>
      </c>
      <c r="D4" s="183" t="s">
        <v>258</v>
      </c>
      <c r="E4" s="183" t="s">
        <v>259</v>
      </c>
      <c r="F4" s="223"/>
    </row>
    <row r="5" spans="1:35">
      <c r="A5" s="221" t="s">
        <v>145</v>
      </c>
      <c r="B5" s="221"/>
      <c r="C5" s="49"/>
      <c r="D5" s="49"/>
      <c r="E5" s="49"/>
      <c r="F5" s="224"/>
      <c r="AI5" s="46" t="s">
        <v>18</v>
      </c>
    </row>
    <row r="6" spans="1:35" ht="16.5">
      <c r="A6" s="50" t="s">
        <v>15</v>
      </c>
      <c r="B6" s="51" t="s">
        <v>146</v>
      </c>
      <c r="C6" s="21">
        <f>销量!C9</f>
        <v>2800</v>
      </c>
      <c r="D6" s="21">
        <f>销量!D9</f>
        <v>2800</v>
      </c>
      <c r="E6" s="21">
        <f>销量!E9</f>
        <v>2800</v>
      </c>
      <c r="F6" s="52">
        <f t="shared" ref="F6:F15" si="0">SUM(C6:E6)</f>
        <v>8400</v>
      </c>
      <c r="Q6" s="51" t="s">
        <v>3</v>
      </c>
      <c r="AG6" s="50" t="s">
        <v>15</v>
      </c>
      <c r="AH6" s="51" t="s">
        <v>3</v>
      </c>
      <c r="AI6" s="46" t="s">
        <v>19</v>
      </c>
    </row>
    <row r="7" spans="1:35">
      <c r="A7" s="48">
        <v>1</v>
      </c>
      <c r="B7" s="51" t="s">
        <v>20</v>
      </c>
      <c r="C7" s="52">
        <f>C6*销量!C8</f>
        <v>4620000</v>
      </c>
      <c r="D7" s="52">
        <f>D6*销量!D8</f>
        <v>1204000</v>
      </c>
      <c r="E7" s="52">
        <f>E6*销量!E8</f>
        <v>196000</v>
      </c>
      <c r="F7" s="52">
        <f t="shared" si="0"/>
        <v>6020000</v>
      </c>
      <c r="G7" s="47"/>
      <c r="Q7" s="51" t="s">
        <v>20</v>
      </c>
      <c r="AG7" s="50" t="s">
        <v>21</v>
      </c>
      <c r="AH7" s="51" t="s">
        <v>20</v>
      </c>
      <c r="AI7" s="46" t="s">
        <v>19</v>
      </c>
    </row>
    <row r="8" spans="1:35">
      <c r="A8" s="48">
        <v>2</v>
      </c>
      <c r="B8" s="48" t="s">
        <v>22</v>
      </c>
      <c r="C8" s="52"/>
      <c r="D8" s="52"/>
      <c r="E8" s="52"/>
      <c r="F8" s="52">
        <f t="shared" si="0"/>
        <v>0</v>
      </c>
      <c r="G8" s="67"/>
      <c r="Q8" s="48" t="s">
        <v>24</v>
      </c>
      <c r="AG8" s="50" t="s">
        <v>23</v>
      </c>
      <c r="AH8" s="48" t="s">
        <v>24</v>
      </c>
      <c r="AI8" s="46" t="s">
        <v>19</v>
      </c>
    </row>
    <row r="9" spans="1:35">
      <c r="A9" s="48">
        <v>3</v>
      </c>
      <c r="B9" s="51" t="s">
        <v>25</v>
      </c>
      <c r="C9" s="52">
        <f>+C7-C8</f>
        <v>4620000</v>
      </c>
      <c r="D9" s="52">
        <f t="shared" ref="D9:E9" si="1">+D7-D8</f>
        <v>1204000</v>
      </c>
      <c r="E9" s="52">
        <f t="shared" si="1"/>
        <v>196000</v>
      </c>
      <c r="F9" s="52">
        <f t="shared" si="0"/>
        <v>6020000</v>
      </c>
      <c r="Q9" s="51" t="s">
        <v>25</v>
      </c>
      <c r="AG9" s="50" t="s">
        <v>26</v>
      </c>
      <c r="AH9" s="51" t="s">
        <v>25</v>
      </c>
      <c r="AI9" s="46" t="s">
        <v>27</v>
      </c>
    </row>
    <row r="10" spans="1:35">
      <c r="A10" s="48">
        <v>4</v>
      </c>
      <c r="B10" s="50" t="s">
        <v>28</v>
      </c>
      <c r="C10" s="52">
        <f>C6*材料成本!E20</f>
        <v>3235595.4643758615</v>
      </c>
      <c r="D10" s="52">
        <f>D6*材料成本!E21</f>
        <v>1099119.1714690267</v>
      </c>
      <c r="E10" s="52">
        <f>E6*材料成本!E22</f>
        <v>225885.35254684163</v>
      </c>
      <c r="F10" s="52">
        <f t="shared" si="0"/>
        <v>4560599.98839173</v>
      </c>
      <c r="Q10" s="50" t="s">
        <v>28</v>
      </c>
      <c r="AG10" s="50" t="s">
        <v>29</v>
      </c>
      <c r="AH10" s="50" t="s">
        <v>28</v>
      </c>
      <c r="AI10" s="46" t="s">
        <v>30</v>
      </c>
    </row>
    <row r="11" spans="1:35">
      <c r="A11" s="48">
        <v>5</v>
      </c>
      <c r="B11" s="50" t="s">
        <v>31</v>
      </c>
      <c r="C11" s="52">
        <f>+C6*C36</f>
        <v>259736.3370407437</v>
      </c>
      <c r="D11" s="52">
        <f t="shared" ref="D11:E11" si="2">+D6*D36</f>
        <v>67688.863592436246</v>
      </c>
      <c r="E11" s="52">
        <f t="shared" si="2"/>
        <v>11019.117329001248</v>
      </c>
      <c r="F11" s="52">
        <f t="shared" si="0"/>
        <v>338444.31796218123</v>
      </c>
      <c r="Q11" s="50" t="s">
        <v>31</v>
      </c>
      <c r="AG11" s="50" t="s">
        <v>32</v>
      </c>
      <c r="AH11" s="50" t="s">
        <v>31</v>
      </c>
    </row>
    <row r="12" spans="1:35">
      <c r="A12" s="48">
        <v>6</v>
      </c>
      <c r="B12" s="50" t="s">
        <v>33</v>
      </c>
      <c r="C12" s="52">
        <f>+C6*C37</f>
        <v>69651.071956973916</v>
      </c>
      <c r="D12" s="52">
        <f t="shared" ref="D12:E12" si="3">+D6*D37</f>
        <v>18151.491479696233</v>
      </c>
      <c r="E12" s="52">
        <f t="shared" si="3"/>
        <v>2954.8939618110144</v>
      </c>
      <c r="F12" s="52">
        <f t="shared" si="0"/>
        <v>90757.457398481158</v>
      </c>
      <c r="Q12" s="50" t="s">
        <v>33</v>
      </c>
      <c r="AG12" s="50" t="s">
        <v>34</v>
      </c>
      <c r="AH12" s="50" t="s">
        <v>33</v>
      </c>
    </row>
    <row r="13" spans="1:35">
      <c r="A13" s="48">
        <v>7</v>
      </c>
      <c r="B13" s="50" t="s">
        <v>35</v>
      </c>
      <c r="C13" s="52">
        <f>+C6*C38</f>
        <v>184799.99999999997</v>
      </c>
      <c r="D13" s="52">
        <f t="shared" ref="D13:E13" si="4">+D6*D38</f>
        <v>48159.999999999985</v>
      </c>
      <c r="E13" s="52">
        <f t="shared" si="4"/>
        <v>7839.9999999999982</v>
      </c>
      <c r="F13" s="52">
        <f t="shared" si="0"/>
        <v>240799.99999999994</v>
      </c>
      <c r="Q13" s="50" t="s">
        <v>35</v>
      </c>
      <c r="AG13" s="50" t="s">
        <v>36</v>
      </c>
      <c r="AH13" s="50" t="s">
        <v>35</v>
      </c>
      <c r="AI13" s="46" t="s">
        <v>19</v>
      </c>
    </row>
    <row r="14" spans="1:35">
      <c r="A14" s="48">
        <v>8</v>
      </c>
      <c r="B14" s="53" t="s">
        <v>37</v>
      </c>
      <c r="C14" s="52">
        <f>SUM(C11:C13)</f>
        <v>514187.40899771755</v>
      </c>
      <c r="D14" s="52">
        <f t="shared" ref="D14:E14" si="5">SUM(D11:D13)</f>
        <v>134000.35507213249</v>
      </c>
      <c r="E14" s="52">
        <f t="shared" si="5"/>
        <v>21814.011290812261</v>
      </c>
      <c r="F14" s="52">
        <f t="shared" si="0"/>
        <v>670001.77536066237</v>
      </c>
      <c r="Q14" s="53" t="s">
        <v>37</v>
      </c>
      <c r="AG14" s="50" t="s">
        <v>38</v>
      </c>
      <c r="AH14" s="53" t="s">
        <v>37</v>
      </c>
    </row>
    <row r="15" spans="1:35">
      <c r="A15" s="48">
        <v>9</v>
      </c>
      <c r="B15" s="53" t="s">
        <v>39</v>
      </c>
      <c r="C15" s="52">
        <f>+C9-C10-C14</f>
        <v>870217.126626421</v>
      </c>
      <c r="D15" s="52">
        <f t="shared" ref="D15:E15" si="6">+D9-D10-D14</f>
        <v>-29119.526541159197</v>
      </c>
      <c r="E15" s="52">
        <f t="shared" si="6"/>
        <v>-51699.363837653895</v>
      </c>
      <c r="F15" s="52">
        <f t="shared" si="0"/>
        <v>789398.23624760786</v>
      </c>
      <c r="Q15" s="53" t="s">
        <v>39</v>
      </c>
      <c r="AG15" s="50" t="s">
        <v>40</v>
      </c>
      <c r="AH15" s="53" t="s">
        <v>39</v>
      </c>
    </row>
    <row r="16" spans="1:35">
      <c r="A16" s="48">
        <v>10</v>
      </c>
      <c r="B16" s="50" t="s">
        <v>41</v>
      </c>
      <c r="C16" s="54">
        <f>+C15/C9</f>
        <v>0.18835868541697423</v>
      </c>
      <c r="D16" s="54">
        <f t="shared" ref="D16:E16" si="7">+D15/D9</f>
        <v>-2.4185653273388036E-2</v>
      </c>
      <c r="E16" s="54">
        <f t="shared" si="7"/>
        <v>-0.26377226447782598</v>
      </c>
      <c r="F16" s="54">
        <f t="shared" ref="F16" si="8">+F15/F9</f>
        <v>0.13112927512418734</v>
      </c>
      <c r="Q16" s="50" t="s">
        <v>41</v>
      </c>
      <c r="AG16" s="50" t="s">
        <v>42</v>
      </c>
      <c r="AH16" s="50" t="s">
        <v>41</v>
      </c>
    </row>
    <row r="17" spans="1:35">
      <c r="A17" s="48">
        <v>11</v>
      </c>
      <c r="B17" s="50" t="s">
        <v>43</v>
      </c>
      <c r="C17" s="52">
        <f>C6*C43+C18</f>
        <v>207900</v>
      </c>
      <c r="D17" s="52">
        <f t="shared" ref="D17:E17" si="9">D6*D43+D18</f>
        <v>54179.999999999993</v>
      </c>
      <c r="E17" s="52">
        <f t="shared" si="9"/>
        <v>8820</v>
      </c>
      <c r="F17" s="52">
        <f>SUM(C17:E17)</f>
        <v>270900</v>
      </c>
      <c r="G17" s="67"/>
      <c r="Q17" s="50" t="s">
        <v>43</v>
      </c>
      <c r="AG17" s="50" t="s">
        <v>44</v>
      </c>
      <c r="AH17" s="50" t="s">
        <v>43</v>
      </c>
    </row>
    <row r="18" spans="1:35" s="44" customFormat="1">
      <c r="A18" s="48">
        <v>12</v>
      </c>
      <c r="B18" s="55" t="s">
        <v>147</v>
      </c>
      <c r="C18" s="56">
        <f>$F$18/$F$6*C6</f>
        <v>0</v>
      </c>
      <c r="D18" s="56">
        <f>$F$18/$F$6*D6</f>
        <v>0</v>
      </c>
      <c r="E18" s="56">
        <f>$F$18/$F$6*E6</f>
        <v>0</v>
      </c>
      <c r="F18" s="56">
        <f>项目投资!D26</f>
        <v>0</v>
      </c>
      <c r="G18" s="68" t="s">
        <v>148</v>
      </c>
      <c r="H18" s="68"/>
      <c r="I18" s="68"/>
    </row>
    <row r="19" spans="1:35">
      <c r="A19" s="48">
        <v>13</v>
      </c>
      <c r="B19" s="50" t="s">
        <v>45</v>
      </c>
      <c r="C19" s="52">
        <f>C6*C44</f>
        <v>32340.000000000004</v>
      </c>
      <c r="D19" s="52">
        <f t="shared" ref="D19:E19" si="10">D6*D44</f>
        <v>8428</v>
      </c>
      <c r="E19" s="52">
        <f t="shared" si="10"/>
        <v>1372</v>
      </c>
      <c r="F19" s="52">
        <f>SUM(C19:E19)</f>
        <v>42140</v>
      </c>
      <c r="G19" s="44"/>
      <c r="Q19" s="50" t="s">
        <v>45</v>
      </c>
      <c r="AG19" s="50" t="s">
        <v>46</v>
      </c>
      <c r="AH19" s="50" t="s">
        <v>45</v>
      </c>
      <c r="AI19" s="46" t="s">
        <v>19</v>
      </c>
    </row>
    <row r="20" spans="1:35">
      <c r="A20" s="48">
        <v>14</v>
      </c>
      <c r="B20" s="50" t="s">
        <v>47</v>
      </c>
      <c r="C20" s="52">
        <f>C6*C45</f>
        <v>138600</v>
      </c>
      <c r="D20" s="52">
        <f t="shared" ref="D20:E20" si="11">D6*D45</f>
        <v>36120</v>
      </c>
      <c r="E20" s="52">
        <f t="shared" si="11"/>
        <v>5880</v>
      </c>
      <c r="F20" s="52">
        <f>SUM(C20:E20)</f>
        <v>180600</v>
      </c>
      <c r="Q20" s="50" t="s">
        <v>47</v>
      </c>
      <c r="AG20" s="50" t="s">
        <v>48</v>
      </c>
      <c r="AH20" s="50" t="s">
        <v>47</v>
      </c>
    </row>
    <row r="21" spans="1:35">
      <c r="A21" s="48">
        <v>15</v>
      </c>
      <c r="B21" s="50" t="s">
        <v>49</v>
      </c>
      <c r="C21" s="57">
        <f>$F$21/$F$6*C6</f>
        <v>27245.555555555551</v>
      </c>
      <c r="D21" s="57">
        <f>$F$21/$F$6*D6</f>
        <v>27245.555555555551</v>
      </c>
      <c r="E21" s="57">
        <f>$F$21/$F$6*E6</f>
        <v>27245.555555555551</v>
      </c>
      <c r="F21" s="52">
        <f>项目投资!D27</f>
        <v>81736.666666666657</v>
      </c>
      <c r="Q21" s="50" t="s">
        <v>49</v>
      </c>
      <c r="AG21" s="50"/>
      <c r="AH21" s="50"/>
    </row>
    <row r="22" spans="1:35">
      <c r="A22" s="48">
        <v>16</v>
      </c>
      <c r="B22" s="50" t="s">
        <v>50</v>
      </c>
      <c r="C22" s="52">
        <f>C6*C47</f>
        <v>98405.999999999985</v>
      </c>
      <c r="D22" s="52">
        <f t="shared" ref="D22:E22" si="12">D6*D47</f>
        <v>25645.199999999997</v>
      </c>
      <c r="E22" s="52">
        <f t="shared" si="12"/>
        <v>4174.7999999999993</v>
      </c>
      <c r="F22" s="52">
        <f>SUM(C22:E22)</f>
        <v>128225.99999999999</v>
      </c>
      <c r="Q22" s="50" t="s">
        <v>50</v>
      </c>
      <c r="AG22" s="50" t="s">
        <v>51</v>
      </c>
      <c r="AH22" s="50" t="s">
        <v>50</v>
      </c>
    </row>
    <row r="23" spans="1:35">
      <c r="A23" s="48">
        <v>17</v>
      </c>
      <c r="B23" s="53" t="s">
        <v>52</v>
      </c>
      <c r="C23" s="57">
        <f>+C22+C21+C20+C19+C17</f>
        <v>504491.5555555555</v>
      </c>
      <c r="D23" s="57">
        <f t="shared" ref="D23:E23" si="13">+D22+D21+D20+D19+D17</f>
        <v>151618.75555555554</v>
      </c>
      <c r="E23" s="57">
        <f t="shared" si="13"/>
        <v>47492.35555555555</v>
      </c>
      <c r="F23" s="57">
        <f t="shared" ref="F23" si="14">+F22+F21+F20+F19+F17</f>
        <v>703602.66666666663</v>
      </c>
      <c r="Q23" s="53" t="s">
        <v>52</v>
      </c>
      <c r="AG23" s="50" t="s">
        <v>53</v>
      </c>
      <c r="AH23" s="53" t="s">
        <v>52</v>
      </c>
    </row>
    <row r="24" spans="1:35">
      <c r="A24" s="48">
        <v>18</v>
      </c>
      <c r="B24" s="58" t="s">
        <v>54</v>
      </c>
      <c r="C24" s="57">
        <f>+C15-C23</f>
        <v>365725.5710708655</v>
      </c>
      <c r="D24" s="57">
        <f t="shared" ref="D24:E24" si="15">+D15-D23</f>
        <v>-180738.28209671474</v>
      </c>
      <c r="E24" s="57">
        <f t="shared" si="15"/>
        <v>-99191.719393209438</v>
      </c>
      <c r="F24" s="57">
        <f t="shared" ref="F24" si="16">+F15-F23</f>
        <v>85795.569580941228</v>
      </c>
      <c r="H24" s="69"/>
      <c r="Q24" s="50" t="s">
        <v>54</v>
      </c>
      <c r="AG24" s="50" t="s">
        <v>55</v>
      </c>
      <c r="AH24" s="50" t="s">
        <v>54</v>
      </c>
    </row>
    <row r="25" spans="1:35">
      <c r="A25" s="48">
        <v>19</v>
      </c>
      <c r="B25" s="50" t="s">
        <v>149</v>
      </c>
      <c r="C25" s="57">
        <f>IF(C24&lt;0,0,C24*0.15)</f>
        <v>54858.835660629826</v>
      </c>
      <c r="D25" s="57">
        <f>IF(D24&lt;0,0,D24*0.15)</f>
        <v>0</v>
      </c>
      <c r="E25" s="57">
        <f>IF(E24&lt;0,0,E24*0.15)</f>
        <v>0</v>
      </c>
      <c r="F25" s="57">
        <f>IF(F24&lt;0,0,F24*0.15)</f>
        <v>12869.335437141184</v>
      </c>
      <c r="G25" s="65"/>
      <c r="H25" s="65"/>
      <c r="I25" s="65"/>
      <c r="Q25" s="50" t="s">
        <v>56</v>
      </c>
      <c r="AG25" s="50" t="s">
        <v>57</v>
      </c>
      <c r="AH25" s="50" t="s">
        <v>56</v>
      </c>
    </row>
    <row r="26" spans="1:35">
      <c r="A26" s="48">
        <v>20</v>
      </c>
      <c r="B26" s="50" t="s">
        <v>58</v>
      </c>
      <c r="C26" s="57">
        <f t="shared" ref="C26:E26" si="17">C24-C25</f>
        <v>310866.73541023565</v>
      </c>
      <c r="D26" s="57">
        <f t="shared" si="17"/>
        <v>-180738.28209671474</v>
      </c>
      <c r="E26" s="57">
        <f t="shared" si="17"/>
        <v>-99191.719393209438</v>
      </c>
      <c r="F26" s="52">
        <f>SUM(C26:E26)</f>
        <v>30936.733920311468</v>
      </c>
      <c r="G26" s="65"/>
      <c r="H26" s="65"/>
      <c r="I26" s="65"/>
      <c r="Q26" s="50" t="s">
        <v>58</v>
      </c>
      <c r="AG26" s="50" t="s">
        <v>59</v>
      </c>
      <c r="AH26" s="50" t="s">
        <v>58</v>
      </c>
    </row>
    <row r="27" spans="1:35">
      <c r="A27" s="48">
        <v>21</v>
      </c>
      <c r="B27" s="50" t="s">
        <v>62</v>
      </c>
      <c r="C27" s="59">
        <f t="shared" ref="C27:F27" si="18">C26/C7</f>
        <v>6.7287172166717674E-2</v>
      </c>
      <c r="D27" s="59">
        <f t="shared" ref="D27:E27" si="19">D26/D7</f>
        <v>-0.15011485223979629</v>
      </c>
      <c r="E27" s="59">
        <f t="shared" si="19"/>
        <v>-0.50608020098576245</v>
      </c>
      <c r="F27" s="59">
        <f t="shared" si="18"/>
        <v>5.1389923455666892E-3</v>
      </c>
      <c r="G27" s="65"/>
      <c r="H27" s="65"/>
      <c r="I27" s="65"/>
      <c r="Q27" s="50" t="s">
        <v>62</v>
      </c>
      <c r="AG27" s="50" t="s">
        <v>61</v>
      </c>
      <c r="AH27" s="50" t="s">
        <v>62</v>
      </c>
    </row>
    <row r="28" spans="1:35">
      <c r="G28" s="65"/>
      <c r="H28" s="65"/>
      <c r="I28" s="65"/>
      <c r="Q28" s="50"/>
    </row>
    <row r="29" spans="1:35">
      <c r="A29" s="46" t="s">
        <v>63</v>
      </c>
      <c r="F29" s="47" t="s">
        <v>150</v>
      </c>
      <c r="G29" s="65"/>
      <c r="H29" s="65"/>
      <c r="I29" s="65"/>
      <c r="Q29" s="50"/>
      <c r="AG29" s="46" t="s">
        <v>63</v>
      </c>
    </row>
    <row r="30" spans="1:35">
      <c r="A30" s="50" t="s">
        <v>66</v>
      </c>
      <c r="B30" s="53" t="s">
        <v>67</v>
      </c>
      <c r="C30" s="57"/>
      <c r="D30" s="57"/>
      <c r="E30" s="57"/>
      <c r="F30" s="57"/>
      <c r="G30" s="65"/>
      <c r="H30" s="65"/>
      <c r="I30" s="65"/>
      <c r="K30" s="65"/>
      <c r="Q30" s="53" t="s">
        <v>67</v>
      </c>
      <c r="AG30" s="50" t="s">
        <v>68</v>
      </c>
      <c r="AH30" s="53" t="s">
        <v>67</v>
      </c>
    </row>
    <row r="31" spans="1:35">
      <c r="A31" s="60">
        <v>1</v>
      </c>
      <c r="B31" s="55" t="s">
        <v>69</v>
      </c>
      <c r="C31" s="61">
        <f>销量!C8</f>
        <v>1650</v>
      </c>
      <c r="D31" s="61">
        <f>销量!D8</f>
        <v>430</v>
      </c>
      <c r="E31" s="61">
        <f>销量!E8</f>
        <v>70</v>
      </c>
      <c r="F31" s="57"/>
      <c r="G31" s="65"/>
      <c r="H31" s="65"/>
      <c r="I31" s="65"/>
      <c r="K31" s="65"/>
      <c r="Q31" s="50" t="s">
        <v>69</v>
      </c>
      <c r="AG31" s="50" t="s">
        <v>21</v>
      </c>
      <c r="AH31" s="50" t="s">
        <v>69</v>
      </c>
    </row>
    <row r="32" spans="1:35">
      <c r="A32" s="60">
        <v>2</v>
      </c>
      <c r="B32" s="50" t="s">
        <v>151</v>
      </c>
      <c r="C32" s="52">
        <f>C31*1</f>
        <v>1650</v>
      </c>
      <c r="D32" s="52">
        <f t="shared" ref="D32:E32" si="20">D31*1</f>
        <v>430</v>
      </c>
      <c r="E32" s="52">
        <f t="shared" si="20"/>
        <v>70</v>
      </c>
      <c r="F32" s="57"/>
      <c r="G32" s="65"/>
      <c r="H32" s="65"/>
      <c r="I32" s="65"/>
      <c r="J32" s="65"/>
      <c r="K32" s="65"/>
      <c r="L32" s="65"/>
      <c r="M32" s="65"/>
      <c r="AG32" s="50"/>
      <c r="AH32" s="50"/>
    </row>
    <row r="33" spans="1:34">
      <c r="A33" s="60">
        <v>3</v>
      </c>
      <c r="B33" s="55" t="s">
        <v>70</v>
      </c>
      <c r="C33" s="52">
        <f>材料成本!E20</f>
        <v>1155.5698087056649</v>
      </c>
      <c r="D33" s="52">
        <f>材料成本!E21</f>
        <v>392.54256123893811</v>
      </c>
      <c r="E33" s="52">
        <f>材料成本!E22</f>
        <v>80.673340195300582</v>
      </c>
      <c r="F33" s="57"/>
      <c r="H33" s="65"/>
      <c r="I33" s="65"/>
      <c r="J33" s="65"/>
      <c r="K33" s="65"/>
      <c r="L33" s="65"/>
      <c r="M33" s="65"/>
      <c r="Q33" s="50" t="s">
        <v>70</v>
      </c>
      <c r="AG33" s="50" t="s">
        <v>23</v>
      </c>
      <c r="AH33" s="50" t="s">
        <v>70</v>
      </c>
    </row>
    <row r="34" spans="1:34" ht="17.25" customHeight="1">
      <c r="A34" s="60">
        <v>4</v>
      </c>
      <c r="B34" s="50" t="s">
        <v>72</v>
      </c>
      <c r="C34" s="62">
        <f>C32-C33</f>
        <v>494.43019129433515</v>
      </c>
      <c r="D34" s="62">
        <f t="shared" ref="D34:E34" si="21">D32-D33</f>
        <v>37.457438761061894</v>
      </c>
      <c r="E34" s="62">
        <f t="shared" si="21"/>
        <v>-10.673340195300582</v>
      </c>
      <c r="F34" s="57"/>
      <c r="H34" s="65"/>
      <c r="I34" s="65"/>
      <c r="J34" s="65"/>
      <c r="K34" s="65"/>
      <c r="L34" s="65"/>
      <c r="M34" s="65"/>
      <c r="Q34" s="50" t="s">
        <v>72</v>
      </c>
      <c r="AG34" s="50" t="s">
        <v>71</v>
      </c>
      <c r="AH34" s="50" t="s">
        <v>72</v>
      </c>
    </row>
    <row r="35" spans="1:34">
      <c r="A35" s="50" t="s">
        <v>68</v>
      </c>
      <c r="B35" s="53" t="s">
        <v>8</v>
      </c>
      <c r="C35" s="57"/>
      <c r="D35" s="57"/>
      <c r="E35" s="57"/>
      <c r="F35" s="57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53" t="s">
        <v>8</v>
      </c>
      <c r="AG35" s="50" t="s">
        <v>74</v>
      </c>
      <c r="AH35" s="53" t="s">
        <v>8</v>
      </c>
    </row>
    <row r="36" spans="1:34">
      <c r="A36" s="60">
        <v>1</v>
      </c>
      <c r="B36" s="50" t="s">
        <v>75</v>
      </c>
      <c r="C36" s="56">
        <f>标准成本!E4</f>
        <v>92.762977514551324</v>
      </c>
      <c r="D36" s="56">
        <f>标准成本!E18</f>
        <v>24.174594140155801</v>
      </c>
      <c r="E36" s="56">
        <f>标准成本!E32</f>
        <v>3.9353990460718746</v>
      </c>
      <c r="F36" s="61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0" t="s">
        <v>75</v>
      </c>
      <c r="AG36" s="50" t="s">
        <v>71</v>
      </c>
      <c r="AH36" s="50" t="s">
        <v>75</v>
      </c>
    </row>
    <row r="37" spans="1:34">
      <c r="A37" s="60">
        <v>2</v>
      </c>
      <c r="B37" s="50" t="s">
        <v>76</v>
      </c>
      <c r="C37" s="56">
        <f>标准成本!E6</f>
        <v>24.8753828417764</v>
      </c>
      <c r="D37" s="56">
        <f>标准成本!E20</f>
        <v>6.4826755284629405</v>
      </c>
      <c r="E37" s="56">
        <f>标准成本!E34</f>
        <v>1.0553192720753624</v>
      </c>
      <c r="F37" s="61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0" t="s">
        <v>76</v>
      </c>
      <c r="AG37" s="50" t="s">
        <v>26</v>
      </c>
      <c r="AH37" s="50" t="s">
        <v>76</v>
      </c>
    </row>
    <row r="38" spans="1:34">
      <c r="A38" s="60">
        <v>3</v>
      </c>
      <c r="B38" s="50" t="s">
        <v>77</v>
      </c>
      <c r="C38" s="56">
        <f>标准成本!E10</f>
        <v>65.999999999999986</v>
      </c>
      <c r="D38" s="56">
        <f>标准成本!E24</f>
        <v>17.199999999999996</v>
      </c>
      <c r="E38" s="56">
        <f>标准成本!E38</f>
        <v>2.7999999999999994</v>
      </c>
      <c r="F38" s="61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50" t="s">
        <v>77</v>
      </c>
      <c r="AG38" s="50" t="s">
        <v>32</v>
      </c>
      <c r="AH38" s="50" t="s">
        <v>77</v>
      </c>
    </row>
    <row r="39" spans="1:34">
      <c r="A39" s="50" t="s">
        <v>74</v>
      </c>
      <c r="B39" s="53" t="s">
        <v>79</v>
      </c>
      <c r="C39" s="57"/>
      <c r="D39" s="57"/>
      <c r="E39" s="57"/>
      <c r="F39" s="57"/>
      <c r="Q39" s="53" t="s">
        <v>79</v>
      </c>
      <c r="AG39" s="50" t="s">
        <v>78</v>
      </c>
      <c r="AH39" s="53" t="s">
        <v>79</v>
      </c>
    </row>
    <row r="40" spans="1:34">
      <c r="A40" s="60">
        <v>1</v>
      </c>
      <c r="B40" s="50" t="s">
        <v>81</v>
      </c>
      <c r="C40" s="57">
        <f>C34-C36-C37-C38</f>
        <v>310.79183093800742</v>
      </c>
      <c r="D40" s="57">
        <f t="shared" ref="D40:E40" si="22">D34-D36-D37-D38</f>
        <v>-10.399830907556844</v>
      </c>
      <c r="E40" s="57">
        <f t="shared" si="22"/>
        <v>-18.464058513447821</v>
      </c>
      <c r="F40" s="57"/>
      <c r="Q40" s="50" t="s">
        <v>81</v>
      </c>
      <c r="AG40" s="50" t="s">
        <v>21</v>
      </c>
      <c r="AH40" s="50" t="s">
        <v>81</v>
      </c>
    </row>
    <row r="41" spans="1:34">
      <c r="A41" s="60">
        <v>2</v>
      </c>
      <c r="B41" s="50" t="s">
        <v>82</v>
      </c>
      <c r="C41" s="57"/>
      <c r="D41" s="57"/>
      <c r="E41" s="57"/>
      <c r="F41" s="57"/>
      <c r="Q41" s="50" t="s">
        <v>82</v>
      </c>
      <c r="AG41" s="50" t="s">
        <v>23</v>
      </c>
      <c r="AH41" s="50" t="s">
        <v>82</v>
      </c>
    </row>
    <row r="42" spans="1:34">
      <c r="A42" s="50" t="s">
        <v>78</v>
      </c>
      <c r="B42" s="53" t="s">
        <v>84</v>
      </c>
      <c r="C42" s="57"/>
      <c r="D42" s="57"/>
      <c r="E42" s="57"/>
      <c r="F42" s="57"/>
      <c r="Q42" s="53" t="s">
        <v>84</v>
      </c>
      <c r="AG42" s="50" t="s">
        <v>83</v>
      </c>
      <c r="AH42" s="53" t="s">
        <v>84</v>
      </c>
    </row>
    <row r="43" spans="1:34">
      <c r="A43" s="60">
        <v>1</v>
      </c>
      <c r="B43" s="58" t="s">
        <v>85</v>
      </c>
      <c r="C43" s="56">
        <f>标准成本!E5</f>
        <v>74.25</v>
      </c>
      <c r="D43" s="56">
        <f>标准成本!E19</f>
        <v>19.349999999999998</v>
      </c>
      <c r="E43" s="56">
        <f>标准成本!E33</f>
        <v>3.15</v>
      </c>
      <c r="F43" s="57"/>
      <c r="Q43" s="50" t="s">
        <v>85</v>
      </c>
      <c r="AG43" s="50" t="s">
        <v>21</v>
      </c>
      <c r="AH43" s="50" t="s">
        <v>85</v>
      </c>
    </row>
    <row r="44" spans="1:34">
      <c r="A44" s="60">
        <v>2</v>
      </c>
      <c r="B44" s="58" t="s">
        <v>86</v>
      </c>
      <c r="C44" s="56">
        <f>标准成本!E9</f>
        <v>11.55</v>
      </c>
      <c r="D44" s="56">
        <f>标准成本!E23</f>
        <v>3.0100000000000002</v>
      </c>
      <c r="E44" s="56">
        <f>标准成本!E37</f>
        <v>0.49</v>
      </c>
      <c r="F44" s="57"/>
      <c r="Q44" s="50" t="s">
        <v>86</v>
      </c>
      <c r="AG44" s="50" t="s">
        <v>23</v>
      </c>
      <c r="AH44" s="50" t="s">
        <v>86</v>
      </c>
    </row>
    <row r="45" spans="1:34">
      <c r="A45" s="60">
        <v>3</v>
      </c>
      <c r="B45" s="58" t="s">
        <v>87</v>
      </c>
      <c r="C45" s="63">
        <f>标准成本!E8</f>
        <v>49.5</v>
      </c>
      <c r="D45" s="63">
        <f>标准成本!E22</f>
        <v>12.9</v>
      </c>
      <c r="E45" s="63">
        <f>标准成本!E36</f>
        <v>2.1</v>
      </c>
      <c r="F45" s="57"/>
      <c r="Q45" s="50" t="s">
        <v>87</v>
      </c>
      <c r="AG45" s="50" t="s">
        <v>71</v>
      </c>
      <c r="AH45" s="50" t="s">
        <v>87</v>
      </c>
    </row>
    <row r="46" spans="1:34" s="45" customFormat="1">
      <c r="A46" s="60">
        <v>4</v>
      </c>
      <c r="B46" s="58" t="s">
        <v>88</v>
      </c>
      <c r="C46" s="63">
        <f>C21/C6</f>
        <v>9.7305555555555543</v>
      </c>
      <c r="D46" s="63">
        <f t="shared" ref="D46:E46" si="23">D21/D6</f>
        <v>9.7305555555555543</v>
      </c>
      <c r="E46" s="63">
        <f t="shared" si="23"/>
        <v>9.7305555555555543</v>
      </c>
      <c r="F46" s="63"/>
      <c r="Q46" s="58" t="s">
        <v>90</v>
      </c>
      <c r="AG46" s="58" t="s">
        <v>29</v>
      </c>
      <c r="AH46" s="58" t="s">
        <v>90</v>
      </c>
    </row>
    <row r="47" spans="1:34" s="45" customFormat="1">
      <c r="A47" s="60">
        <v>5</v>
      </c>
      <c r="B47" s="58" t="s">
        <v>90</v>
      </c>
      <c r="C47" s="63">
        <f>标准成本!E11</f>
        <v>35.144999999999996</v>
      </c>
      <c r="D47" s="63">
        <f>标准成本!E25</f>
        <v>9.1589999999999989</v>
      </c>
      <c r="E47" s="63">
        <f>标准成本!E39</f>
        <v>1.4909999999999999</v>
      </c>
      <c r="F47" s="63"/>
      <c r="Q47" s="58" t="s">
        <v>90</v>
      </c>
      <c r="AG47" s="58" t="s">
        <v>29</v>
      </c>
      <c r="AH47" s="58" t="s">
        <v>90</v>
      </c>
    </row>
    <row r="48" spans="1:34">
      <c r="A48" s="50" t="s">
        <v>83</v>
      </c>
      <c r="B48" s="53" t="s">
        <v>101</v>
      </c>
      <c r="C48" s="57">
        <f>C40-C43-C44-C45-C47-C46</f>
        <v>130.61627538245187</v>
      </c>
      <c r="D48" s="57">
        <f t="shared" ref="D48:E48" si="24">D40-D43-D44-D45-D47-D46</f>
        <v>-64.549386463112398</v>
      </c>
      <c r="E48" s="57">
        <f t="shared" si="24"/>
        <v>-35.425614069003373</v>
      </c>
      <c r="F48" s="57"/>
      <c r="Q48" s="53" t="s">
        <v>101</v>
      </c>
      <c r="AG48" s="50" t="s">
        <v>100</v>
      </c>
      <c r="AH48" s="53" t="s">
        <v>101</v>
      </c>
    </row>
    <row r="51" spans="2:11">
      <c r="C51" s="64"/>
      <c r="D51" s="64"/>
      <c r="E51" s="64"/>
    </row>
    <row r="54" spans="2:11">
      <c r="B54" s="65"/>
      <c r="C54" s="66"/>
      <c r="D54" s="66"/>
      <c r="E54" s="66"/>
      <c r="F54" s="66"/>
      <c r="G54" s="65"/>
      <c r="H54" s="65"/>
      <c r="I54" s="65"/>
      <c r="J54" s="65"/>
      <c r="K54" s="65"/>
    </row>
    <row r="55" spans="2:11">
      <c r="B55" s="65"/>
      <c r="C55" s="66"/>
      <c r="D55" s="66"/>
      <c r="E55" s="66"/>
      <c r="F55" s="66"/>
      <c r="G55" s="65"/>
      <c r="H55" s="65"/>
      <c r="I55" s="65"/>
      <c r="J55" s="65"/>
      <c r="K55" s="65"/>
    </row>
    <row r="56" spans="2:11">
      <c r="B56" s="65"/>
      <c r="C56" s="66"/>
      <c r="D56" s="66"/>
      <c r="E56" s="66"/>
      <c r="F56" s="66"/>
      <c r="G56" s="65"/>
      <c r="H56" s="65"/>
      <c r="I56" s="65"/>
      <c r="J56" s="65"/>
      <c r="K56" s="65"/>
    </row>
    <row r="57" spans="2:11">
      <c r="B57" s="65"/>
      <c r="C57" s="66"/>
      <c r="D57" s="66"/>
      <c r="E57" s="66"/>
      <c r="F57" s="66"/>
      <c r="G57" s="65"/>
      <c r="H57" s="65"/>
      <c r="I57" s="65"/>
      <c r="J57" s="65"/>
      <c r="K57" s="65"/>
    </row>
    <row r="58" spans="2:11">
      <c r="B58" s="65"/>
      <c r="C58" s="66"/>
      <c r="D58" s="66"/>
      <c r="E58" s="66"/>
      <c r="F58" s="66"/>
      <c r="G58" s="65"/>
      <c r="H58" s="65"/>
      <c r="I58" s="65"/>
      <c r="J58" s="65"/>
      <c r="K58" s="65"/>
    </row>
    <row r="59" spans="2:11">
      <c r="B59" s="65"/>
      <c r="C59" s="66"/>
      <c r="D59" s="66"/>
      <c r="E59" s="66"/>
      <c r="F59" s="66"/>
      <c r="G59" s="65"/>
      <c r="H59" s="65"/>
      <c r="I59" s="65"/>
      <c r="J59" s="65"/>
      <c r="K59" s="65"/>
    </row>
    <row r="60" spans="2:11">
      <c r="B60" s="65"/>
      <c r="C60" s="66"/>
      <c r="D60" s="66"/>
      <c r="E60" s="66"/>
      <c r="F60" s="66"/>
      <c r="G60" s="65"/>
      <c r="H60" s="65"/>
      <c r="I60" s="65"/>
      <c r="J60" s="65"/>
      <c r="K60" s="65"/>
    </row>
    <row r="61" spans="2:11">
      <c r="B61" s="65"/>
      <c r="C61" s="66"/>
      <c r="D61" s="66"/>
      <c r="E61" s="66"/>
      <c r="F61" s="66"/>
      <c r="G61" s="65"/>
      <c r="H61" s="65"/>
      <c r="I61" s="65"/>
      <c r="J61" s="65"/>
      <c r="K61" s="65"/>
    </row>
    <row r="62" spans="2:11">
      <c r="B62" s="65"/>
      <c r="C62" s="66"/>
      <c r="D62" s="66"/>
      <c r="E62" s="66"/>
      <c r="F62" s="66"/>
      <c r="G62" s="65"/>
      <c r="H62" s="65"/>
      <c r="I62" s="65"/>
      <c r="J62" s="65"/>
      <c r="K62" s="65"/>
    </row>
    <row r="63" spans="2:11">
      <c r="B63" s="65"/>
      <c r="C63" s="66"/>
      <c r="D63" s="66"/>
      <c r="E63" s="66"/>
      <c r="F63" s="66"/>
      <c r="G63" s="65"/>
      <c r="H63" s="65"/>
      <c r="I63" s="65"/>
      <c r="J63" s="65"/>
      <c r="K63" s="65"/>
    </row>
    <row r="64" spans="2:11">
      <c r="B64" s="65"/>
      <c r="C64" s="66"/>
      <c r="D64" s="66"/>
      <c r="E64" s="66"/>
      <c r="F64" s="66"/>
      <c r="G64" s="65"/>
      <c r="H64" s="65"/>
      <c r="I64" s="65"/>
      <c r="J64" s="65"/>
      <c r="K64" s="65"/>
    </row>
    <row r="65" spans="2:11">
      <c r="B65" s="65"/>
      <c r="C65" s="66"/>
      <c r="D65" s="66"/>
      <c r="E65" s="66"/>
      <c r="F65" s="66"/>
      <c r="G65" s="65"/>
      <c r="H65" s="65"/>
      <c r="I65" s="65"/>
      <c r="J65" s="65"/>
      <c r="K65" s="65"/>
    </row>
    <row r="66" spans="2:11">
      <c r="B66" s="65"/>
      <c r="C66" s="66"/>
      <c r="D66" s="66"/>
      <c r="E66" s="66"/>
      <c r="F66" s="66"/>
      <c r="G66" s="65"/>
      <c r="H66" s="65"/>
      <c r="I66" s="65"/>
      <c r="J66" s="65"/>
      <c r="K66" s="65"/>
    </row>
    <row r="67" spans="2:11">
      <c r="B67" s="65"/>
      <c r="C67" s="66"/>
      <c r="D67" s="66"/>
      <c r="E67" s="66"/>
      <c r="F67" s="66"/>
      <c r="G67" s="65"/>
    </row>
    <row r="68" spans="2:11">
      <c r="B68" s="65"/>
      <c r="C68" s="66"/>
      <c r="D68" s="66"/>
      <c r="E68" s="66"/>
      <c r="F68" s="66"/>
      <c r="G68" s="65"/>
    </row>
    <row r="69" spans="2:11">
      <c r="B69" s="65"/>
      <c r="C69" s="66"/>
      <c r="D69" s="66"/>
      <c r="E69" s="66"/>
      <c r="F69" s="66"/>
      <c r="G69" s="65"/>
    </row>
    <row r="70" spans="2:11">
      <c r="B70" s="65"/>
      <c r="C70" s="66"/>
      <c r="D70" s="66"/>
      <c r="E70" s="66"/>
      <c r="F70" s="66"/>
      <c r="G70" s="65"/>
    </row>
    <row r="71" spans="2:11">
      <c r="B71" s="65"/>
      <c r="C71" s="66"/>
      <c r="D71" s="66"/>
      <c r="E71" s="66"/>
      <c r="F71" s="66"/>
      <c r="G71" s="65"/>
    </row>
    <row r="72" spans="2:11">
      <c r="B72" s="65"/>
      <c r="C72" s="66"/>
      <c r="D72" s="66"/>
      <c r="E72" s="66"/>
      <c r="F72" s="66"/>
      <c r="G72" s="65"/>
    </row>
    <row r="73" spans="2:11">
      <c r="B73" s="65"/>
      <c r="C73" s="66"/>
      <c r="D73" s="66"/>
      <c r="E73" s="66"/>
      <c r="F73" s="66"/>
      <c r="G73" s="65"/>
    </row>
    <row r="74" spans="2:11">
      <c r="B74" s="65"/>
      <c r="C74" s="66"/>
      <c r="D74" s="66"/>
      <c r="E74" s="66"/>
      <c r="F74" s="66"/>
      <c r="G74" s="65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4" activePane="bottomRight" state="frozen"/>
      <selection pane="topRight"/>
      <selection pane="bottomLeft"/>
      <selection pane="bottomRight" activeCell="E10" sqref="E10"/>
    </sheetView>
  </sheetViews>
  <sheetFormatPr defaultColWidth="9" defaultRowHeight="14.5"/>
  <cols>
    <col min="1" max="1" width="5.08984375" style="46" customWidth="1"/>
    <col min="2" max="2" width="17.453125" style="46" customWidth="1"/>
    <col min="3" max="5" width="16.08984375" style="47" bestFit="1" customWidth="1"/>
    <col min="6" max="6" width="18.7265625" style="47" customWidth="1"/>
    <col min="7" max="7" width="12.36328125" style="46" customWidth="1"/>
    <col min="8" max="8" width="10.08984375" style="46" customWidth="1"/>
    <col min="9" max="15" width="9" style="46" customWidth="1"/>
    <col min="16" max="32" width="9" style="46"/>
    <col min="33" max="33" width="4.36328125" style="46" customWidth="1"/>
    <col min="34" max="34" width="13.90625" style="46" customWidth="1"/>
    <col min="35" max="16384" width="9" style="46"/>
  </cols>
  <sheetData>
    <row r="1" spans="1:35">
      <c r="A1" s="221" t="s">
        <v>141</v>
      </c>
      <c r="B1" s="221"/>
      <c r="C1" s="225" t="s">
        <v>243</v>
      </c>
      <c r="D1" s="226"/>
      <c r="E1" s="226"/>
      <c r="F1" s="227"/>
    </row>
    <row r="2" spans="1:35">
      <c r="A2" s="221" t="s">
        <v>142</v>
      </c>
      <c r="B2" s="221"/>
      <c r="C2" s="228" t="str">
        <f>'2023年'!C2:F2</f>
        <v>陕重汽</v>
      </c>
      <c r="D2" s="228"/>
      <c r="E2" s="228"/>
      <c r="F2" s="228"/>
    </row>
    <row r="3" spans="1:35" ht="66">
      <c r="A3" s="221" t="s">
        <v>143</v>
      </c>
      <c r="B3" s="221"/>
      <c r="C3" s="182" t="s">
        <v>254</v>
      </c>
      <c r="D3" s="182" t="s">
        <v>255</v>
      </c>
      <c r="E3" s="182" t="s">
        <v>256</v>
      </c>
      <c r="F3" s="222" t="s">
        <v>17</v>
      </c>
    </row>
    <row r="4" spans="1:35" ht="16.5">
      <c r="A4" s="221" t="s">
        <v>144</v>
      </c>
      <c r="B4" s="221"/>
      <c r="C4" s="183" t="s">
        <v>257</v>
      </c>
      <c r="D4" s="183" t="s">
        <v>258</v>
      </c>
      <c r="E4" s="183" t="s">
        <v>259</v>
      </c>
      <c r="F4" s="223"/>
    </row>
    <row r="5" spans="1:35">
      <c r="A5" s="221" t="s">
        <v>145</v>
      </c>
      <c r="B5" s="221"/>
      <c r="C5" s="49"/>
      <c r="D5" s="49"/>
      <c r="E5" s="49"/>
      <c r="F5" s="224"/>
      <c r="AI5" s="46" t="s">
        <v>18</v>
      </c>
    </row>
    <row r="6" spans="1:35" ht="16.5">
      <c r="A6" s="50" t="s">
        <v>15</v>
      </c>
      <c r="B6" s="51" t="s">
        <v>146</v>
      </c>
      <c r="C6" s="21">
        <f>销量!C10</f>
        <v>3000</v>
      </c>
      <c r="D6" s="21">
        <f>销量!D10</f>
        <v>3000</v>
      </c>
      <c r="E6" s="21">
        <f>销量!E10</f>
        <v>3000</v>
      </c>
      <c r="F6" s="52">
        <f t="shared" ref="F6:F15" si="0">SUM(C6:E6)</f>
        <v>9000</v>
      </c>
      <c r="Q6" s="51" t="s">
        <v>3</v>
      </c>
      <c r="AG6" s="50" t="s">
        <v>15</v>
      </c>
      <c r="AH6" s="51" t="s">
        <v>3</v>
      </c>
      <c r="AI6" s="46" t="s">
        <v>19</v>
      </c>
    </row>
    <row r="7" spans="1:35">
      <c r="A7" s="158">
        <v>1</v>
      </c>
      <c r="B7" s="51" t="s">
        <v>20</v>
      </c>
      <c r="C7" s="52">
        <f>C6*销量!C8</f>
        <v>4950000</v>
      </c>
      <c r="D7" s="52">
        <f>D6*销量!D8</f>
        <v>1290000</v>
      </c>
      <c r="E7" s="52">
        <f>E6*销量!E8</f>
        <v>210000</v>
      </c>
      <c r="F7" s="52">
        <f t="shared" si="0"/>
        <v>6450000</v>
      </c>
      <c r="G7" s="47"/>
      <c r="Q7" s="51" t="s">
        <v>20</v>
      </c>
      <c r="AG7" s="50" t="s">
        <v>21</v>
      </c>
      <c r="AH7" s="51" t="s">
        <v>20</v>
      </c>
      <c r="AI7" s="46" t="s">
        <v>19</v>
      </c>
    </row>
    <row r="8" spans="1:35">
      <c r="A8" s="158">
        <v>2</v>
      </c>
      <c r="B8" s="158" t="s">
        <v>22</v>
      </c>
      <c r="C8" s="52">
        <f>C7*(1-销量!$L$7)</f>
        <v>99000.000000000087</v>
      </c>
      <c r="D8" s="52">
        <f>D7*(1-销量!$L$7)</f>
        <v>25800.000000000022</v>
      </c>
      <c r="E8" s="52">
        <f>E7*(1-销量!$L$7)</f>
        <v>4200.0000000000036</v>
      </c>
      <c r="F8" s="52">
        <f t="shared" si="0"/>
        <v>129000.00000000012</v>
      </c>
      <c r="G8" s="67"/>
      <c r="Q8" s="158" t="s">
        <v>24</v>
      </c>
      <c r="AG8" s="50" t="s">
        <v>23</v>
      </c>
      <c r="AH8" s="158" t="s">
        <v>24</v>
      </c>
      <c r="AI8" s="46" t="s">
        <v>19</v>
      </c>
    </row>
    <row r="9" spans="1:35">
      <c r="A9" s="158">
        <v>3</v>
      </c>
      <c r="B9" s="51" t="s">
        <v>25</v>
      </c>
      <c r="C9" s="52">
        <f>+C7-C8</f>
        <v>4851000</v>
      </c>
      <c r="D9" s="52">
        <f t="shared" ref="D9:E9" si="1">+D7-D8</f>
        <v>1264200</v>
      </c>
      <c r="E9" s="52">
        <f t="shared" si="1"/>
        <v>205800</v>
      </c>
      <c r="F9" s="52">
        <f t="shared" si="0"/>
        <v>6321000</v>
      </c>
      <c r="Q9" s="51" t="s">
        <v>25</v>
      </c>
      <c r="AG9" s="50" t="s">
        <v>26</v>
      </c>
      <c r="AH9" s="51" t="s">
        <v>25</v>
      </c>
      <c r="AI9" s="46" t="s">
        <v>27</v>
      </c>
    </row>
    <row r="10" spans="1:35">
      <c r="A10" s="158">
        <v>4</v>
      </c>
      <c r="B10" s="50" t="s">
        <v>28</v>
      </c>
      <c r="C10" s="52">
        <f>C6*材料成本!F20</f>
        <v>3397375.2375946548</v>
      </c>
      <c r="D10" s="52">
        <f>D6*材料成本!F21</f>
        <v>1154075.130042478</v>
      </c>
      <c r="E10" s="52">
        <f>E6*材料成本!F22</f>
        <v>237179.62017418371</v>
      </c>
      <c r="F10" s="52">
        <f t="shared" si="0"/>
        <v>4788629.9878113167</v>
      </c>
      <c r="Q10" s="50" t="s">
        <v>28</v>
      </c>
      <c r="AG10" s="50" t="s">
        <v>29</v>
      </c>
      <c r="AH10" s="50" t="s">
        <v>28</v>
      </c>
      <c r="AI10" s="46" t="s">
        <v>30</v>
      </c>
    </row>
    <row r="11" spans="1:35">
      <c r="A11" s="158">
        <v>5</v>
      </c>
      <c r="B11" s="50" t="s">
        <v>31</v>
      </c>
      <c r="C11" s="52">
        <f>+C6*C36</f>
        <v>278288.93254365399</v>
      </c>
      <c r="D11" s="52">
        <f>+D6*D36</f>
        <v>72523.782420467396</v>
      </c>
      <c r="E11" s="52">
        <f t="shared" ref="E11" si="2">+E6*E36</f>
        <v>11806.197138215624</v>
      </c>
      <c r="F11" s="52">
        <f t="shared" si="0"/>
        <v>362618.91210233705</v>
      </c>
      <c r="Q11" s="50" t="s">
        <v>31</v>
      </c>
      <c r="AG11" s="50" t="s">
        <v>32</v>
      </c>
      <c r="AH11" s="50" t="s">
        <v>31</v>
      </c>
    </row>
    <row r="12" spans="1:35">
      <c r="A12" s="158">
        <v>6</v>
      </c>
      <c r="B12" s="50" t="s">
        <v>33</v>
      </c>
      <c r="C12" s="52">
        <f>+C6*C37</f>
        <v>74626.148525329205</v>
      </c>
      <c r="D12" s="52">
        <f t="shared" ref="D12:E12" si="3">+D6*D37</f>
        <v>19448.026585388823</v>
      </c>
      <c r="E12" s="52">
        <f t="shared" si="3"/>
        <v>3165.9578162260873</v>
      </c>
      <c r="F12" s="52">
        <f t="shared" si="0"/>
        <v>97240.132926944119</v>
      </c>
      <c r="Q12" s="50" t="s">
        <v>33</v>
      </c>
      <c r="AG12" s="50" t="s">
        <v>34</v>
      </c>
      <c r="AH12" s="50" t="s">
        <v>33</v>
      </c>
    </row>
    <row r="13" spans="1:35">
      <c r="A13" s="158">
        <v>7</v>
      </c>
      <c r="B13" s="50" t="s">
        <v>35</v>
      </c>
      <c r="C13" s="52">
        <f>+C6*C38</f>
        <v>197999.99999999997</v>
      </c>
      <c r="D13" s="52">
        <f t="shared" ref="D13:E13" si="4">+D6*D38</f>
        <v>51599.999999999985</v>
      </c>
      <c r="E13" s="52">
        <f t="shared" si="4"/>
        <v>8399.9999999999982</v>
      </c>
      <c r="F13" s="52">
        <f t="shared" si="0"/>
        <v>257999.99999999994</v>
      </c>
      <c r="Q13" s="50" t="s">
        <v>35</v>
      </c>
      <c r="AG13" s="50" t="s">
        <v>36</v>
      </c>
      <c r="AH13" s="50" t="s">
        <v>35</v>
      </c>
      <c r="AI13" s="46" t="s">
        <v>19</v>
      </c>
    </row>
    <row r="14" spans="1:35">
      <c r="A14" s="158">
        <v>8</v>
      </c>
      <c r="B14" s="53" t="s">
        <v>37</v>
      </c>
      <c r="C14" s="52">
        <f>SUM(C11:C13)</f>
        <v>550915.08106898319</v>
      </c>
      <c r="D14" s="52">
        <f t="shared" ref="D14:E14" si="5">SUM(D11:D13)</f>
        <v>143571.80900585622</v>
      </c>
      <c r="E14" s="52">
        <f t="shared" si="5"/>
        <v>23372.15495444171</v>
      </c>
      <c r="F14" s="52">
        <f t="shared" si="0"/>
        <v>717859.04502928106</v>
      </c>
      <c r="Q14" s="53" t="s">
        <v>37</v>
      </c>
      <c r="AG14" s="50" t="s">
        <v>38</v>
      </c>
      <c r="AH14" s="53" t="s">
        <v>37</v>
      </c>
    </row>
    <row r="15" spans="1:35">
      <c r="A15" s="158">
        <v>9</v>
      </c>
      <c r="B15" s="53" t="s">
        <v>39</v>
      </c>
      <c r="C15" s="52">
        <f>+C9-C10-C14</f>
        <v>902709.68133636203</v>
      </c>
      <c r="D15" s="52">
        <f t="shared" ref="D15:E15" si="6">+D9-D10-D14</f>
        <v>-33446.939048334199</v>
      </c>
      <c r="E15" s="52">
        <f t="shared" si="6"/>
        <v>-54751.775128625421</v>
      </c>
      <c r="F15" s="52">
        <f t="shared" si="0"/>
        <v>814510.96715940244</v>
      </c>
      <c r="Q15" s="53" t="s">
        <v>39</v>
      </c>
      <c r="AG15" s="50" t="s">
        <v>40</v>
      </c>
      <c r="AH15" s="53" t="s">
        <v>39</v>
      </c>
    </row>
    <row r="16" spans="1:35">
      <c r="A16" s="158">
        <v>10</v>
      </c>
      <c r="B16" s="50" t="s">
        <v>41</v>
      </c>
      <c r="C16" s="54">
        <f>+C15/C9</f>
        <v>0.18608733896853474</v>
      </c>
      <c r="D16" s="54">
        <f t="shared" ref="D16:E16" si="7">+D15/D9</f>
        <v>-2.6456999721827402E-2</v>
      </c>
      <c r="E16" s="54">
        <f t="shared" si="7"/>
        <v>-0.26604361092626538</v>
      </c>
      <c r="F16" s="54">
        <f t="shared" ref="F16" si="8">+F15/F9</f>
        <v>0.12885792867574788</v>
      </c>
      <c r="Q16" s="50" t="s">
        <v>41</v>
      </c>
      <c r="AG16" s="50" t="s">
        <v>42</v>
      </c>
      <c r="AH16" s="50" t="s">
        <v>41</v>
      </c>
    </row>
    <row r="17" spans="1:35">
      <c r="A17" s="158">
        <v>11</v>
      </c>
      <c r="B17" s="50" t="s">
        <v>43</v>
      </c>
      <c r="C17" s="52">
        <f>C6*C43+C18</f>
        <v>222750</v>
      </c>
      <c r="D17" s="52">
        <f t="shared" ref="D17:E17" si="9">D6*D43+D18</f>
        <v>58049.999999999993</v>
      </c>
      <c r="E17" s="52">
        <f t="shared" si="9"/>
        <v>9450</v>
      </c>
      <c r="F17" s="52">
        <f>SUM(C17:E17)</f>
        <v>290250</v>
      </c>
      <c r="G17" s="67"/>
      <c r="Q17" s="50" t="s">
        <v>43</v>
      </c>
      <c r="AG17" s="50" t="s">
        <v>44</v>
      </c>
      <c r="AH17" s="50" t="s">
        <v>43</v>
      </c>
    </row>
    <row r="18" spans="1:35" s="44" customFormat="1">
      <c r="A18" s="158">
        <v>12</v>
      </c>
      <c r="B18" s="55" t="s">
        <v>147</v>
      </c>
      <c r="C18" s="56">
        <f>$F$18/$F$6*C6</f>
        <v>0</v>
      </c>
      <c r="D18" s="56">
        <f>$F$18/$F$6*D6</f>
        <v>0</v>
      </c>
      <c r="E18" s="56">
        <f>$F$18/$F$6*E6</f>
        <v>0</v>
      </c>
      <c r="F18" s="56">
        <f>项目投资!D26</f>
        <v>0</v>
      </c>
      <c r="G18" s="68" t="s">
        <v>148</v>
      </c>
      <c r="H18" s="68"/>
      <c r="I18" s="68"/>
    </row>
    <row r="19" spans="1:35">
      <c r="A19" s="158">
        <v>13</v>
      </c>
      <c r="B19" s="50" t="s">
        <v>45</v>
      </c>
      <c r="C19" s="52">
        <f>C6*C44</f>
        <v>34650</v>
      </c>
      <c r="D19" s="52">
        <f t="shared" ref="D19:E19" si="10">D6*D44</f>
        <v>9030</v>
      </c>
      <c r="E19" s="52">
        <f t="shared" si="10"/>
        <v>1470</v>
      </c>
      <c r="F19" s="52">
        <f>SUM(C19:E19)</f>
        <v>45150</v>
      </c>
      <c r="G19" s="44"/>
      <c r="Q19" s="50" t="s">
        <v>45</v>
      </c>
      <c r="AG19" s="50" t="s">
        <v>46</v>
      </c>
      <c r="AH19" s="50" t="s">
        <v>45</v>
      </c>
      <c r="AI19" s="46" t="s">
        <v>19</v>
      </c>
    </row>
    <row r="20" spans="1:35">
      <c r="A20" s="158">
        <v>14</v>
      </c>
      <c r="B20" s="50" t="s">
        <v>47</v>
      </c>
      <c r="C20" s="52">
        <f>C6*C45</f>
        <v>148500</v>
      </c>
      <c r="D20" s="52">
        <f t="shared" ref="D20:E20" si="11">D6*D45</f>
        <v>38700</v>
      </c>
      <c r="E20" s="52">
        <f t="shared" si="11"/>
        <v>6300</v>
      </c>
      <c r="F20" s="52">
        <f>SUM(C20:E20)</f>
        <v>193500</v>
      </c>
      <c r="Q20" s="50" t="s">
        <v>47</v>
      </c>
      <c r="AG20" s="50" t="s">
        <v>48</v>
      </c>
      <c r="AH20" s="50" t="s">
        <v>47</v>
      </c>
    </row>
    <row r="21" spans="1:35">
      <c r="A21" s="158">
        <v>15</v>
      </c>
      <c r="B21" s="50" t="s">
        <v>49</v>
      </c>
      <c r="C21" s="57">
        <f>$F$21/$F$6*C6</f>
        <v>27245.555555555555</v>
      </c>
      <c r="D21" s="57">
        <f>$F$21/$F$6*D6</f>
        <v>27245.555555555555</v>
      </c>
      <c r="E21" s="57">
        <f>$F$21/$F$6*E6</f>
        <v>27245.555555555555</v>
      </c>
      <c r="F21" s="52">
        <f>项目投资!D27</f>
        <v>81736.666666666657</v>
      </c>
      <c r="Q21" s="50" t="s">
        <v>49</v>
      </c>
      <c r="AG21" s="50"/>
      <c r="AH21" s="50"/>
    </row>
    <row r="22" spans="1:35">
      <c r="A22" s="158">
        <v>16</v>
      </c>
      <c r="B22" s="50" t="s">
        <v>50</v>
      </c>
      <c r="C22" s="52">
        <f>C6*C47</f>
        <v>105434.99999999999</v>
      </c>
      <c r="D22" s="52">
        <f t="shared" ref="D22:E22" si="12">D6*D47</f>
        <v>27476.999999999996</v>
      </c>
      <c r="E22" s="52">
        <f t="shared" si="12"/>
        <v>4473</v>
      </c>
      <c r="F22" s="52">
        <f>SUM(C22:E22)</f>
        <v>137384.99999999997</v>
      </c>
      <c r="Q22" s="50" t="s">
        <v>50</v>
      </c>
      <c r="AG22" s="50" t="s">
        <v>51</v>
      </c>
      <c r="AH22" s="50" t="s">
        <v>50</v>
      </c>
    </row>
    <row r="23" spans="1:35">
      <c r="A23" s="158">
        <v>17</v>
      </c>
      <c r="B23" s="53" t="s">
        <v>52</v>
      </c>
      <c r="C23" s="57">
        <f>+C22+C21+C20+C19+C17</f>
        <v>538580.5555555555</v>
      </c>
      <c r="D23" s="57">
        <f t="shared" ref="D23:E23" si="13">+D22+D21+D20+D19+D17</f>
        <v>160502.55555555553</v>
      </c>
      <c r="E23" s="57">
        <f t="shared" si="13"/>
        <v>48938.555555555555</v>
      </c>
      <c r="F23" s="57">
        <f t="shared" ref="F23" si="14">+F22+F21+F20+F19+F17</f>
        <v>748021.66666666663</v>
      </c>
      <c r="Q23" s="53" t="s">
        <v>52</v>
      </c>
      <c r="AG23" s="50" t="s">
        <v>53</v>
      </c>
      <c r="AH23" s="53" t="s">
        <v>52</v>
      </c>
    </row>
    <row r="24" spans="1:35">
      <c r="A24" s="158">
        <v>18</v>
      </c>
      <c r="B24" s="58" t="s">
        <v>54</v>
      </c>
      <c r="C24" s="57">
        <f>+C15-C23</f>
        <v>364129.12578080653</v>
      </c>
      <c r="D24" s="57">
        <f t="shared" ref="D24:E24" si="15">+D15-D23</f>
        <v>-193949.49460388973</v>
      </c>
      <c r="E24" s="57">
        <f t="shared" si="15"/>
        <v>-103690.33068418098</v>
      </c>
      <c r="F24" s="57">
        <f t="shared" ref="F24" si="16">+F15-F23</f>
        <v>66489.300492735812</v>
      </c>
      <c r="H24" s="69"/>
      <c r="Q24" s="50" t="s">
        <v>54</v>
      </c>
      <c r="AG24" s="50" t="s">
        <v>55</v>
      </c>
      <c r="AH24" s="50" t="s">
        <v>54</v>
      </c>
    </row>
    <row r="25" spans="1:35">
      <c r="A25" s="158">
        <v>19</v>
      </c>
      <c r="B25" s="50" t="s">
        <v>149</v>
      </c>
      <c r="C25" s="57">
        <f>IF(C24&lt;0,0,C24*0.15)</f>
        <v>54619.368867120975</v>
      </c>
      <c r="D25" s="57">
        <f>IF(D24&lt;0,0,D24*0.15)</f>
        <v>0</v>
      </c>
      <c r="E25" s="57">
        <f>IF(E24&lt;0,0,E24*0.15)</f>
        <v>0</v>
      </c>
      <c r="F25" s="57">
        <f>IF(F24&lt;0,0,F24*0.15)</f>
        <v>9973.3950739103711</v>
      </c>
      <c r="G25" s="65"/>
      <c r="H25" s="65"/>
      <c r="I25" s="65"/>
      <c r="Q25" s="50" t="s">
        <v>56</v>
      </c>
      <c r="AG25" s="50" t="s">
        <v>57</v>
      </c>
      <c r="AH25" s="50" t="s">
        <v>56</v>
      </c>
    </row>
    <row r="26" spans="1:35">
      <c r="A26" s="158">
        <v>20</v>
      </c>
      <c r="B26" s="50" t="s">
        <v>58</v>
      </c>
      <c r="C26" s="57">
        <f t="shared" ref="C26:E26" si="17">C24-C25</f>
        <v>309509.75691368553</v>
      </c>
      <c r="D26" s="57">
        <f t="shared" si="17"/>
        <v>-193949.49460388973</v>
      </c>
      <c r="E26" s="57">
        <f t="shared" si="17"/>
        <v>-103690.33068418098</v>
      </c>
      <c r="F26" s="52">
        <f>SUM(C26:E26)</f>
        <v>11869.931625614816</v>
      </c>
      <c r="G26" s="65"/>
      <c r="H26" s="65"/>
      <c r="I26" s="65"/>
      <c r="Q26" s="50" t="s">
        <v>58</v>
      </c>
      <c r="AG26" s="50" t="s">
        <v>59</v>
      </c>
      <c r="AH26" s="50" t="s">
        <v>58</v>
      </c>
    </row>
    <row r="27" spans="1:35">
      <c r="A27" s="158">
        <v>21</v>
      </c>
      <c r="B27" s="50" t="s">
        <v>62</v>
      </c>
      <c r="C27" s="59">
        <f t="shared" ref="C27:F27" si="18">C26/C7</f>
        <v>6.2527223618926375E-2</v>
      </c>
      <c r="D27" s="59">
        <f t="shared" ref="D27:E27" si="19">D26/D7</f>
        <v>-0.1503484454293719</v>
      </c>
      <c r="E27" s="59">
        <f t="shared" si="19"/>
        <v>-0.49376347944848087</v>
      </c>
      <c r="F27" s="59">
        <f t="shared" si="18"/>
        <v>1.8402994768395063E-3</v>
      </c>
      <c r="G27" s="65"/>
      <c r="H27" s="65"/>
      <c r="I27" s="65"/>
      <c r="Q27" s="50" t="s">
        <v>62</v>
      </c>
      <c r="AG27" s="50" t="s">
        <v>61</v>
      </c>
      <c r="AH27" s="50" t="s">
        <v>62</v>
      </c>
    </row>
    <row r="28" spans="1:35">
      <c r="G28" s="65"/>
      <c r="H28" s="65"/>
      <c r="I28" s="65"/>
      <c r="Q28" s="50"/>
    </row>
    <row r="29" spans="1:35">
      <c r="A29" s="46" t="s">
        <v>63</v>
      </c>
      <c r="F29" s="47" t="s">
        <v>150</v>
      </c>
      <c r="G29" s="65"/>
      <c r="H29" s="65"/>
      <c r="I29" s="65"/>
      <c r="Q29" s="50"/>
      <c r="AG29" s="46" t="s">
        <v>63</v>
      </c>
    </row>
    <row r="30" spans="1:35">
      <c r="A30" s="50" t="s">
        <v>66</v>
      </c>
      <c r="B30" s="53" t="s">
        <v>67</v>
      </c>
      <c r="C30" s="57"/>
      <c r="D30" s="57"/>
      <c r="E30" s="57"/>
      <c r="F30" s="57"/>
      <c r="G30" s="65"/>
      <c r="H30" s="65"/>
      <c r="I30" s="65"/>
      <c r="K30" s="65"/>
      <c r="Q30" s="53" t="s">
        <v>67</v>
      </c>
      <c r="AG30" s="50" t="s">
        <v>68</v>
      </c>
      <c r="AH30" s="53" t="s">
        <v>67</v>
      </c>
    </row>
    <row r="31" spans="1:35">
      <c r="A31" s="158">
        <v>1</v>
      </c>
      <c r="B31" s="55" t="s">
        <v>69</v>
      </c>
      <c r="C31" s="61">
        <f>销量!C8</f>
        <v>1650</v>
      </c>
      <c r="D31" s="61">
        <f>销量!D8</f>
        <v>430</v>
      </c>
      <c r="E31" s="61">
        <f>销量!E8</f>
        <v>70</v>
      </c>
      <c r="F31" s="57"/>
      <c r="G31" s="65"/>
      <c r="H31" s="65"/>
      <c r="I31" s="65"/>
      <c r="K31" s="65"/>
      <c r="Q31" s="50" t="s">
        <v>69</v>
      </c>
      <c r="AG31" s="50" t="s">
        <v>21</v>
      </c>
      <c r="AH31" s="50" t="s">
        <v>69</v>
      </c>
    </row>
    <row r="32" spans="1:35">
      <c r="A32" s="158">
        <v>2</v>
      </c>
      <c r="B32" s="50" t="s">
        <v>151</v>
      </c>
      <c r="C32" s="52">
        <f>C9/C6</f>
        <v>1617</v>
      </c>
      <c r="D32" s="52">
        <f t="shared" ref="D32:E32" si="20">D9/D6</f>
        <v>421.4</v>
      </c>
      <c r="E32" s="52">
        <f t="shared" si="20"/>
        <v>68.599999999999994</v>
      </c>
      <c r="F32" s="57"/>
      <c r="G32" s="65"/>
      <c r="H32" s="65"/>
      <c r="I32" s="65"/>
      <c r="J32" s="65"/>
      <c r="K32" s="65"/>
      <c r="L32" s="65"/>
      <c r="M32" s="65"/>
      <c r="AG32" s="50"/>
      <c r="AH32" s="50"/>
    </row>
    <row r="33" spans="1:34">
      <c r="A33" s="158">
        <v>3</v>
      </c>
      <c r="B33" s="55" t="s">
        <v>70</v>
      </c>
      <c r="C33" s="52">
        <f>材料成本!F20</f>
        <v>1132.4584125315516</v>
      </c>
      <c r="D33" s="52">
        <f>材料成本!F21</f>
        <v>384.69171001415936</v>
      </c>
      <c r="E33" s="52">
        <f>材料成本!F22</f>
        <v>79.059873391394575</v>
      </c>
      <c r="F33" s="57"/>
      <c r="H33" s="65"/>
      <c r="I33" s="65"/>
      <c r="J33" s="65"/>
      <c r="K33" s="65"/>
      <c r="L33" s="65"/>
      <c r="M33" s="65"/>
      <c r="Q33" s="50" t="s">
        <v>70</v>
      </c>
      <c r="AG33" s="50" t="s">
        <v>23</v>
      </c>
      <c r="AH33" s="50" t="s">
        <v>70</v>
      </c>
    </row>
    <row r="34" spans="1:34" ht="17.25" customHeight="1">
      <c r="A34" s="158">
        <v>4</v>
      </c>
      <c r="B34" s="50" t="s">
        <v>72</v>
      </c>
      <c r="C34" s="62">
        <f>C32-C33</f>
        <v>484.54158746844837</v>
      </c>
      <c r="D34" s="62">
        <f t="shared" ref="D34:E34" si="21">D32-D33</f>
        <v>36.708289985840622</v>
      </c>
      <c r="E34" s="62">
        <f t="shared" si="21"/>
        <v>-10.459873391394581</v>
      </c>
      <c r="F34" s="57"/>
      <c r="H34" s="65"/>
      <c r="I34" s="65"/>
      <c r="J34" s="65"/>
      <c r="K34" s="65"/>
      <c r="L34" s="65"/>
      <c r="M34" s="65"/>
      <c r="Q34" s="50" t="s">
        <v>72</v>
      </c>
      <c r="AG34" s="50" t="s">
        <v>71</v>
      </c>
      <c r="AH34" s="50" t="s">
        <v>72</v>
      </c>
    </row>
    <row r="35" spans="1:34">
      <c r="A35" s="50" t="s">
        <v>68</v>
      </c>
      <c r="B35" s="53" t="s">
        <v>8</v>
      </c>
      <c r="C35" s="57"/>
      <c r="D35" s="57"/>
      <c r="E35" s="57"/>
      <c r="F35" s="57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53" t="s">
        <v>8</v>
      </c>
      <c r="AG35" s="50" t="s">
        <v>74</v>
      </c>
      <c r="AH35" s="53" t="s">
        <v>8</v>
      </c>
    </row>
    <row r="36" spans="1:34">
      <c r="A36" s="158">
        <v>1</v>
      </c>
      <c r="B36" s="50" t="s">
        <v>75</v>
      </c>
      <c r="C36" s="56">
        <f>'2023年'!C36</f>
        <v>92.762977514551324</v>
      </c>
      <c r="D36" s="56">
        <f>'2023年'!D36</f>
        <v>24.174594140155801</v>
      </c>
      <c r="E36" s="56">
        <f>'2023年'!E36</f>
        <v>3.9353990460718746</v>
      </c>
      <c r="F36" s="61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0" t="s">
        <v>75</v>
      </c>
      <c r="AG36" s="50" t="s">
        <v>71</v>
      </c>
      <c r="AH36" s="50" t="s">
        <v>75</v>
      </c>
    </row>
    <row r="37" spans="1:34">
      <c r="A37" s="158">
        <v>2</v>
      </c>
      <c r="B37" s="50" t="s">
        <v>76</v>
      </c>
      <c r="C37" s="56">
        <f>'2023年'!C37</f>
        <v>24.8753828417764</v>
      </c>
      <c r="D37" s="56">
        <f>'2023年'!D37</f>
        <v>6.4826755284629405</v>
      </c>
      <c r="E37" s="56">
        <f>'2023年'!E37</f>
        <v>1.0553192720753624</v>
      </c>
      <c r="F37" s="61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0" t="s">
        <v>76</v>
      </c>
      <c r="AG37" s="50" t="s">
        <v>26</v>
      </c>
      <c r="AH37" s="50" t="s">
        <v>76</v>
      </c>
    </row>
    <row r="38" spans="1:34">
      <c r="A38" s="158">
        <v>3</v>
      </c>
      <c r="B38" s="50" t="s">
        <v>77</v>
      </c>
      <c r="C38" s="56">
        <f>'2023年'!C38</f>
        <v>65.999999999999986</v>
      </c>
      <c r="D38" s="56">
        <f>'2023年'!D38</f>
        <v>17.199999999999996</v>
      </c>
      <c r="E38" s="56">
        <f>'2023年'!E38</f>
        <v>2.7999999999999994</v>
      </c>
      <c r="F38" s="61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50" t="s">
        <v>77</v>
      </c>
      <c r="AG38" s="50" t="s">
        <v>32</v>
      </c>
      <c r="AH38" s="50" t="s">
        <v>77</v>
      </c>
    </row>
    <row r="39" spans="1:34">
      <c r="A39" s="50" t="s">
        <v>74</v>
      </c>
      <c r="B39" s="53" t="s">
        <v>79</v>
      </c>
      <c r="C39" s="57"/>
      <c r="D39" s="57"/>
      <c r="E39" s="57"/>
      <c r="F39" s="57"/>
      <c r="Q39" s="53" t="s">
        <v>79</v>
      </c>
      <c r="AG39" s="50" t="s">
        <v>78</v>
      </c>
      <c r="AH39" s="53" t="s">
        <v>79</v>
      </c>
    </row>
    <row r="40" spans="1:34">
      <c r="A40" s="158">
        <v>1</v>
      </c>
      <c r="B40" s="50" t="s">
        <v>81</v>
      </c>
      <c r="C40" s="57">
        <f>C34-C36-C37-C38</f>
        <v>300.90322711212065</v>
      </c>
      <c r="D40" s="57">
        <f t="shared" ref="D40:E40" si="22">D34-D36-D37-D38</f>
        <v>-11.148979682778116</v>
      </c>
      <c r="E40" s="57">
        <f t="shared" si="22"/>
        <v>-18.250591709541819</v>
      </c>
      <c r="F40" s="57"/>
      <c r="Q40" s="50" t="s">
        <v>81</v>
      </c>
      <c r="AG40" s="50" t="s">
        <v>21</v>
      </c>
      <c r="AH40" s="50" t="s">
        <v>81</v>
      </c>
    </row>
    <row r="41" spans="1:34">
      <c r="A41" s="158">
        <v>2</v>
      </c>
      <c r="B41" s="50" t="s">
        <v>82</v>
      </c>
      <c r="C41" s="57"/>
      <c r="D41" s="57"/>
      <c r="E41" s="57"/>
      <c r="F41" s="57"/>
      <c r="Q41" s="50" t="s">
        <v>82</v>
      </c>
      <c r="AG41" s="50" t="s">
        <v>23</v>
      </c>
      <c r="AH41" s="50" t="s">
        <v>82</v>
      </c>
    </row>
    <row r="42" spans="1:34">
      <c r="A42" s="50" t="s">
        <v>78</v>
      </c>
      <c r="B42" s="53" t="s">
        <v>84</v>
      </c>
      <c r="C42" s="57"/>
      <c r="D42" s="57"/>
      <c r="E42" s="57"/>
      <c r="F42" s="57"/>
      <c r="Q42" s="53" t="s">
        <v>84</v>
      </c>
      <c r="AG42" s="50" t="s">
        <v>83</v>
      </c>
      <c r="AH42" s="53" t="s">
        <v>84</v>
      </c>
    </row>
    <row r="43" spans="1:34">
      <c r="A43" s="158">
        <v>1</v>
      </c>
      <c r="B43" s="58" t="s">
        <v>85</v>
      </c>
      <c r="C43" s="56">
        <f>'2023年'!C43</f>
        <v>74.25</v>
      </c>
      <c r="D43" s="56">
        <f>'2023年'!D43</f>
        <v>19.349999999999998</v>
      </c>
      <c r="E43" s="56">
        <f>'2023年'!E43</f>
        <v>3.15</v>
      </c>
      <c r="F43" s="57"/>
      <c r="Q43" s="50" t="s">
        <v>85</v>
      </c>
      <c r="AG43" s="50" t="s">
        <v>21</v>
      </c>
      <c r="AH43" s="50" t="s">
        <v>85</v>
      </c>
    </row>
    <row r="44" spans="1:34">
      <c r="A44" s="158">
        <v>2</v>
      </c>
      <c r="B44" s="58" t="s">
        <v>86</v>
      </c>
      <c r="C44" s="56">
        <f>'2023年'!C44</f>
        <v>11.55</v>
      </c>
      <c r="D44" s="56">
        <f>'2023年'!D44</f>
        <v>3.0100000000000002</v>
      </c>
      <c r="E44" s="56">
        <f>'2023年'!E44</f>
        <v>0.49</v>
      </c>
      <c r="F44" s="57"/>
      <c r="Q44" s="50" t="s">
        <v>86</v>
      </c>
      <c r="AG44" s="50" t="s">
        <v>23</v>
      </c>
      <c r="AH44" s="50" t="s">
        <v>86</v>
      </c>
    </row>
    <row r="45" spans="1:34">
      <c r="A45" s="158">
        <v>3</v>
      </c>
      <c r="B45" s="58" t="s">
        <v>87</v>
      </c>
      <c r="C45" s="56">
        <f>'2023年'!C45</f>
        <v>49.5</v>
      </c>
      <c r="D45" s="56">
        <f>'2023年'!D45</f>
        <v>12.9</v>
      </c>
      <c r="E45" s="56">
        <f>'2023年'!E45</f>
        <v>2.1</v>
      </c>
      <c r="F45" s="57"/>
      <c r="Q45" s="50" t="s">
        <v>87</v>
      </c>
      <c r="AG45" s="50" t="s">
        <v>71</v>
      </c>
      <c r="AH45" s="50" t="s">
        <v>87</v>
      </c>
    </row>
    <row r="46" spans="1:34" s="45" customFormat="1">
      <c r="A46" s="158">
        <v>4</v>
      </c>
      <c r="B46" s="58" t="s">
        <v>88</v>
      </c>
      <c r="C46" s="63">
        <f>C21/C6</f>
        <v>9.0818518518518516</v>
      </c>
      <c r="D46" s="63">
        <f t="shared" ref="D46:E46" si="23">D21/D6</f>
        <v>9.0818518518518516</v>
      </c>
      <c r="E46" s="63">
        <f t="shared" si="23"/>
        <v>9.0818518518518516</v>
      </c>
      <c r="F46" s="63"/>
      <c r="Q46" s="58" t="s">
        <v>90</v>
      </c>
      <c r="AG46" s="58" t="s">
        <v>29</v>
      </c>
      <c r="AH46" s="58" t="s">
        <v>90</v>
      </c>
    </row>
    <row r="47" spans="1:34" s="45" customFormat="1">
      <c r="A47" s="158">
        <v>5</v>
      </c>
      <c r="B47" s="58" t="s">
        <v>90</v>
      </c>
      <c r="C47" s="63">
        <f>'2023年'!C47</f>
        <v>35.144999999999996</v>
      </c>
      <c r="D47" s="63">
        <f>'2023年'!D47</f>
        <v>9.1589999999999989</v>
      </c>
      <c r="E47" s="63">
        <f>'2023年'!E47</f>
        <v>1.4909999999999999</v>
      </c>
      <c r="F47" s="63"/>
      <c r="Q47" s="58" t="s">
        <v>90</v>
      </c>
      <c r="AG47" s="58" t="s">
        <v>29</v>
      </c>
      <c r="AH47" s="58" t="s">
        <v>90</v>
      </c>
    </row>
    <row r="48" spans="1:34">
      <c r="A48" s="50" t="s">
        <v>83</v>
      </c>
      <c r="B48" s="53" t="s">
        <v>101</v>
      </c>
      <c r="C48" s="57">
        <f>C40-C43-C44-C45-C47-C46</f>
        <v>121.3763752602688</v>
      </c>
      <c r="D48" s="57">
        <f t="shared" ref="D48:E48" si="24">D40-D43-D44-D45-D47-D46</f>
        <v>-64.649831534629953</v>
      </c>
      <c r="E48" s="57">
        <f t="shared" si="24"/>
        <v>-34.563443561393669</v>
      </c>
      <c r="F48" s="57"/>
      <c r="Q48" s="53" t="s">
        <v>101</v>
      </c>
      <c r="AG48" s="50" t="s">
        <v>100</v>
      </c>
      <c r="AH48" s="53" t="s">
        <v>101</v>
      </c>
    </row>
    <row r="51" spans="2:11">
      <c r="C51" s="64"/>
      <c r="D51" s="64"/>
      <c r="E51" s="64"/>
    </row>
    <row r="54" spans="2:11">
      <c r="B54" s="65"/>
      <c r="C54" s="66"/>
      <c r="D54" s="66"/>
      <c r="E54" s="66"/>
      <c r="F54" s="66"/>
      <c r="G54" s="65"/>
      <c r="H54" s="65"/>
      <c r="I54" s="65"/>
      <c r="J54" s="65"/>
      <c r="K54" s="65"/>
    </row>
    <row r="55" spans="2:11">
      <c r="B55" s="65"/>
      <c r="C55" s="66"/>
      <c r="D55" s="66"/>
      <c r="E55" s="66"/>
      <c r="F55" s="66"/>
      <c r="G55" s="65"/>
      <c r="H55" s="65"/>
      <c r="I55" s="65"/>
      <c r="J55" s="65"/>
      <c r="K55" s="65"/>
    </row>
    <row r="56" spans="2:11">
      <c r="B56" s="65"/>
      <c r="C56" s="66"/>
      <c r="D56" s="66"/>
      <c r="E56" s="66"/>
      <c r="F56" s="66"/>
      <c r="G56" s="65"/>
      <c r="H56" s="65"/>
      <c r="I56" s="65"/>
      <c r="J56" s="65"/>
      <c r="K56" s="65"/>
    </row>
    <row r="57" spans="2:11">
      <c r="B57" s="65"/>
      <c r="C57" s="66"/>
      <c r="D57" s="66"/>
      <c r="E57" s="66"/>
      <c r="F57" s="66"/>
      <c r="G57" s="65"/>
      <c r="H57" s="65"/>
      <c r="I57" s="65"/>
      <c r="J57" s="65"/>
      <c r="K57" s="65"/>
    </row>
    <row r="58" spans="2:11">
      <c r="B58" s="65"/>
      <c r="C58" s="66"/>
      <c r="D58" s="66"/>
      <c r="E58" s="66"/>
      <c r="F58" s="66"/>
      <c r="G58" s="65"/>
      <c r="H58" s="65"/>
      <c r="I58" s="65"/>
      <c r="J58" s="65"/>
      <c r="K58" s="65"/>
    </row>
    <row r="59" spans="2:11">
      <c r="B59" s="65"/>
      <c r="C59" s="66"/>
      <c r="D59" s="66"/>
      <c r="E59" s="66"/>
      <c r="F59" s="66"/>
      <c r="G59" s="65"/>
      <c r="H59" s="65"/>
      <c r="I59" s="65"/>
      <c r="J59" s="65"/>
      <c r="K59" s="65"/>
    </row>
    <row r="60" spans="2:11">
      <c r="B60" s="65"/>
      <c r="C60" s="66"/>
      <c r="D60" s="66"/>
      <c r="E60" s="66"/>
      <c r="F60" s="66"/>
      <c r="G60" s="65"/>
      <c r="H60" s="65"/>
      <c r="I60" s="65"/>
      <c r="J60" s="65"/>
      <c r="K60" s="65"/>
    </row>
    <row r="61" spans="2:11">
      <c r="B61" s="65"/>
      <c r="C61" s="66"/>
      <c r="D61" s="66"/>
      <c r="E61" s="66"/>
      <c r="F61" s="66"/>
      <c r="G61" s="65"/>
      <c r="H61" s="65"/>
      <c r="I61" s="65"/>
      <c r="J61" s="65"/>
      <c r="K61" s="65"/>
    </row>
    <row r="62" spans="2:11">
      <c r="B62" s="65"/>
      <c r="C62" s="66"/>
      <c r="D62" s="66"/>
      <c r="E62" s="66"/>
      <c r="F62" s="66"/>
      <c r="G62" s="65"/>
      <c r="H62" s="65"/>
      <c r="I62" s="65"/>
      <c r="J62" s="65"/>
      <c r="K62" s="65"/>
    </row>
    <row r="63" spans="2:11">
      <c r="B63" s="65"/>
      <c r="C63" s="66"/>
      <c r="D63" s="66"/>
      <c r="E63" s="66"/>
      <c r="F63" s="66"/>
      <c r="G63" s="65"/>
      <c r="H63" s="65"/>
      <c r="I63" s="65"/>
      <c r="J63" s="65"/>
      <c r="K63" s="65"/>
    </row>
    <row r="64" spans="2:11">
      <c r="B64" s="65"/>
      <c r="C64" s="66"/>
      <c r="D64" s="66"/>
      <c r="E64" s="66"/>
      <c r="F64" s="66"/>
      <c r="G64" s="65"/>
      <c r="H64" s="65"/>
      <c r="I64" s="65"/>
      <c r="J64" s="65"/>
      <c r="K64" s="65"/>
    </row>
    <row r="65" spans="2:11">
      <c r="B65" s="65"/>
      <c r="C65" s="66"/>
      <c r="D65" s="66"/>
      <c r="E65" s="66"/>
      <c r="F65" s="66"/>
      <c r="G65" s="65"/>
      <c r="H65" s="65"/>
      <c r="I65" s="65"/>
      <c r="J65" s="65"/>
      <c r="K65" s="65"/>
    </row>
    <row r="66" spans="2:11">
      <c r="B66" s="65"/>
      <c r="C66" s="66"/>
      <c r="D66" s="66"/>
      <c r="E66" s="66"/>
      <c r="F66" s="66"/>
      <c r="G66" s="65"/>
      <c r="H66" s="65"/>
      <c r="I66" s="65"/>
      <c r="J66" s="65"/>
      <c r="K66" s="65"/>
    </row>
    <row r="67" spans="2:11">
      <c r="B67" s="65"/>
      <c r="C67" s="66"/>
      <c r="D67" s="66"/>
      <c r="E67" s="66"/>
      <c r="F67" s="66"/>
      <c r="G67" s="65"/>
    </row>
    <row r="68" spans="2:11">
      <c r="B68" s="65"/>
      <c r="C68" s="66"/>
      <c r="D68" s="66"/>
      <c r="E68" s="66"/>
      <c r="F68" s="66"/>
      <c r="G68" s="65"/>
    </row>
    <row r="69" spans="2:11">
      <c r="B69" s="65"/>
      <c r="C69" s="66"/>
      <c r="D69" s="66"/>
      <c r="E69" s="66"/>
      <c r="F69" s="66"/>
      <c r="G69" s="65"/>
    </row>
    <row r="70" spans="2:11">
      <c r="B70" s="65"/>
      <c r="C70" s="66"/>
      <c r="D70" s="66"/>
      <c r="E70" s="66"/>
      <c r="F70" s="66"/>
      <c r="G70" s="65"/>
    </row>
    <row r="71" spans="2:11">
      <c r="B71" s="65"/>
      <c r="C71" s="66"/>
      <c r="D71" s="66"/>
      <c r="E71" s="66"/>
      <c r="F71" s="66"/>
      <c r="G71" s="65"/>
    </row>
    <row r="72" spans="2:11">
      <c r="B72" s="65"/>
      <c r="C72" s="66"/>
      <c r="D72" s="66"/>
      <c r="E72" s="66"/>
      <c r="F72" s="66"/>
      <c r="G72" s="65"/>
    </row>
    <row r="73" spans="2:11">
      <c r="B73" s="65"/>
      <c r="C73" s="66"/>
      <c r="D73" s="66"/>
      <c r="E73" s="66"/>
      <c r="F73" s="66"/>
      <c r="G73" s="65"/>
    </row>
    <row r="74" spans="2:11">
      <c r="B74" s="65"/>
      <c r="C74" s="66"/>
      <c r="D74" s="66"/>
      <c r="E74" s="66"/>
      <c r="F74" s="66"/>
      <c r="G74" s="65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E10" sqref="E10"/>
    </sheetView>
  </sheetViews>
  <sheetFormatPr defaultColWidth="9" defaultRowHeight="14.5"/>
  <cols>
    <col min="1" max="1" width="5.08984375" style="46" customWidth="1"/>
    <col min="2" max="2" width="17.453125" style="46" customWidth="1"/>
    <col min="3" max="5" width="16.08984375" style="47" bestFit="1" customWidth="1"/>
    <col min="6" max="6" width="18.7265625" style="47" customWidth="1"/>
    <col min="7" max="7" width="12.36328125" style="46" customWidth="1"/>
    <col min="8" max="8" width="10.08984375" style="46" customWidth="1"/>
    <col min="9" max="15" width="9" style="46" customWidth="1"/>
    <col min="16" max="32" width="9" style="46"/>
    <col min="33" max="33" width="4.36328125" style="46" customWidth="1"/>
    <col min="34" max="34" width="13.90625" style="46" customWidth="1"/>
    <col min="35" max="16384" width="9" style="46"/>
  </cols>
  <sheetData>
    <row r="1" spans="1:35">
      <c r="A1" s="221" t="s">
        <v>141</v>
      </c>
      <c r="B1" s="221"/>
      <c r="C1" s="225" t="s">
        <v>244</v>
      </c>
      <c r="D1" s="226"/>
      <c r="E1" s="226"/>
      <c r="F1" s="227"/>
    </row>
    <row r="2" spans="1:35">
      <c r="A2" s="221" t="s">
        <v>142</v>
      </c>
      <c r="B2" s="221"/>
      <c r="C2" s="228" t="str">
        <f>'2023年'!C2:F2</f>
        <v>陕重汽</v>
      </c>
      <c r="D2" s="228"/>
      <c r="E2" s="228"/>
      <c r="F2" s="228"/>
    </row>
    <row r="3" spans="1:35" ht="66">
      <c r="A3" s="221" t="s">
        <v>143</v>
      </c>
      <c r="B3" s="221"/>
      <c r="C3" s="182" t="s">
        <v>254</v>
      </c>
      <c r="D3" s="182" t="s">
        <v>255</v>
      </c>
      <c r="E3" s="182" t="s">
        <v>256</v>
      </c>
      <c r="F3" s="222" t="s">
        <v>17</v>
      </c>
    </row>
    <row r="4" spans="1:35" ht="16.5">
      <c r="A4" s="221" t="s">
        <v>144</v>
      </c>
      <c r="B4" s="221"/>
      <c r="C4" s="183" t="s">
        <v>257</v>
      </c>
      <c r="D4" s="183" t="s">
        <v>258</v>
      </c>
      <c r="E4" s="183" t="s">
        <v>259</v>
      </c>
      <c r="F4" s="223"/>
    </row>
    <row r="5" spans="1:35">
      <c r="A5" s="221" t="s">
        <v>145</v>
      </c>
      <c r="B5" s="221"/>
      <c r="C5" s="49"/>
      <c r="D5" s="49"/>
      <c r="E5" s="49"/>
      <c r="F5" s="224"/>
      <c r="AI5" s="46" t="s">
        <v>18</v>
      </c>
    </row>
    <row r="6" spans="1:35" ht="16.5">
      <c r="A6" s="50" t="s">
        <v>15</v>
      </c>
      <c r="B6" s="51" t="s">
        <v>146</v>
      </c>
      <c r="C6" s="21">
        <f>销量!C11</f>
        <v>3000</v>
      </c>
      <c r="D6" s="21">
        <f>销量!D11</f>
        <v>3000</v>
      </c>
      <c r="E6" s="21">
        <f>销量!E11</f>
        <v>3000</v>
      </c>
      <c r="F6" s="52">
        <f t="shared" ref="F6:F15" si="0">SUM(C6:E6)</f>
        <v>9000</v>
      </c>
      <c r="Q6" s="51" t="s">
        <v>3</v>
      </c>
      <c r="AG6" s="50" t="s">
        <v>15</v>
      </c>
      <c r="AH6" s="51" t="s">
        <v>3</v>
      </c>
      <c r="AI6" s="46" t="s">
        <v>19</v>
      </c>
    </row>
    <row r="7" spans="1:35">
      <c r="A7" s="158">
        <v>1</v>
      </c>
      <c r="B7" s="51" t="s">
        <v>20</v>
      </c>
      <c r="C7" s="52">
        <f>C6*销量!C8</f>
        <v>4950000</v>
      </c>
      <c r="D7" s="52">
        <f>D6*销量!D8</f>
        <v>1290000</v>
      </c>
      <c r="E7" s="52">
        <f>E6*销量!E8</f>
        <v>210000</v>
      </c>
      <c r="F7" s="52">
        <f t="shared" si="0"/>
        <v>6450000</v>
      </c>
      <c r="G7" s="47"/>
      <c r="Q7" s="51" t="s">
        <v>20</v>
      </c>
      <c r="AG7" s="50" t="s">
        <v>21</v>
      </c>
      <c r="AH7" s="51" t="s">
        <v>20</v>
      </c>
      <c r="AI7" s="46" t="s">
        <v>19</v>
      </c>
    </row>
    <row r="8" spans="1:35">
      <c r="A8" s="158">
        <v>2</v>
      </c>
      <c r="B8" s="158" t="s">
        <v>22</v>
      </c>
      <c r="C8" s="52">
        <f>C7*(1-销量!$L$8)</f>
        <v>196020.00000000041</v>
      </c>
      <c r="D8" s="52">
        <f>D7*(1-销量!$L$8)</f>
        <v>51084.000000000102</v>
      </c>
      <c r="E8" s="52">
        <f>E7*(1-销量!$L$8)</f>
        <v>8316.0000000000164</v>
      </c>
      <c r="F8" s="52">
        <f t="shared" si="0"/>
        <v>255420.00000000055</v>
      </c>
      <c r="G8" s="67"/>
      <c r="Q8" s="158" t="s">
        <v>24</v>
      </c>
      <c r="AG8" s="50" t="s">
        <v>23</v>
      </c>
      <c r="AH8" s="158" t="s">
        <v>24</v>
      </c>
      <c r="AI8" s="46" t="s">
        <v>19</v>
      </c>
    </row>
    <row r="9" spans="1:35">
      <c r="A9" s="158">
        <v>3</v>
      </c>
      <c r="B9" s="51" t="s">
        <v>25</v>
      </c>
      <c r="C9" s="52">
        <f>+C7-C8</f>
        <v>4753980</v>
      </c>
      <c r="D9" s="52">
        <f t="shared" ref="D9:E9" si="1">+D7-D8</f>
        <v>1238916</v>
      </c>
      <c r="E9" s="52">
        <f t="shared" si="1"/>
        <v>201683.99999999997</v>
      </c>
      <c r="F9" s="52">
        <f t="shared" si="0"/>
        <v>6194580</v>
      </c>
      <c r="Q9" s="51" t="s">
        <v>25</v>
      </c>
      <c r="AG9" s="50" t="s">
        <v>26</v>
      </c>
      <c r="AH9" s="51" t="s">
        <v>25</v>
      </c>
      <c r="AI9" s="46" t="s">
        <v>27</v>
      </c>
    </row>
    <row r="10" spans="1:35">
      <c r="A10" s="158">
        <v>4</v>
      </c>
      <c r="B10" s="50" t="s">
        <v>28</v>
      </c>
      <c r="C10" s="52">
        <f>C6*材料成本!G20</f>
        <v>3329427.732842762</v>
      </c>
      <c r="D10" s="52">
        <f>D6*材料成本!G21</f>
        <v>1130993.6274416284</v>
      </c>
      <c r="E10" s="52">
        <f>E6*材料成本!G22</f>
        <v>232436.02777070005</v>
      </c>
      <c r="F10" s="52">
        <f t="shared" si="0"/>
        <v>4692857.3880550899</v>
      </c>
      <c r="Q10" s="50" t="s">
        <v>28</v>
      </c>
      <c r="AG10" s="50" t="s">
        <v>29</v>
      </c>
      <c r="AH10" s="50" t="s">
        <v>28</v>
      </c>
      <c r="AI10" s="46" t="s">
        <v>30</v>
      </c>
    </row>
    <row r="11" spans="1:35">
      <c r="A11" s="158">
        <v>5</v>
      </c>
      <c r="B11" s="50" t="s">
        <v>31</v>
      </c>
      <c r="C11" s="52">
        <f>+C6*C36</f>
        <v>278288.93254365399</v>
      </c>
      <c r="D11" s="52">
        <f t="shared" ref="D11:E11" si="2">+D6*D36</f>
        <v>72523.782420467396</v>
      </c>
      <c r="E11" s="52">
        <f t="shared" si="2"/>
        <v>11806.197138215624</v>
      </c>
      <c r="F11" s="52">
        <f t="shared" si="0"/>
        <v>362618.91210233705</v>
      </c>
      <c r="Q11" s="50" t="s">
        <v>31</v>
      </c>
      <c r="AG11" s="50" t="s">
        <v>32</v>
      </c>
      <c r="AH11" s="50" t="s">
        <v>31</v>
      </c>
    </row>
    <row r="12" spans="1:35">
      <c r="A12" s="158">
        <v>6</v>
      </c>
      <c r="B12" s="50" t="s">
        <v>33</v>
      </c>
      <c r="C12" s="52">
        <f>+C6*C37</f>
        <v>74626.148525329205</v>
      </c>
      <c r="D12" s="52">
        <f t="shared" ref="D12:E12" si="3">+D6*D37</f>
        <v>19448.026585388823</v>
      </c>
      <c r="E12" s="52">
        <f t="shared" si="3"/>
        <v>3165.9578162260873</v>
      </c>
      <c r="F12" s="52">
        <f t="shared" si="0"/>
        <v>97240.132926944119</v>
      </c>
      <c r="Q12" s="50" t="s">
        <v>33</v>
      </c>
      <c r="AG12" s="50" t="s">
        <v>34</v>
      </c>
      <c r="AH12" s="50" t="s">
        <v>33</v>
      </c>
    </row>
    <row r="13" spans="1:35">
      <c r="A13" s="158">
        <v>7</v>
      </c>
      <c r="B13" s="50" t="s">
        <v>35</v>
      </c>
      <c r="C13" s="52">
        <f>+C6*C38</f>
        <v>197999.99999999997</v>
      </c>
      <c r="D13" s="52">
        <f t="shared" ref="D13:E13" si="4">+D6*D38</f>
        <v>51599.999999999985</v>
      </c>
      <c r="E13" s="52">
        <f t="shared" si="4"/>
        <v>8399.9999999999982</v>
      </c>
      <c r="F13" s="52">
        <f t="shared" si="0"/>
        <v>257999.99999999994</v>
      </c>
      <c r="Q13" s="50" t="s">
        <v>35</v>
      </c>
      <c r="AG13" s="50" t="s">
        <v>36</v>
      </c>
      <c r="AH13" s="50" t="s">
        <v>35</v>
      </c>
      <c r="AI13" s="46" t="s">
        <v>19</v>
      </c>
    </row>
    <row r="14" spans="1:35">
      <c r="A14" s="158">
        <v>8</v>
      </c>
      <c r="B14" s="53" t="s">
        <v>37</v>
      </c>
      <c r="C14" s="52">
        <f>SUM(C11:C13)</f>
        <v>550915.08106898319</v>
      </c>
      <c r="D14" s="52">
        <f t="shared" ref="D14:E14" si="5">SUM(D11:D13)</f>
        <v>143571.80900585622</v>
      </c>
      <c r="E14" s="52">
        <f t="shared" si="5"/>
        <v>23372.15495444171</v>
      </c>
      <c r="F14" s="52">
        <f t="shared" si="0"/>
        <v>717859.04502928106</v>
      </c>
      <c r="Q14" s="53" t="s">
        <v>37</v>
      </c>
      <c r="AG14" s="50" t="s">
        <v>38</v>
      </c>
      <c r="AH14" s="53" t="s">
        <v>37</v>
      </c>
    </row>
    <row r="15" spans="1:35">
      <c r="A15" s="158">
        <v>9</v>
      </c>
      <c r="B15" s="53" t="s">
        <v>39</v>
      </c>
      <c r="C15" s="52">
        <f>+C9-C10-C14</f>
        <v>873637.18608825479</v>
      </c>
      <c r="D15" s="52">
        <f t="shared" ref="D15:E15" si="6">+D9-D10-D14</f>
        <v>-35649.436447484593</v>
      </c>
      <c r="E15" s="52">
        <f t="shared" si="6"/>
        <v>-54124.182725141785</v>
      </c>
      <c r="F15" s="52">
        <f t="shared" si="0"/>
        <v>783863.5669156285</v>
      </c>
      <c r="Q15" s="53" t="s">
        <v>39</v>
      </c>
      <c r="AG15" s="50" t="s">
        <v>40</v>
      </c>
      <c r="AH15" s="53" t="s">
        <v>39</v>
      </c>
    </row>
    <row r="16" spans="1:35">
      <c r="A16" s="158">
        <v>10</v>
      </c>
      <c r="B16" s="50" t="s">
        <v>41</v>
      </c>
      <c r="C16" s="54">
        <f>+C15/C9</f>
        <v>0.18376963851094341</v>
      </c>
      <c r="D16" s="54">
        <f t="shared" ref="D16:E16" si="7">+D15/D9</f>
        <v>-2.8774700179418616E-2</v>
      </c>
      <c r="E16" s="54">
        <f t="shared" si="7"/>
        <v>-0.26836131138385688</v>
      </c>
      <c r="F16" s="54">
        <f t="shared" ref="F16" si="8">+F15/F9</f>
        <v>0.12654022821815661</v>
      </c>
      <c r="Q16" s="50" t="s">
        <v>41</v>
      </c>
      <c r="AG16" s="50" t="s">
        <v>42</v>
      </c>
      <c r="AH16" s="50" t="s">
        <v>41</v>
      </c>
    </row>
    <row r="17" spans="1:35">
      <c r="A17" s="158">
        <v>11</v>
      </c>
      <c r="B17" s="50" t="s">
        <v>43</v>
      </c>
      <c r="C17" s="52">
        <f>C6*C43+C18</f>
        <v>222750</v>
      </c>
      <c r="D17" s="52">
        <f t="shared" ref="D17:E17" si="9">D6*D43+D18</f>
        <v>58049.999999999993</v>
      </c>
      <c r="E17" s="52">
        <f t="shared" si="9"/>
        <v>9450</v>
      </c>
      <c r="F17" s="52">
        <f>SUM(C17:E17)</f>
        <v>290250</v>
      </c>
      <c r="G17" s="67"/>
      <c r="Q17" s="50" t="s">
        <v>43</v>
      </c>
      <c r="AG17" s="50" t="s">
        <v>44</v>
      </c>
      <c r="AH17" s="50" t="s">
        <v>43</v>
      </c>
    </row>
    <row r="18" spans="1:35" s="44" customFormat="1">
      <c r="A18" s="158">
        <v>12</v>
      </c>
      <c r="B18" s="55" t="s">
        <v>147</v>
      </c>
      <c r="C18" s="56">
        <f>$F$18/$F$6*C6</f>
        <v>0</v>
      </c>
      <c r="D18" s="56">
        <f>$F$18/$F$6*D6</f>
        <v>0</v>
      </c>
      <c r="E18" s="56">
        <f>$F$18/$F$6*E6</f>
        <v>0</v>
      </c>
      <c r="F18" s="56">
        <f>项目投资!D26</f>
        <v>0</v>
      </c>
      <c r="G18" s="68" t="s">
        <v>148</v>
      </c>
      <c r="H18" s="68"/>
      <c r="I18" s="68"/>
    </row>
    <row r="19" spans="1:35">
      <c r="A19" s="158">
        <v>13</v>
      </c>
      <c r="B19" s="50" t="s">
        <v>45</v>
      </c>
      <c r="C19" s="52">
        <f>C6*C44</f>
        <v>34650</v>
      </c>
      <c r="D19" s="52">
        <f t="shared" ref="D19:E19" si="10">D6*D44</f>
        <v>9030</v>
      </c>
      <c r="E19" s="52">
        <f t="shared" si="10"/>
        <v>1470</v>
      </c>
      <c r="F19" s="52">
        <f>SUM(C19:C19)</f>
        <v>34650</v>
      </c>
      <c r="G19" s="44"/>
      <c r="Q19" s="50" t="s">
        <v>45</v>
      </c>
      <c r="AG19" s="50" t="s">
        <v>46</v>
      </c>
      <c r="AH19" s="50" t="s">
        <v>45</v>
      </c>
      <c r="AI19" s="46" t="s">
        <v>19</v>
      </c>
    </row>
    <row r="20" spans="1:35">
      <c r="A20" s="158">
        <v>14</v>
      </c>
      <c r="B20" s="50" t="s">
        <v>47</v>
      </c>
      <c r="C20" s="52">
        <f>C6*C45</f>
        <v>148500</v>
      </c>
      <c r="D20" s="52">
        <f t="shared" ref="D20:E20" si="11">D6*D45</f>
        <v>38700</v>
      </c>
      <c r="E20" s="52">
        <f t="shared" si="11"/>
        <v>6300</v>
      </c>
      <c r="F20" s="52">
        <f>SUM(C20:E20)</f>
        <v>193500</v>
      </c>
      <c r="Q20" s="50" t="s">
        <v>47</v>
      </c>
      <c r="AG20" s="50" t="s">
        <v>48</v>
      </c>
      <c r="AH20" s="50" t="s">
        <v>47</v>
      </c>
    </row>
    <row r="21" spans="1:35">
      <c r="A21" s="158">
        <v>15</v>
      </c>
      <c r="B21" s="50" t="s">
        <v>49</v>
      </c>
      <c r="C21" s="57">
        <f>$F$21/$F$6*C6</f>
        <v>27245.555555555555</v>
      </c>
      <c r="D21" s="57">
        <f>$F$21/$F$6*D6</f>
        <v>27245.555555555555</v>
      </c>
      <c r="E21" s="57">
        <f>$F$21/$F$6*E6</f>
        <v>27245.555555555555</v>
      </c>
      <c r="F21" s="52">
        <f>项目投资!D27</f>
        <v>81736.666666666657</v>
      </c>
      <c r="Q21" s="50" t="s">
        <v>49</v>
      </c>
      <c r="AG21" s="50"/>
      <c r="AH21" s="50"/>
    </row>
    <row r="22" spans="1:35">
      <c r="A22" s="158">
        <v>16</v>
      </c>
      <c r="B22" s="50" t="s">
        <v>50</v>
      </c>
      <c r="C22" s="52">
        <f>C6*C47</f>
        <v>105434.99999999999</v>
      </c>
      <c r="D22" s="52">
        <f t="shared" ref="D22:E22" si="12">D6*D47</f>
        <v>27476.999999999996</v>
      </c>
      <c r="E22" s="52">
        <f t="shared" si="12"/>
        <v>4473</v>
      </c>
      <c r="F22" s="52">
        <f>SUM(C22:E22)</f>
        <v>137384.99999999997</v>
      </c>
      <c r="Q22" s="50" t="s">
        <v>50</v>
      </c>
      <c r="AG22" s="50" t="s">
        <v>51</v>
      </c>
      <c r="AH22" s="50" t="s">
        <v>50</v>
      </c>
    </row>
    <row r="23" spans="1:35">
      <c r="A23" s="158">
        <v>17</v>
      </c>
      <c r="B23" s="53" t="s">
        <v>52</v>
      </c>
      <c r="C23" s="57">
        <f>+C22+C21+C20+C19+C17</f>
        <v>538580.5555555555</v>
      </c>
      <c r="D23" s="57">
        <f t="shared" ref="D23:E23" si="13">+D22+D21+D20+D19+D17</f>
        <v>160502.55555555553</v>
      </c>
      <c r="E23" s="57">
        <f t="shared" si="13"/>
        <v>48938.555555555555</v>
      </c>
      <c r="F23" s="57">
        <f t="shared" ref="F23" si="14">+F22+F21+F20+F19+F17</f>
        <v>737521.66666666663</v>
      </c>
      <c r="Q23" s="53" t="s">
        <v>52</v>
      </c>
      <c r="AG23" s="50" t="s">
        <v>53</v>
      </c>
      <c r="AH23" s="53" t="s">
        <v>52</v>
      </c>
    </row>
    <row r="24" spans="1:35">
      <c r="A24" s="158">
        <v>18</v>
      </c>
      <c r="B24" s="58" t="s">
        <v>54</v>
      </c>
      <c r="C24" s="57">
        <f>+C15-C23</f>
        <v>335056.63053269929</v>
      </c>
      <c r="D24" s="57">
        <f t="shared" ref="D24:E24" si="15">+D15-D23</f>
        <v>-196151.99200304013</v>
      </c>
      <c r="E24" s="57">
        <f t="shared" si="15"/>
        <v>-103062.73828069735</v>
      </c>
      <c r="F24" s="57">
        <f t="shared" ref="F24" si="16">+F15-F23</f>
        <v>46341.900248961872</v>
      </c>
      <c r="H24" s="69"/>
      <c r="Q24" s="50" t="s">
        <v>54</v>
      </c>
      <c r="AG24" s="50" t="s">
        <v>55</v>
      </c>
      <c r="AH24" s="50" t="s">
        <v>54</v>
      </c>
    </row>
    <row r="25" spans="1:35">
      <c r="A25" s="158">
        <v>19</v>
      </c>
      <c r="B25" s="50" t="s">
        <v>149</v>
      </c>
      <c r="C25" s="57">
        <f>IF(C24&lt;0,0,C24*0.15)</f>
        <v>50258.494579904895</v>
      </c>
      <c r="D25" s="57">
        <f>IF(D24&lt;0,0,D24*0.15)</f>
        <v>0</v>
      </c>
      <c r="E25" s="57">
        <f t="shared" ref="E25" si="17">IF(E24&lt;0,0,E24*0.25)</f>
        <v>0</v>
      </c>
      <c r="F25" s="57">
        <f>IF(F24&lt;0,0,F24*0.15)</f>
        <v>6951.2850373442807</v>
      </c>
      <c r="G25" s="65"/>
      <c r="H25" s="65"/>
      <c r="I25" s="65"/>
      <c r="Q25" s="50" t="s">
        <v>56</v>
      </c>
      <c r="AG25" s="50" t="s">
        <v>57</v>
      </c>
      <c r="AH25" s="50" t="s">
        <v>56</v>
      </c>
    </row>
    <row r="26" spans="1:35">
      <c r="A26" s="158">
        <v>20</v>
      </c>
      <c r="B26" s="50" t="s">
        <v>58</v>
      </c>
      <c r="C26" s="57">
        <f t="shared" ref="C26:E26" si="18">C24-C25</f>
        <v>284798.1359527944</v>
      </c>
      <c r="D26" s="57">
        <f t="shared" si="18"/>
        <v>-196151.99200304013</v>
      </c>
      <c r="E26" s="57">
        <f t="shared" si="18"/>
        <v>-103062.73828069735</v>
      </c>
      <c r="F26" s="52">
        <f>+SUM(C26:E26)</f>
        <v>-14416.594330943073</v>
      </c>
      <c r="G26" s="65"/>
      <c r="H26" s="65"/>
      <c r="I26" s="65"/>
      <c r="Q26" s="50" t="s">
        <v>58</v>
      </c>
      <c r="AG26" s="50" t="s">
        <v>59</v>
      </c>
      <c r="AH26" s="50" t="s">
        <v>58</v>
      </c>
    </row>
    <row r="27" spans="1:35">
      <c r="A27" s="158">
        <v>21</v>
      </c>
      <c r="B27" s="50" t="s">
        <v>62</v>
      </c>
      <c r="C27" s="59">
        <f t="shared" ref="C27:F27" si="19">C26/C7</f>
        <v>5.7534976960160487E-2</v>
      </c>
      <c r="D27" s="59">
        <f t="shared" ref="D27:E27" si="20">D26/D7</f>
        <v>-0.15205580775429467</v>
      </c>
      <c r="E27" s="59">
        <f t="shared" si="20"/>
        <v>-0.49077494419379691</v>
      </c>
      <c r="F27" s="59">
        <f t="shared" si="19"/>
        <v>-2.2351309040221819E-3</v>
      </c>
      <c r="G27" s="180"/>
      <c r="H27" s="65"/>
      <c r="I27" s="65"/>
      <c r="Q27" s="50" t="s">
        <v>62</v>
      </c>
      <c r="AG27" s="50" t="s">
        <v>61</v>
      </c>
      <c r="AH27" s="50" t="s">
        <v>62</v>
      </c>
    </row>
    <row r="28" spans="1:35">
      <c r="G28" s="65"/>
      <c r="H28" s="65"/>
      <c r="I28" s="65"/>
      <c r="Q28" s="50"/>
    </row>
    <row r="29" spans="1:35">
      <c r="A29" s="46" t="s">
        <v>63</v>
      </c>
      <c r="F29" s="47" t="s">
        <v>150</v>
      </c>
      <c r="G29" s="65"/>
      <c r="H29" s="65"/>
      <c r="I29" s="65"/>
      <c r="Q29" s="50"/>
      <c r="AG29" s="46" t="s">
        <v>63</v>
      </c>
    </row>
    <row r="30" spans="1:35">
      <c r="A30" s="50" t="s">
        <v>66</v>
      </c>
      <c r="B30" s="53" t="s">
        <v>67</v>
      </c>
      <c r="C30" s="57"/>
      <c r="D30" s="57"/>
      <c r="E30" s="57"/>
      <c r="F30" s="57"/>
      <c r="G30" s="65"/>
      <c r="H30" s="65"/>
      <c r="I30" s="65"/>
      <c r="K30" s="65"/>
      <c r="Q30" s="53" t="s">
        <v>67</v>
      </c>
      <c r="AG30" s="50" t="s">
        <v>68</v>
      </c>
      <c r="AH30" s="53" t="s">
        <v>67</v>
      </c>
    </row>
    <row r="31" spans="1:35">
      <c r="A31" s="158">
        <v>1</v>
      </c>
      <c r="B31" s="55" t="s">
        <v>69</v>
      </c>
      <c r="C31" s="61">
        <f>销量!C8</f>
        <v>1650</v>
      </c>
      <c r="D31" s="61">
        <f>销量!D8</f>
        <v>430</v>
      </c>
      <c r="E31" s="61">
        <f>销量!E8</f>
        <v>70</v>
      </c>
      <c r="F31" s="57"/>
      <c r="G31" s="65"/>
      <c r="H31" s="65"/>
      <c r="I31" s="65"/>
      <c r="K31" s="65"/>
      <c r="Q31" s="50" t="s">
        <v>69</v>
      </c>
      <c r="AG31" s="50" t="s">
        <v>21</v>
      </c>
      <c r="AH31" s="50" t="s">
        <v>69</v>
      </c>
    </row>
    <row r="32" spans="1:35">
      <c r="A32" s="158">
        <v>2</v>
      </c>
      <c r="B32" s="50" t="s">
        <v>151</v>
      </c>
      <c r="C32" s="52">
        <f>C9/C6</f>
        <v>1584.66</v>
      </c>
      <c r="D32" s="52">
        <f t="shared" ref="D32:E32" si="21">D9/D6</f>
        <v>412.97199999999998</v>
      </c>
      <c r="E32" s="52">
        <f t="shared" si="21"/>
        <v>67.227999999999994</v>
      </c>
      <c r="F32" s="57"/>
      <c r="G32" s="65"/>
      <c r="H32" s="65"/>
      <c r="I32" s="65"/>
      <c r="J32" s="65"/>
      <c r="K32" s="65"/>
      <c r="L32" s="65"/>
      <c r="M32" s="65"/>
      <c r="AG32" s="50"/>
      <c r="AH32" s="50"/>
    </row>
    <row r="33" spans="1:34">
      <c r="A33" s="158">
        <v>3</v>
      </c>
      <c r="B33" s="55" t="s">
        <v>70</v>
      </c>
      <c r="C33" s="52">
        <f>材料成本!G20</f>
        <v>1109.8092442809207</v>
      </c>
      <c r="D33" s="52">
        <f>材料成本!G21</f>
        <v>376.99787581387613</v>
      </c>
      <c r="E33" s="52">
        <f>材料成本!G22</f>
        <v>77.478675923566684</v>
      </c>
      <c r="F33" s="57"/>
      <c r="H33" s="65"/>
      <c r="I33" s="65"/>
      <c r="J33" s="65"/>
      <c r="K33" s="65"/>
      <c r="L33" s="65"/>
      <c r="M33" s="65"/>
      <c r="Q33" s="50" t="s">
        <v>70</v>
      </c>
      <c r="AG33" s="50" t="s">
        <v>23</v>
      </c>
      <c r="AH33" s="50" t="s">
        <v>70</v>
      </c>
    </row>
    <row r="34" spans="1:34" ht="17.25" customHeight="1">
      <c r="A34" s="158">
        <v>4</v>
      </c>
      <c r="B34" s="50" t="s">
        <v>72</v>
      </c>
      <c r="C34" s="62">
        <f>C32-C33</f>
        <v>474.85075571907942</v>
      </c>
      <c r="D34" s="62">
        <f t="shared" ref="D34:E34" si="22">D32-D33</f>
        <v>35.974124186123845</v>
      </c>
      <c r="E34" s="62">
        <f t="shared" si="22"/>
        <v>-10.250675923566689</v>
      </c>
      <c r="F34" s="57"/>
      <c r="H34" s="65"/>
      <c r="I34" s="65"/>
      <c r="J34" s="65"/>
      <c r="K34" s="65"/>
      <c r="L34" s="65"/>
      <c r="M34" s="65"/>
      <c r="Q34" s="50" t="s">
        <v>72</v>
      </c>
      <c r="AG34" s="50" t="s">
        <v>71</v>
      </c>
      <c r="AH34" s="50" t="s">
        <v>72</v>
      </c>
    </row>
    <row r="35" spans="1:34">
      <c r="A35" s="50" t="s">
        <v>68</v>
      </c>
      <c r="B35" s="53" t="s">
        <v>8</v>
      </c>
      <c r="C35" s="57"/>
      <c r="D35" s="57"/>
      <c r="E35" s="57"/>
      <c r="F35" s="57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53" t="s">
        <v>8</v>
      </c>
      <c r="AG35" s="50" t="s">
        <v>74</v>
      </c>
      <c r="AH35" s="53" t="s">
        <v>8</v>
      </c>
    </row>
    <row r="36" spans="1:34">
      <c r="A36" s="158">
        <v>1</v>
      </c>
      <c r="B36" s="50" t="s">
        <v>75</v>
      </c>
      <c r="C36" s="56">
        <f>'2023年'!C36</f>
        <v>92.762977514551324</v>
      </c>
      <c r="D36" s="56">
        <f>'2023年'!D36</f>
        <v>24.174594140155801</v>
      </c>
      <c r="E36" s="56">
        <f>'2023年'!E36</f>
        <v>3.9353990460718746</v>
      </c>
      <c r="F36" s="61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0" t="s">
        <v>75</v>
      </c>
      <c r="AG36" s="50" t="s">
        <v>71</v>
      </c>
      <c r="AH36" s="50" t="s">
        <v>75</v>
      </c>
    </row>
    <row r="37" spans="1:34">
      <c r="A37" s="158">
        <v>2</v>
      </c>
      <c r="B37" s="50" t="s">
        <v>76</v>
      </c>
      <c r="C37" s="56">
        <f>'2023年'!C37</f>
        <v>24.8753828417764</v>
      </c>
      <c r="D37" s="56">
        <f>'2023年'!D37</f>
        <v>6.4826755284629405</v>
      </c>
      <c r="E37" s="56">
        <f>'2023年'!E37</f>
        <v>1.0553192720753624</v>
      </c>
      <c r="F37" s="61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0" t="s">
        <v>76</v>
      </c>
      <c r="AG37" s="50" t="s">
        <v>26</v>
      </c>
      <c r="AH37" s="50" t="s">
        <v>76</v>
      </c>
    </row>
    <row r="38" spans="1:34">
      <c r="A38" s="158">
        <v>3</v>
      </c>
      <c r="B38" s="50" t="s">
        <v>77</v>
      </c>
      <c r="C38" s="56">
        <f>'2023年'!C38</f>
        <v>65.999999999999986</v>
      </c>
      <c r="D38" s="56">
        <f>'2023年'!D38</f>
        <v>17.199999999999996</v>
      </c>
      <c r="E38" s="56">
        <f>'2023年'!E38</f>
        <v>2.7999999999999994</v>
      </c>
      <c r="F38" s="61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50" t="s">
        <v>77</v>
      </c>
      <c r="AG38" s="50" t="s">
        <v>32</v>
      </c>
      <c r="AH38" s="50" t="s">
        <v>77</v>
      </c>
    </row>
    <row r="39" spans="1:34">
      <c r="A39" s="50" t="s">
        <v>74</v>
      </c>
      <c r="B39" s="53" t="s">
        <v>79</v>
      </c>
      <c r="C39" s="57"/>
      <c r="D39" s="57"/>
      <c r="E39" s="57"/>
      <c r="F39" s="57"/>
      <c r="Q39" s="53" t="s">
        <v>79</v>
      </c>
      <c r="AG39" s="50" t="s">
        <v>78</v>
      </c>
      <c r="AH39" s="53" t="s">
        <v>79</v>
      </c>
    </row>
    <row r="40" spans="1:34">
      <c r="A40" s="158">
        <v>1</v>
      </c>
      <c r="B40" s="50" t="s">
        <v>81</v>
      </c>
      <c r="C40" s="57">
        <f>C34-C36-C37-C38</f>
        <v>291.21239536275169</v>
      </c>
      <c r="D40" s="57">
        <f t="shared" ref="D40:E40" si="23">D34-D36-D37-D38</f>
        <v>-11.883145482494893</v>
      </c>
      <c r="E40" s="57">
        <f t="shared" si="23"/>
        <v>-18.041394241713927</v>
      </c>
      <c r="F40" s="57"/>
      <c r="Q40" s="50" t="s">
        <v>81</v>
      </c>
      <c r="AG40" s="50" t="s">
        <v>21</v>
      </c>
      <c r="AH40" s="50" t="s">
        <v>81</v>
      </c>
    </row>
    <row r="41" spans="1:34">
      <c r="A41" s="158">
        <v>2</v>
      </c>
      <c r="B41" s="50" t="s">
        <v>82</v>
      </c>
      <c r="C41" s="57"/>
      <c r="D41" s="57"/>
      <c r="E41" s="57"/>
      <c r="F41" s="57"/>
      <c r="Q41" s="50" t="s">
        <v>82</v>
      </c>
      <c r="AG41" s="50" t="s">
        <v>23</v>
      </c>
      <c r="AH41" s="50" t="s">
        <v>82</v>
      </c>
    </row>
    <row r="42" spans="1:34">
      <c r="A42" s="50" t="s">
        <v>78</v>
      </c>
      <c r="B42" s="53" t="s">
        <v>84</v>
      </c>
      <c r="C42" s="57"/>
      <c r="D42" s="57"/>
      <c r="E42" s="57"/>
      <c r="F42" s="57"/>
      <c r="Q42" s="53" t="s">
        <v>84</v>
      </c>
      <c r="AG42" s="50" t="s">
        <v>83</v>
      </c>
      <c r="AH42" s="53" t="s">
        <v>84</v>
      </c>
    </row>
    <row r="43" spans="1:34">
      <c r="A43" s="158">
        <v>1</v>
      </c>
      <c r="B43" s="58" t="s">
        <v>85</v>
      </c>
      <c r="C43" s="56">
        <f>'2023年'!C43</f>
        <v>74.25</v>
      </c>
      <c r="D43" s="56">
        <f>'2023年'!D43</f>
        <v>19.349999999999998</v>
      </c>
      <c r="E43" s="56">
        <f>'2023年'!E43</f>
        <v>3.15</v>
      </c>
      <c r="F43" s="57"/>
      <c r="Q43" s="50" t="s">
        <v>85</v>
      </c>
      <c r="AG43" s="50" t="s">
        <v>21</v>
      </c>
      <c r="AH43" s="50" t="s">
        <v>85</v>
      </c>
    </row>
    <row r="44" spans="1:34">
      <c r="A44" s="158">
        <v>2</v>
      </c>
      <c r="B44" s="58" t="s">
        <v>86</v>
      </c>
      <c r="C44" s="56">
        <f>'2023年'!C44</f>
        <v>11.55</v>
      </c>
      <c r="D44" s="56">
        <f>'2023年'!D44</f>
        <v>3.0100000000000002</v>
      </c>
      <c r="E44" s="56">
        <f>'2023年'!E44</f>
        <v>0.49</v>
      </c>
      <c r="F44" s="57"/>
      <c r="Q44" s="50" t="s">
        <v>86</v>
      </c>
      <c r="AG44" s="50" t="s">
        <v>23</v>
      </c>
      <c r="AH44" s="50" t="s">
        <v>86</v>
      </c>
    </row>
    <row r="45" spans="1:34">
      <c r="A45" s="158">
        <v>3</v>
      </c>
      <c r="B45" s="58" t="s">
        <v>87</v>
      </c>
      <c r="C45" s="56">
        <f>'2023年'!C45</f>
        <v>49.5</v>
      </c>
      <c r="D45" s="56">
        <f>'2023年'!D45</f>
        <v>12.9</v>
      </c>
      <c r="E45" s="56">
        <f>'2023年'!E45</f>
        <v>2.1</v>
      </c>
      <c r="F45" s="57"/>
      <c r="Q45" s="50" t="s">
        <v>87</v>
      </c>
      <c r="AG45" s="50" t="s">
        <v>71</v>
      </c>
      <c r="AH45" s="50" t="s">
        <v>87</v>
      </c>
    </row>
    <row r="46" spans="1:34" s="45" customFormat="1">
      <c r="A46" s="158">
        <v>4</v>
      </c>
      <c r="B46" s="58" t="s">
        <v>88</v>
      </c>
      <c r="C46" s="63">
        <f>C21/C6</f>
        <v>9.0818518518518516</v>
      </c>
      <c r="D46" s="63">
        <f t="shared" ref="D46:E46" si="24">D21/D6</f>
        <v>9.0818518518518516</v>
      </c>
      <c r="E46" s="63">
        <f t="shared" si="24"/>
        <v>9.0818518518518516</v>
      </c>
      <c r="F46" s="63"/>
      <c r="Q46" s="58" t="s">
        <v>90</v>
      </c>
      <c r="AG46" s="58" t="s">
        <v>29</v>
      </c>
      <c r="AH46" s="58" t="s">
        <v>90</v>
      </c>
    </row>
    <row r="47" spans="1:34" s="45" customFormat="1">
      <c r="A47" s="158">
        <v>5</v>
      </c>
      <c r="B47" s="58" t="s">
        <v>90</v>
      </c>
      <c r="C47" s="63">
        <f>'2023年'!C47</f>
        <v>35.144999999999996</v>
      </c>
      <c r="D47" s="63">
        <f>'2023年'!D47</f>
        <v>9.1589999999999989</v>
      </c>
      <c r="E47" s="63">
        <f>'2023年'!E47</f>
        <v>1.4909999999999999</v>
      </c>
      <c r="F47" s="63"/>
      <c r="Q47" s="58" t="s">
        <v>90</v>
      </c>
      <c r="AG47" s="58" t="s">
        <v>29</v>
      </c>
      <c r="AH47" s="58" t="s">
        <v>90</v>
      </c>
    </row>
    <row r="48" spans="1:34">
      <c r="A48" s="50" t="s">
        <v>83</v>
      </c>
      <c r="B48" s="53" t="s">
        <v>101</v>
      </c>
      <c r="C48" s="57">
        <f>C40-C43-C44-C45-C47-C46</f>
        <v>111.68554351089983</v>
      </c>
      <c r="D48" s="57">
        <f t="shared" ref="D48:E48" si="25">D40-D43-D44-D45-D47-D46</f>
        <v>-65.383997334346731</v>
      </c>
      <c r="E48" s="57">
        <f t="shared" si="25"/>
        <v>-34.354246093565777</v>
      </c>
      <c r="F48" s="57"/>
      <c r="Q48" s="53" t="s">
        <v>101</v>
      </c>
      <c r="AG48" s="50" t="s">
        <v>100</v>
      </c>
      <c r="AH48" s="53" t="s">
        <v>101</v>
      </c>
    </row>
    <row r="51" spans="2:11">
      <c r="C51" s="64"/>
      <c r="D51" s="64"/>
      <c r="E51" s="64"/>
    </row>
    <row r="54" spans="2:11">
      <c r="B54" s="65"/>
      <c r="C54" s="66"/>
      <c r="D54" s="66"/>
      <c r="E54" s="66"/>
      <c r="F54" s="66"/>
      <c r="G54" s="65"/>
      <c r="H54" s="65"/>
      <c r="I54" s="65"/>
      <c r="J54" s="65"/>
      <c r="K54" s="65"/>
    </row>
    <row r="55" spans="2:11">
      <c r="B55" s="65"/>
      <c r="C55" s="66"/>
      <c r="D55" s="66"/>
      <c r="E55" s="66"/>
      <c r="F55" s="66"/>
      <c r="G55" s="65"/>
      <c r="H55" s="65"/>
      <c r="I55" s="65"/>
      <c r="J55" s="65"/>
      <c r="K55" s="65"/>
    </row>
    <row r="56" spans="2:11">
      <c r="B56" s="65"/>
      <c r="C56" s="66"/>
      <c r="D56" s="66"/>
      <c r="E56" s="66"/>
      <c r="F56" s="66"/>
      <c r="G56" s="65"/>
      <c r="H56" s="65"/>
      <c r="I56" s="65"/>
      <c r="J56" s="65"/>
      <c r="K56" s="65"/>
    </row>
    <row r="57" spans="2:11">
      <c r="B57" s="65"/>
      <c r="C57" s="66"/>
      <c r="D57" s="66"/>
      <c r="E57" s="66"/>
      <c r="F57" s="66"/>
      <c r="G57" s="65"/>
      <c r="H57" s="65"/>
      <c r="I57" s="65"/>
      <c r="J57" s="65"/>
      <c r="K57" s="65"/>
    </row>
    <row r="58" spans="2:11">
      <c r="B58" s="65"/>
      <c r="C58" s="66"/>
      <c r="D58" s="66"/>
      <c r="E58" s="66"/>
      <c r="F58" s="66"/>
      <c r="G58" s="65"/>
      <c r="H58" s="65"/>
      <c r="I58" s="65"/>
      <c r="J58" s="65"/>
      <c r="K58" s="65"/>
    </row>
    <row r="59" spans="2:11">
      <c r="B59" s="65"/>
      <c r="C59" s="66"/>
      <c r="D59" s="66"/>
      <c r="E59" s="66"/>
      <c r="F59" s="66"/>
      <c r="G59" s="65"/>
      <c r="H59" s="65"/>
      <c r="I59" s="65"/>
      <c r="J59" s="65"/>
      <c r="K59" s="65"/>
    </row>
    <row r="60" spans="2:11">
      <c r="B60" s="65"/>
      <c r="C60" s="66"/>
      <c r="D60" s="66"/>
      <c r="E60" s="66"/>
      <c r="F60" s="66"/>
      <c r="G60" s="65"/>
      <c r="H60" s="65"/>
      <c r="I60" s="65"/>
      <c r="J60" s="65"/>
      <c r="K60" s="65"/>
    </row>
    <row r="61" spans="2:11">
      <c r="B61" s="65"/>
      <c r="C61" s="66"/>
      <c r="D61" s="66"/>
      <c r="E61" s="66"/>
      <c r="F61" s="66"/>
      <c r="G61" s="65"/>
      <c r="H61" s="65"/>
      <c r="I61" s="65"/>
      <c r="J61" s="65"/>
      <c r="K61" s="65"/>
    </row>
    <row r="62" spans="2:11">
      <c r="B62" s="65"/>
      <c r="C62" s="66"/>
      <c r="D62" s="66"/>
      <c r="E62" s="66"/>
      <c r="F62" s="66"/>
      <c r="G62" s="65"/>
      <c r="H62" s="65"/>
      <c r="I62" s="65"/>
      <c r="J62" s="65"/>
      <c r="K62" s="65"/>
    </row>
    <row r="63" spans="2:11">
      <c r="B63" s="65"/>
      <c r="C63" s="66"/>
      <c r="D63" s="66"/>
      <c r="E63" s="66"/>
      <c r="F63" s="66"/>
      <c r="G63" s="65"/>
      <c r="H63" s="65"/>
      <c r="I63" s="65"/>
      <c r="J63" s="65"/>
      <c r="K63" s="65"/>
    </row>
    <row r="64" spans="2:11">
      <c r="B64" s="65"/>
      <c r="C64" s="66"/>
      <c r="D64" s="66"/>
      <c r="E64" s="66"/>
      <c r="F64" s="66"/>
      <c r="G64" s="65"/>
      <c r="H64" s="65"/>
      <c r="I64" s="65"/>
      <c r="J64" s="65"/>
      <c r="K64" s="65"/>
    </row>
    <row r="65" spans="2:11">
      <c r="B65" s="65"/>
      <c r="C65" s="66"/>
      <c r="D65" s="66"/>
      <c r="E65" s="66"/>
      <c r="F65" s="66"/>
      <c r="G65" s="65"/>
      <c r="H65" s="65"/>
      <c r="I65" s="65"/>
      <c r="J65" s="65"/>
      <c r="K65" s="65"/>
    </row>
    <row r="66" spans="2:11">
      <c r="B66" s="65"/>
      <c r="C66" s="66"/>
      <c r="D66" s="66"/>
      <c r="E66" s="66"/>
      <c r="F66" s="66"/>
      <c r="G66" s="65"/>
      <c r="H66" s="65"/>
      <c r="I66" s="65"/>
      <c r="J66" s="65"/>
      <c r="K66" s="65"/>
    </row>
    <row r="67" spans="2:11">
      <c r="B67" s="65"/>
      <c r="C67" s="66"/>
      <c r="D67" s="66"/>
      <c r="E67" s="66"/>
      <c r="F67" s="66"/>
      <c r="G67" s="65"/>
    </row>
    <row r="68" spans="2:11">
      <c r="B68" s="65"/>
      <c r="C68" s="66"/>
      <c r="D68" s="66"/>
      <c r="E68" s="66"/>
      <c r="F68" s="66"/>
      <c r="G68" s="65"/>
    </row>
    <row r="69" spans="2:11">
      <c r="B69" s="65"/>
      <c r="C69" s="66"/>
      <c r="D69" s="66"/>
      <c r="E69" s="66"/>
      <c r="F69" s="66"/>
      <c r="G69" s="65"/>
    </row>
    <row r="70" spans="2:11">
      <c r="B70" s="65"/>
      <c r="C70" s="66"/>
      <c r="D70" s="66"/>
      <c r="E70" s="66"/>
      <c r="F70" s="66"/>
      <c r="G70" s="65"/>
    </row>
    <row r="71" spans="2:11">
      <c r="B71" s="65"/>
      <c r="C71" s="66"/>
      <c r="D71" s="66"/>
      <c r="E71" s="66"/>
      <c r="F71" s="66"/>
      <c r="G71" s="65"/>
    </row>
    <row r="72" spans="2:11">
      <c r="B72" s="65"/>
      <c r="C72" s="66"/>
      <c r="D72" s="66"/>
      <c r="E72" s="66"/>
      <c r="F72" s="66"/>
      <c r="G72" s="65"/>
    </row>
    <row r="73" spans="2:11">
      <c r="B73" s="65"/>
      <c r="C73" s="66"/>
      <c r="D73" s="66"/>
      <c r="E73" s="66"/>
      <c r="F73" s="66"/>
      <c r="G73" s="65"/>
    </row>
    <row r="74" spans="2:11">
      <c r="B74" s="65"/>
      <c r="C74" s="66"/>
      <c r="D74" s="66"/>
      <c r="E74" s="66"/>
      <c r="F74" s="66"/>
      <c r="G74" s="65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5" activePane="bottomRight" state="frozen"/>
      <selection pane="topRight"/>
      <selection pane="bottomLeft"/>
      <selection pane="bottomRight" activeCell="D23" sqref="D23"/>
    </sheetView>
  </sheetViews>
  <sheetFormatPr defaultColWidth="9" defaultRowHeight="14"/>
  <cols>
    <col min="1" max="1" width="20.6328125" customWidth="1"/>
    <col min="2" max="2" width="14.26953125" style="25" customWidth="1"/>
    <col min="3" max="3" width="13.08984375" customWidth="1"/>
    <col min="4" max="6" width="14.453125" customWidth="1"/>
    <col min="7" max="7" width="19.36328125" bestFit="1" customWidth="1"/>
    <col min="8" max="8" width="26.36328125" customWidth="1"/>
    <col min="9" max="9" width="24.7265625" customWidth="1"/>
    <col min="10" max="10" width="14.08984375" customWidth="1"/>
  </cols>
  <sheetData>
    <row r="1" spans="1:9" ht="21">
      <c r="A1" s="239" t="s">
        <v>152</v>
      </c>
      <c r="B1" s="239"/>
      <c r="C1" s="239"/>
      <c r="E1" s="240" t="s">
        <v>261</v>
      </c>
      <c r="F1" s="241"/>
      <c r="G1" s="241"/>
      <c r="H1" s="242"/>
    </row>
    <row r="2" spans="1:9" ht="23.5" customHeight="1">
      <c r="A2" s="26" t="s">
        <v>1</v>
      </c>
      <c r="B2" s="27" t="s">
        <v>153</v>
      </c>
      <c r="C2" s="28" t="s">
        <v>154</v>
      </c>
      <c r="E2" s="1" t="s">
        <v>155</v>
      </c>
      <c r="F2" s="1" t="s">
        <v>1</v>
      </c>
      <c r="G2" s="29" t="s">
        <v>156</v>
      </c>
      <c r="H2" s="1" t="s">
        <v>154</v>
      </c>
    </row>
    <row r="3" spans="1:9" ht="15.75" customHeight="1">
      <c r="A3" s="30" t="s">
        <v>157</v>
      </c>
      <c r="B3" s="31"/>
      <c r="C3" s="32"/>
      <c r="E3" s="233" t="s">
        <v>158</v>
      </c>
      <c r="F3" s="2" t="s">
        <v>159</v>
      </c>
      <c r="G3" s="168">
        <v>0</v>
      </c>
      <c r="H3" s="193"/>
    </row>
    <row r="4" spans="1:9" ht="15.75" customHeight="1">
      <c r="A4" s="30" t="s">
        <v>160</v>
      </c>
      <c r="B4" s="31"/>
      <c r="C4" s="33"/>
      <c r="E4" s="234"/>
      <c r="F4" s="2" t="s">
        <v>161</v>
      </c>
      <c r="G4" s="168">
        <v>0</v>
      </c>
      <c r="H4" s="193"/>
    </row>
    <row r="5" spans="1:9" ht="15.75" customHeight="1">
      <c r="A5" s="30" t="s">
        <v>162</v>
      </c>
      <c r="B5" s="34">
        <f>SUM(G3:G4)</f>
        <v>0</v>
      </c>
      <c r="C5" s="32"/>
      <c r="E5" s="235" t="s">
        <v>163</v>
      </c>
      <c r="F5" s="35" t="s">
        <v>164</v>
      </c>
      <c r="G5" s="168">
        <v>0</v>
      </c>
      <c r="H5" s="194"/>
    </row>
    <row r="6" spans="1:9" ht="15.75" customHeight="1">
      <c r="A6" s="30" t="s">
        <v>165</v>
      </c>
      <c r="B6" s="31"/>
      <c r="C6" s="32"/>
      <c r="E6" s="236"/>
      <c r="F6" s="35" t="s">
        <v>166</v>
      </c>
      <c r="G6" s="168">
        <v>0</v>
      </c>
      <c r="H6" s="193"/>
    </row>
    <row r="7" spans="1:9" ht="15.75" customHeight="1">
      <c r="A7" s="36" t="s">
        <v>167</v>
      </c>
      <c r="B7" s="34">
        <f>SUM(B3:B6)</f>
        <v>0</v>
      </c>
      <c r="C7" s="32"/>
      <c r="E7" s="236"/>
      <c r="F7" s="35" t="s">
        <v>168</v>
      </c>
      <c r="G7" s="168"/>
      <c r="H7" s="193"/>
    </row>
    <row r="8" spans="1:9" ht="15.75" customHeight="1">
      <c r="A8" s="37" t="s">
        <v>169</v>
      </c>
      <c r="B8" s="34">
        <f>SUM(G5:G12)</f>
        <v>0</v>
      </c>
      <c r="C8" s="38"/>
      <c r="E8" s="236"/>
      <c r="F8" s="35" t="s">
        <v>170</v>
      </c>
      <c r="G8" s="168"/>
      <c r="H8" s="193"/>
    </row>
    <row r="9" spans="1:9" ht="15.75" customHeight="1">
      <c r="A9" s="30" t="s">
        <v>171</v>
      </c>
      <c r="B9" s="34">
        <f>SUM(G13:G21)</f>
        <v>24.520999999999997</v>
      </c>
      <c r="C9" s="32"/>
      <c r="E9" s="236"/>
      <c r="F9" s="2" t="s">
        <v>172</v>
      </c>
      <c r="G9" s="168"/>
      <c r="H9" s="195"/>
    </row>
    <row r="10" spans="1:9" ht="15.75" customHeight="1">
      <c r="A10" s="33" t="s">
        <v>17</v>
      </c>
      <c r="B10" s="34">
        <f>B7+B8+B9</f>
        <v>24.520999999999997</v>
      </c>
      <c r="C10" s="32"/>
      <c r="E10" s="236"/>
      <c r="F10" s="2" t="s">
        <v>173</v>
      </c>
      <c r="G10" s="168"/>
      <c r="H10" s="193"/>
    </row>
    <row r="11" spans="1:9" ht="15.75" customHeight="1">
      <c r="E11" s="236"/>
      <c r="F11" s="2" t="s">
        <v>174</v>
      </c>
      <c r="G11" s="168">
        <v>0</v>
      </c>
      <c r="H11" s="193"/>
    </row>
    <row r="12" spans="1:9" ht="15.75" customHeight="1">
      <c r="E12" s="237"/>
      <c r="F12" s="2" t="s">
        <v>175</v>
      </c>
      <c r="G12" s="168">
        <v>0</v>
      </c>
      <c r="H12" s="193"/>
    </row>
    <row r="13" spans="1:9" ht="15.75" customHeight="1">
      <c r="E13" s="233" t="s">
        <v>49</v>
      </c>
      <c r="F13" s="2" t="s">
        <v>176</v>
      </c>
      <c r="G13" s="212">
        <v>0</v>
      </c>
      <c r="H13" s="213"/>
    </row>
    <row r="14" spans="1:9" ht="15.75" customHeight="1">
      <c r="E14" s="234"/>
      <c r="F14" s="2" t="s">
        <v>177</v>
      </c>
      <c r="G14" s="212">
        <v>0.97599999999999998</v>
      </c>
      <c r="H14" s="211" t="s">
        <v>298</v>
      </c>
      <c r="I14" s="210"/>
    </row>
    <row r="15" spans="1:9" ht="15.75" customHeight="1">
      <c r="E15" s="234"/>
      <c r="F15" s="2" t="s">
        <v>178</v>
      </c>
      <c r="G15" s="212">
        <v>0</v>
      </c>
      <c r="H15" s="211"/>
      <c r="I15" s="210"/>
    </row>
    <row r="16" spans="1:9" ht="15.75" customHeight="1">
      <c r="E16" s="234"/>
      <c r="F16" s="2" t="s">
        <v>179</v>
      </c>
      <c r="G16" s="212">
        <v>1.3</v>
      </c>
      <c r="H16" s="211"/>
      <c r="I16" s="210"/>
    </row>
    <row r="17" spans="1:10" ht="15.75" customHeight="1">
      <c r="E17" s="234"/>
      <c r="F17" s="2" t="s">
        <v>180</v>
      </c>
      <c r="G17" s="212">
        <v>1</v>
      </c>
      <c r="H17" s="211"/>
      <c r="I17" s="210"/>
    </row>
    <row r="18" spans="1:10" ht="15.75" customHeight="1">
      <c r="E18" s="234"/>
      <c r="F18" s="2" t="s">
        <v>181</v>
      </c>
      <c r="G18" s="212">
        <v>16.785</v>
      </c>
      <c r="H18" s="213" t="s">
        <v>299</v>
      </c>
      <c r="I18" s="210"/>
    </row>
    <row r="19" spans="1:10" ht="15.75" customHeight="1">
      <c r="E19" s="234"/>
      <c r="F19" s="2" t="s">
        <v>182</v>
      </c>
      <c r="G19" s="212">
        <v>4.22</v>
      </c>
      <c r="H19" s="211" t="s">
        <v>300</v>
      </c>
      <c r="I19" s="210"/>
    </row>
    <row r="20" spans="1:10" ht="15.75" customHeight="1">
      <c r="E20" s="234"/>
      <c r="F20" s="2" t="s">
        <v>183</v>
      </c>
      <c r="G20" s="212">
        <v>0.2</v>
      </c>
      <c r="H20" s="211"/>
      <c r="I20" s="210"/>
    </row>
    <row r="21" spans="1:10" ht="15.75" customHeight="1">
      <c r="E21" s="238"/>
      <c r="F21" s="2" t="s">
        <v>129</v>
      </c>
      <c r="G21" s="212">
        <v>0.04</v>
      </c>
      <c r="H21" s="211" t="s">
        <v>301</v>
      </c>
      <c r="I21" s="210"/>
    </row>
    <row r="22" spans="1:10" ht="15.75" customHeight="1">
      <c r="E22" s="1" t="s">
        <v>17</v>
      </c>
      <c r="F22" s="2"/>
      <c r="G22" s="29">
        <f>SUM(G3:G21)</f>
        <v>24.520999999999997</v>
      </c>
      <c r="H22" s="2"/>
    </row>
    <row r="23" spans="1:10" ht="30.75" customHeight="1">
      <c r="E23" s="229" t="s">
        <v>184</v>
      </c>
      <c r="F23" s="229"/>
      <c r="G23" s="229"/>
      <c r="H23" s="229"/>
    </row>
    <row r="25" spans="1:10" ht="16.5">
      <c r="A25" s="18" t="s">
        <v>1</v>
      </c>
      <c r="B25" s="18" t="s">
        <v>153</v>
      </c>
      <c r="C25" s="18" t="s">
        <v>185</v>
      </c>
      <c r="D25" s="169" t="s">
        <v>278</v>
      </c>
      <c r="E25" s="196" t="s">
        <v>186</v>
      </c>
      <c r="F25" s="196" t="s">
        <v>187</v>
      </c>
      <c r="G25" s="196" t="s">
        <v>234</v>
      </c>
      <c r="H25" s="196" t="s">
        <v>280</v>
      </c>
      <c r="I25" s="20" t="s">
        <v>17</v>
      </c>
      <c r="J25" s="42" t="s">
        <v>188</v>
      </c>
    </row>
    <row r="26" spans="1:10" ht="16.5">
      <c r="A26" s="39" t="s">
        <v>147</v>
      </c>
      <c r="B26" s="40">
        <f>(B5+B8)*10000</f>
        <v>0</v>
      </c>
      <c r="C26" s="41">
        <v>0.05</v>
      </c>
      <c r="D26" s="12">
        <f>B26*(1-C26)/3</f>
        <v>0</v>
      </c>
      <c r="E26" s="12">
        <f t="shared" ref="E26:F27" si="0">D26</f>
        <v>0</v>
      </c>
      <c r="F26" s="12">
        <f t="shared" si="0"/>
        <v>0</v>
      </c>
      <c r="G26" s="12"/>
      <c r="H26" s="12"/>
      <c r="I26" s="12">
        <f>SUM(D26:H26)</f>
        <v>0</v>
      </c>
      <c r="J26" s="12">
        <f>B26*0.05</f>
        <v>0</v>
      </c>
    </row>
    <row r="27" spans="1:10" ht="16.5">
      <c r="A27" s="39" t="s">
        <v>189</v>
      </c>
      <c r="B27" s="40">
        <f>B9*10000</f>
        <v>245209.99999999997</v>
      </c>
      <c r="C27" s="12"/>
      <c r="D27" s="12">
        <f>B27/3</f>
        <v>81736.666666666657</v>
      </c>
      <c r="E27" s="12">
        <f t="shared" si="0"/>
        <v>81736.666666666657</v>
      </c>
      <c r="F27" s="12">
        <f t="shared" si="0"/>
        <v>81736.666666666657</v>
      </c>
      <c r="G27" s="12"/>
      <c r="H27" s="12"/>
      <c r="I27" s="12">
        <f>SUM(D27:H27)</f>
        <v>245209.99999999997</v>
      </c>
      <c r="J27" s="12"/>
    </row>
    <row r="28" spans="1:10" ht="16.5">
      <c r="A28" s="230" t="s">
        <v>109</v>
      </c>
      <c r="B28" s="231"/>
      <c r="C28" s="232"/>
      <c r="D28" s="12">
        <f>SUM(D26:D27)</f>
        <v>81736.666666666657</v>
      </c>
      <c r="E28" s="12">
        <f t="shared" ref="E28:H28" si="1">SUM(E26:E27)</f>
        <v>81736.666666666657</v>
      </c>
      <c r="F28" s="12">
        <f t="shared" si="1"/>
        <v>81736.666666666657</v>
      </c>
      <c r="G28" s="12">
        <f t="shared" si="1"/>
        <v>0</v>
      </c>
      <c r="H28" s="12">
        <f t="shared" si="1"/>
        <v>0</v>
      </c>
      <c r="I28" s="43"/>
      <c r="J28" s="4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C5" sqref="C5:E6"/>
    </sheetView>
  </sheetViews>
  <sheetFormatPr defaultColWidth="9" defaultRowHeight="16.5"/>
  <cols>
    <col min="1" max="1" width="14" style="5" customWidth="1"/>
    <col min="2" max="2" width="14.08984375" style="5" customWidth="1"/>
    <col min="3" max="8" width="18.26953125" style="5" customWidth="1"/>
    <col min="9" max="9" width="11.6328125" style="5" customWidth="1"/>
    <col min="10" max="10" width="9.26953125" style="5" customWidth="1"/>
    <col min="11" max="11" width="9.08984375" style="5" customWidth="1"/>
    <col min="12" max="16384" width="9" style="5"/>
  </cols>
  <sheetData>
    <row r="1" spans="1:12" ht="29.25" customHeight="1">
      <c r="A1" s="15" t="s">
        <v>190</v>
      </c>
      <c r="E1" s="16"/>
      <c r="F1" s="16"/>
      <c r="G1" s="16"/>
      <c r="H1" s="16"/>
      <c r="I1" s="16"/>
    </row>
    <row r="2" spans="1:12" ht="24" customHeight="1">
      <c r="A2" s="17" t="s">
        <v>191</v>
      </c>
      <c r="E2" s="16"/>
      <c r="F2" s="16"/>
      <c r="G2" s="16"/>
      <c r="H2" s="16"/>
      <c r="I2" s="16"/>
    </row>
    <row r="3" spans="1:12">
      <c r="C3" s="5" t="s">
        <v>192</v>
      </c>
      <c r="D3" s="8" t="s">
        <v>253</v>
      </c>
      <c r="E3" s="161">
        <v>0.02</v>
      </c>
    </row>
    <row r="5" spans="1:12" ht="45" customHeight="1">
      <c r="A5" s="244" t="s">
        <v>193</v>
      </c>
      <c r="B5" s="7" t="s">
        <v>143</v>
      </c>
      <c r="C5" s="199" t="s">
        <v>272</v>
      </c>
      <c r="D5" s="198" t="s">
        <v>270</v>
      </c>
      <c r="E5" s="199" t="s">
        <v>271</v>
      </c>
      <c r="F5" s="199"/>
      <c r="G5" s="14"/>
      <c r="H5" s="14"/>
      <c r="I5" s="243" t="s">
        <v>17</v>
      </c>
    </row>
    <row r="6" spans="1:12" ht="31.5" customHeight="1">
      <c r="A6" s="244"/>
      <c r="B6" s="7" t="s">
        <v>144</v>
      </c>
      <c r="C6" s="198" t="s">
        <v>275</v>
      </c>
      <c r="D6" s="198" t="s">
        <v>273</v>
      </c>
      <c r="E6" s="198" t="s">
        <v>274</v>
      </c>
      <c r="F6" s="198"/>
      <c r="G6" s="14"/>
      <c r="H6" s="14"/>
      <c r="I6" s="243"/>
      <c r="K6" s="5">
        <v>100</v>
      </c>
    </row>
    <row r="7" spans="1:12" ht="27.75" customHeight="1">
      <c r="A7" s="244"/>
      <c r="B7" s="19" t="s">
        <v>194</v>
      </c>
      <c r="C7" s="200" t="s">
        <v>277</v>
      </c>
      <c r="D7" s="301" t="s">
        <v>276</v>
      </c>
      <c r="E7" s="302"/>
      <c r="F7" s="200"/>
      <c r="G7" s="303"/>
      <c r="H7" s="303"/>
      <c r="I7" s="243"/>
      <c r="K7" s="5">
        <f>K6*(1-$E$3)</f>
        <v>98</v>
      </c>
      <c r="L7" s="5">
        <f>K7/$K$6</f>
        <v>0.98</v>
      </c>
    </row>
    <row r="8" spans="1:12" ht="33">
      <c r="A8" s="244"/>
      <c r="B8" s="19" t="s">
        <v>195</v>
      </c>
      <c r="C8" s="201">
        <v>1650</v>
      </c>
      <c r="D8" s="201">
        <v>430</v>
      </c>
      <c r="E8" s="201">
        <v>70</v>
      </c>
      <c r="F8" s="304"/>
      <c r="G8" s="303"/>
      <c r="H8" s="303"/>
      <c r="I8" s="243"/>
      <c r="K8" s="5">
        <f>K7*(1-$E$3)</f>
        <v>96.039999999999992</v>
      </c>
      <c r="L8" s="5">
        <f t="shared" ref="L8:L10" si="0">K8/$K$6</f>
        <v>0.96039999999999992</v>
      </c>
    </row>
    <row r="9" spans="1:12" ht="17.5">
      <c r="A9" s="244" t="s">
        <v>196</v>
      </c>
      <c r="B9" s="170" t="s">
        <v>278</v>
      </c>
      <c r="C9" s="177">
        <v>2800</v>
      </c>
      <c r="D9" s="177">
        <v>2800</v>
      </c>
      <c r="E9" s="177">
        <v>2800</v>
      </c>
      <c r="F9" s="305"/>
      <c r="G9" s="305"/>
      <c r="H9" s="306"/>
      <c r="I9" s="24">
        <f>SUM(C9:H9)</f>
        <v>8400</v>
      </c>
      <c r="K9" s="5">
        <f t="shared" ref="K9:K10" si="1">K8*(1-$E$3)</f>
        <v>94.119199999999992</v>
      </c>
      <c r="L9" s="5">
        <f t="shared" si="0"/>
        <v>0.94119199999999992</v>
      </c>
    </row>
    <row r="10" spans="1:12" ht="17.5">
      <c r="A10" s="244"/>
      <c r="B10" s="170" t="s">
        <v>279</v>
      </c>
      <c r="C10" s="177">
        <v>3000</v>
      </c>
      <c r="D10" s="177">
        <v>3000</v>
      </c>
      <c r="E10" s="177">
        <v>3000</v>
      </c>
      <c r="F10" s="305"/>
      <c r="G10" s="305"/>
      <c r="H10" s="306"/>
      <c r="I10" s="24">
        <f t="shared" ref="I10:I14" si="2">SUM(C10:H10)</f>
        <v>9000</v>
      </c>
      <c r="K10" s="5">
        <f t="shared" si="1"/>
        <v>92.23681599999999</v>
      </c>
      <c r="L10" s="5">
        <f t="shared" si="0"/>
        <v>0.92236815999999988</v>
      </c>
    </row>
    <row r="11" spans="1:12" ht="17.5">
      <c r="A11" s="244"/>
      <c r="B11" s="197" t="s">
        <v>187</v>
      </c>
      <c r="C11" s="177">
        <v>3000</v>
      </c>
      <c r="D11" s="177">
        <v>3000</v>
      </c>
      <c r="E11" s="177">
        <v>3000</v>
      </c>
      <c r="F11" s="305"/>
      <c r="G11" s="305"/>
      <c r="H11" s="306"/>
      <c r="I11" s="24">
        <f t="shared" si="2"/>
        <v>9000</v>
      </c>
    </row>
    <row r="12" spans="1:12" ht="17.5">
      <c r="A12" s="244"/>
      <c r="B12" s="197" t="s">
        <v>234</v>
      </c>
      <c r="C12" s="177"/>
      <c r="D12" s="177"/>
      <c r="E12" s="177"/>
      <c r="F12" s="178"/>
      <c r="G12" s="178"/>
      <c r="H12" s="179"/>
      <c r="I12" s="24">
        <f t="shared" si="2"/>
        <v>0</v>
      </c>
    </row>
    <row r="13" spans="1:12" ht="17.5">
      <c r="A13" s="244"/>
      <c r="B13" s="197" t="s">
        <v>280</v>
      </c>
      <c r="C13" s="177"/>
      <c r="D13" s="177"/>
      <c r="E13" s="177"/>
      <c r="F13" s="178"/>
      <c r="G13" s="178"/>
      <c r="H13" s="179"/>
      <c r="I13" s="24">
        <f t="shared" si="2"/>
        <v>0</v>
      </c>
    </row>
    <row r="14" spans="1:12">
      <c r="A14" s="244"/>
      <c r="B14" s="170"/>
      <c r="C14" s="21"/>
      <c r="D14" s="21"/>
      <c r="E14" s="21"/>
      <c r="F14" s="21"/>
      <c r="G14" s="21"/>
      <c r="H14" s="21"/>
      <c r="I14" s="24">
        <f t="shared" si="2"/>
        <v>0</v>
      </c>
    </row>
    <row r="15" spans="1:12">
      <c r="A15" s="243" t="s">
        <v>17</v>
      </c>
      <c r="B15" s="243"/>
      <c r="C15" s="22">
        <f t="shared" ref="C15:I15" si="3">SUM(C9:C14)</f>
        <v>8800</v>
      </c>
      <c r="D15" s="22">
        <f t="shared" si="3"/>
        <v>8800</v>
      </c>
      <c r="E15" s="22">
        <f t="shared" si="3"/>
        <v>8800</v>
      </c>
      <c r="F15" s="22">
        <f t="shared" si="3"/>
        <v>0</v>
      </c>
      <c r="G15" s="22">
        <f t="shared" si="3"/>
        <v>0</v>
      </c>
      <c r="H15" s="22">
        <f t="shared" si="3"/>
        <v>0</v>
      </c>
      <c r="I15" s="22">
        <f t="shared" si="3"/>
        <v>26400</v>
      </c>
    </row>
    <row r="16" spans="1:12">
      <c r="A16" s="23"/>
      <c r="B16" s="23"/>
      <c r="C16" s="23"/>
    </row>
  </sheetData>
  <mergeCells count="5">
    <mergeCell ref="A15:B15"/>
    <mergeCell ref="A5:A8"/>
    <mergeCell ref="A9:A14"/>
    <mergeCell ref="I5:I8"/>
    <mergeCell ref="D7:E7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18" activePane="bottomRight" state="frozen"/>
      <selection pane="topRight"/>
      <selection pane="bottomLeft"/>
      <selection pane="bottomRight" activeCell="D4" sqref="D4"/>
    </sheetView>
  </sheetViews>
  <sheetFormatPr defaultColWidth="9" defaultRowHeight="16.5"/>
  <cols>
    <col min="1" max="1" width="8.36328125" style="5" customWidth="1"/>
    <col min="2" max="2" width="8.90625" style="5" customWidth="1"/>
    <col min="3" max="3" width="14" style="5" customWidth="1"/>
    <col min="4" max="4" width="19.7265625" style="5" customWidth="1"/>
    <col min="5" max="6" width="16.08984375" style="5" bestFit="1" customWidth="1"/>
    <col min="7" max="9" width="14.36328125" style="5" customWidth="1"/>
    <col min="10" max="10" width="17.36328125" style="5" customWidth="1"/>
    <col min="11" max="11" width="16" style="5" customWidth="1"/>
    <col min="12" max="16384" width="9" style="5"/>
  </cols>
  <sheetData>
    <row r="1" spans="1:11" s="4" customFormat="1" ht="28.5" customHeight="1">
      <c r="A1" s="259" t="s">
        <v>6</v>
      </c>
      <c r="B1" s="259"/>
      <c r="C1" s="6"/>
      <c r="K1" s="13"/>
    </row>
    <row r="2" spans="1:11">
      <c r="A2" s="260" t="s">
        <v>197</v>
      </c>
      <c r="B2" s="260"/>
      <c r="C2" s="261"/>
      <c r="D2" s="261"/>
      <c r="E2" s="262" t="s">
        <v>269</v>
      </c>
      <c r="F2" s="263"/>
      <c r="G2" s="263"/>
      <c r="H2" s="263"/>
      <c r="I2" s="263"/>
      <c r="J2" s="264"/>
    </row>
    <row r="3" spans="1:11">
      <c r="A3" s="250" t="s">
        <v>15</v>
      </c>
      <c r="B3" s="250" t="s">
        <v>198</v>
      </c>
      <c r="C3" s="7" t="s">
        <v>199</v>
      </c>
      <c r="D3" s="265" t="s">
        <v>313</v>
      </c>
      <c r="E3" s="265"/>
      <c r="F3" s="7" t="s">
        <v>200</v>
      </c>
      <c r="G3" s="251" t="s">
        <v>312</v>
      </c>
      <c r="H3" s="252"/>
      <c r="I3" s="253"/>
      <c r="J3" s="266" t="s">
        <v>154</v>
      </c>
    </row>
    <row r="4" spans="1:11" ht="66">
      <c r="A4" s="250"/>
      <c r="B4" s="250"/>
      <c r="C4" s="7" t="s">
        <v>143</v>
      </c>
      <c r="D4" s="308" t="str">
        <f>销量!C5</f>
        <v>空气悬挂主座椅（定阻尼、集成安全带、PVC+织物、通风）</v>
      </c>
      <c r="E4" s="308" t="str">
        <f>销量!D5</f>
        <v>TX固定式副驾驶员座椅（集成安全带、PVC+织物）</v>
      </c>
      <c r="F4" s="308" t="str">
        <f>销量!E5</f>
        <v>TX固定式副驾驶员座椅坐垫(PVC+织物)</v>
      </c>
      <c r="G4" s="159"/>
      <c r="H4" s="159"/>
      <c r="I4" s="159"/>
      <c r="J4" s="267"/>
    </row>
    <row r="5" spans="1:11">
      <c r="A5" s="250"/>
      <c r="B5" s="250"/>
      <c r="C5" s="7" t="s">
        <v>144</v>
      </c>
      <c r="D5" s="307" t="str">
        <f>销量!C6</f>
        <v>YZ166251000038</v>
      </c>
      <c r="E5" s="307" t="str">
        <f>销量!D6</f>
        <v>YZ166251000039</v>
      </c>
      <c r="F5" s="307" t="str">
        <f>销量!E6</f>
        <v>YZ166251000040</v>
      </c>
      <c r="G5" s="159"/>
      <c r="H5" s="159"/>
      <c r="I5" s="159"/>
      <c r="J5" s="268"/>
    </row>
    <row r="6" spans="1:11" ht="17.5">
      <c r="A6" s="186"/>
      <c r="B6" s="184"/>
      <c r="C6" s="185"/>
      <c r="D6" s="192" t="s">
        <v>311</v>
      </c>
      <c r="E6" s="191" t="s">
        <v>310</v>
      </c>
      <c r="F6" s="190" t="s">
        <v>309</v>
      </c>
      <c r="G6" s="159"/>
      <c r="H6" s="159"/>
      <c r="I6" s="159"/>
      <c r="J6" s="187"/>
    </row>
    <row r="7" spans="1:11" ht="16.5" customHeight="1">
      <c r="A7" s="10">
        <v>1</v>
      </c>
      <c r="B7" s="245" t="s">
        <v>235</v>
      </c>
      <c r="C7" s="246"/>
      <c r="D7" s="11">
        <v>1155.5698087056649</v>
      </c>
      <c r="E7" s="11">
        <v>392.54256123893811</v>
      </c>
      <c r="F7" s="11">
        <v>80.673340195300582</v>
      </c>
      <c r="G7" s="11"/>
      <c r="H7" s="11"/>
      <c r="I7" s="11"/>
      <c r="J7" s="172"/>
    </row>
    <row r="8" spans="1:11" ht="16.5" customHeight="1">
      <c r="A8" s="10">
        <v>2</v>
      </c>
      <c r="B8" s="245"/>
      <c r="C8" s="246"/>
      <c r="D8" s="9"/>
      <c r="E8" s="9"/>
      <c r="F8" s="9"/>
      <c r="G8" s="9"/>
      <c r="H8" s="9"/>
      <c r="I8" s="9"/>
      <c r="J8" s="14"/>
    </row>
    <row r="9" spans="1:11" ht="16.5" customHeight="1">
      <c r="A9" s="10">
        <v>3</v>
      </c>
      <c r="B9" s="245"/>
      <c r="C9" s="246"/>
      <c r="D9" s="11"/>
      <c r="E9" s="9"/>
      <c r="F9" s="11"/>
      <c r="G9" s="9"/>
      <c r="H9" s="11"/>
      <c r="I9" s="11"/>
      <c r="J9" s="14"/>
    </row>
    <row r="10" spans="1:11">
      <c r="A10" s="10">
        <v>4</v>
      </c>
      <c r="B10" s="245"/>
      <c r="C10" s="246"/>
      <c r="D10" s="11"/>
      <c r="E10" s="11"/>
      <c r="F10" s="11"/>
      <c r="G10" s="11"/>
      <c r="H10" s="9"/>
      <c r="I10" s="9"/>
      <c r="J10" s="14"/>
    </row>
    <row r="11" spans="1:11">
      <c r="A11" s="10">
        <v>5</v>
      </c>
      <c r="B11" s="245"/>
      <c r="C11" s="246"/>
      <c r="D11" s="9"/>
      <c r="E11" s="9"/>
      <c r="F11" s="9"/>
      <c r="G11" s="9"/>
      <c r="H11" s="9"/>
      <c r="I11" s="9"/>
      <c r="J11" s="14"/>
    </row>
    <row r="12" spans="1:11" ht="31.5" customHeight="1">
      <c r="A12" s="247" t="s">
        <v>201</v>
      </c>
      <c r="B12" s="248"/>
      <c r="C12" s="249"/>
      <c r="D12" s="12">
        <f>SUM(D7:D11)</f>
        <v>1155.5698087056649</v>
      </c>
      <c r="E12" s="12">
        <f>SUM(E7:E11)</f>
        <v>392.54256123893811</v>
      </c>
      <c r="F12" s="12">
        <f>SUM(F7:F11)</f>
        <v>80.673340195300582</v>
      </c>
      <c r="G12" s="12">
        <f>SUM(G7:G11)</f>
        <v>0</v>
      </c>
      <c r="H12" s="12">
        <f>SUM(H7:H11)</f>
        <v>0</v>
      </c>
      <c r="I12" s="12">
        <f>SUM(I7:I11)</f>
        <v>0</v>
      </c>
      <c r="J12" s="14"/>
    </row>
    <row r="13" spans="1:11">
      <c r="D13" s="162"/>
      <c r="E13" s="162"/>
    </row>
    <row r="17" spans="4:10" ht="27.75" customHeight="1">
      <c r="D17" s="244" t="s">
        <v>245</v>
      </c>
      <c r="E17" s="244"/>
      <c r="F17" s="244"/>
      <c r="G17" s="244"/>
      <c r="H17" s="244"/>
      <c r="I17" s="244"/>
      <c r="J17" s="244"/>
    </row>
    <row r="18" spans="4:10">
      <c r="D18" s="254" t="s">
        <v>232</v>
      </c>
      <c r="E18" s="256" t="s">
        <v>233</v>
      </c>
      <c r="F18" s="257"/>
      <c r="G18" s="257"/>
      <c r="H18" s="257"/>
      <c r="I18" s="257"/>
      <c r="J18" s="258"/>
    </row>
    <row r="19" spans="4:10">
      <c r="D19" s="255"/>
      <c r="E19" s="166" t="s">
        <v>247</v>
      </c>
      <c r="F19" s="166" t="s">
        <v>248</v>
      </c>
      <c r="G19" s="166" t="s">
        <v>249</v>
      </c>
      <c r="H19" s="166" t="s">
        <v>250</v>
      </c>
      <c r="I19" s="170" t="s">
        <v>251</v>
      </c>
      <c r="J19" s="166"/>
    </row>
    <row r="20" spans="4:10" ht="26">
      <c r="D20" s="159" t="s">
        <v>236</v>
      </c>
      <c r="E20" s="167">
        <f>D12</f>
        <v>1155.5698087056649</v>
      </c>
      <c r="F20" s="167">
        <f t="shared" ref="F20:G22" si="0">E20*(1-0.02)</f>
        <v>1132.4584125315516</v>
      </c>
      <c r="G20" s="167">
        <f t="shared" si="0"/>
        <v>1109.8092442809207</v>
      </c>
      <c r="H20" s="167">
        <f t="shared" ref="F20:I25" si="1">G20*(1-0.05)</f>
        <v>1054.3187820668745</v>
      </c>
      <c r="I20" s="167">
        <f t="shared" si="1"/>
        <v>1001.6028429635307</v>
      </c>
      <c r="J20" s="167"/>
    </row>
    <row r="21" spans="4:10">
      <c r="D21" s="14" t="s">
        <v>237</v>
      </c>
      <c r="E21" s="173">
        <f>E12</f>
        <v>392.54256123893811</v>
      </c>
      <c r="F21" s="167">
        <f t="shared" si="0"/>
        <v>384.69171001415936</v>
      </c>
      <c r="G21" s="167">
        <f t="shared" si="0"/>
        <v>376.99787581387613</v>
      </c>
      <c r="H21" s="167">
        <f t="shared" si="1"/>
        <v>358.14798202318229</v>
      </c>
      <c r="I21" s="167">
        <f t="shared" si="1"/>
        <v>340.24058292202318</v>
      </c>
      <c r="J21" s="167"/>
    </row>
    <row r="22" spans="4:10">
      <c r="D22" s="14" t="s">
        <v>238</v>
      </c>
      <c r="E22" s="173">
        <f>F12</f>
        <v>80.673340195300582</v>
      </c>
      <c r="F22" s="167">
        <f t="shared" si="0"/>
        <v>79.059873391394575</v>
      </c>
      <c r="G22" s="167">
        <f t="shared" si="0"/>
        <v>77.478675923566684</v>
      </c>
      <c r="H22" s="167">
        <f t="shared" si="1"/>
        <v>73.604742127388349</v>
      </c>
      <c r="I22" s="167">
        <f t="shared" si="1"/>
        <v>69.924505021018931</v>
      </c>
      <c r="J22" s="167"/>
    </row>
    <row r="23" spans="4:10">
      <c r="D23" s="14" t="s">
        <v>239</v>
      </c>
      <c r="E23" s="173">
        <f>G12</f>
        <v>0</v>
      </c>
      <c r="F23" s="167">
        <f t="shared" si="1"/>
        <v>0</v>
      </c>
      <c r="G23" s="167">
        <f t="shared" si="1"/>
        <v>0</v>
      </c>
      <c r="H23" s="167">
        <f t="shared" si="1"/>
        <v>0</v>
      </c>
      <c r="I23" s="167">
        <f t="shared" si="1"/>
        <v>0</v>
      </c>
      <c r="J23" s="167"/>
    </row>
    <row r="24" spans="4:10">
      <c r="D24" s="14" t="s">
        <v>240</v>
      </c>
      <c r="E24" s="173">
        <f>H12</f>
        <v>0</v>
      </c>
      <c r="F24" s="167">
        <f t="shared" si="1"/>
        <v>0</v>
      </c>
      <c r="G24" s="167">
        <f t="shared" si="1"/>
        <v>0</v>
      </c>
      <c r="H24" s="167">
        <f t="shared" si="1"/>
        <v>0</v>
      </c>
      <c r="I24" s="167">
        <f t="shared" si="1"/>
        <v>0</v>
      </c>
      <c r="J24" s="167"/>
    </row>
    <row r="25" spans="4:10">
      <c r="D25" s="14" t="s">
        <v>241</v>
      </c>
      <c r="E25" s="173">
        <f>I12</f>
        <v>0</v>
      </c>
      <c r="F25" s="167">
        <f t="shared" si="1"/>
        <v>0</v>
      </c>
      <c r="G25" s="167">
        <f t="shared" si="1"/>
        <v>0</v>
      </c>
      <c r="H25" s="167">
        <f t="shared" si="1"/>
        <v>0</v>
      </c>
      <c r="I25" s="167">
        <f t="shared" si="1"/>
        <v>0</v>
      </c>
      <c r="J25" s="167"/>
    </row>
  </sheetData>
  <mergeCells count="17">
    <mergeCell ref="G3:I3"/>
    <mergeCell ref="D17:J17"/>
    <mergeCell ref="D18:D19"/>
    <mergeCell ref="E18:J18"/>
    <mergeCell ref="A1:B1"/>
    <mergeCell ref="A2:D2"/>
    <mergeCell ref="E2:J2"/>
    <mergeCell ref="D3:E3"/>
    <mergeCell ref="J3:J5"/>
    <mergeCell ref="B7:C7"/>
    <mergeCell ref="B8:C8"/>
    <mergeCell ref="B9:C9"/>
    <mergeCell ref="B10:C10"/>
    <mergeCell ref="B11:C11"/>
    <mergeCell ref="A12:C12"/>
    <mergeCell ref="A3:A5"/>
    <mergeCell ref="B3:B5"/>
  </mergeCells>
  <phoneticPr fontId="38" type="noConversion"/>
  <conditionalFormatting sqref="E6">
    <cfRule type="cellIs" dxfId="1" priority="2" operator="equal">
      <formula>"价值版"</formula>
    </cfRule>
  </conditionalFormatting>
  <conditionalFormatting sqref="D6">
    <cfRule type="cellIs" dxfId="0" priority="1" operator="equal">
      <formula>"价值版"</formula>
    </cfRule>
  </conditionalFormatting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假设条件</vt:lpstr>
      <vt:lpstr>损益表</vt:lpstr>
      <vt:lpstr>现金</vt:lpstr>
      <vt:lpstr>2023年</vt:lpstr>
      <vt:lpstr>2024年</vt:lpstr>
      <vt:lpstr>2025年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王金良</cp:lastModifiedBy>
  <dcterms:created xsi:type="dcterms:W3CDTF">2006-09-13T11:21:00Z</dcterms:created>
  <dcterms:modified xsi:type="dcterms:W3CDTF">2022-12-22T09:09:56Z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