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B60VS车门装饰条项目\"/>
    </mc:Choice>
  </mc:AlternateContent>
  <bookViews>
    <workbookView xWindow="0" yWindow="0" windowWidth="21600" windowHeight="9390" tabRatio="810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7" r:id="rId6"/>
    <sheet name="2026年" sheetId="58" r:id="rId7"/>
    <sheet name="2027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'2023年'!$A$1:$I$48</definedName>
    <definedName name="_xlnm.Print_Area" localSheetId="4">'2024年'!$A$1:$I$48</definedName>
    <definedName name="_xlnm.Print_Area" localSheetId="5">'2025年'!$A$1:$I$48</definedName>
    <definedName name="_xlnm.Print_Area" localSheetId="6">'2026年'!$A$1:$I$48</definedName>
    <definedName name="_xlnm.Print_Area" localSheetId="7">'2027年'!$A$1:$I$48</definedName>
    <definedName name="_xlnm.Print_Area" localSheetId="1">损益表!$A$1:$H$61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D51" i="50" l="1"/>
  <c r="D38" i="50"/>
  <c r="D10" i="50"/>
  <c r="D24" i="50"/>
  <c r="E74" i="50"/>
  <c r="E61" i="50"/>
  <c r="E48" i="50"/>
  <c r="E35" i="50"/>
  <c r="E21" i="50"/>
  <c r="E7" i="50"/>
  <c r="G18" i="53" l="1"/>
  <c r="H18" i="53" s="1"/>
  <c r="I18" i="53" s="1"/>
  <c r="G19" i="53"/>
  <c r="H19" i="53" s="1"/>
  <c r="I19" i="53" s="1"/>
  <c r="G20" i="53"/>
  <c r="H20" i="53" s="1"/>
  <c r="G21" i="53"/>
  <c r="H21" i="53" s="1"/>
  <c r="I21" i="53" s="1"/>
  <c r="G22" i="53"/>
  <c r="H22" i="53" s="1"/>
  <c r="F19" i="53"/>
  <c r="F20" i="53"/>
  <c r="F21" i="53"/>
  <c r="F22" i="53"/>
  <c r="F18" i="53"/>
  <c r="G75" i="50"/>
  <c r="G74" i="50"/>
  <c r="H70" i="50"/>
  <c r="D78" i="50" s="1"/>
  <c r="H47" i="43" s="1"/>
  <c r="G62" i="50"/>
  <c r="G61" i="50"/>
  <c r="H57" i="50"/>
  <c r="D65" i="50" s="1"/>
  <c r="G49" i="50"/>
  <c r="G48" i="50"/>
  <c r="H44" i="50"/>
  <c r="D52" i="50" s="1"/>
  <c r="F47" i="43" s="1"/>
  <c r="G36" i="50"/>
  <c r="G35" i="50"/>
  <c r="H31" i="50"/>
  <c r="D37" i="50" s="1"/>
  <c r="E44" i="43" s="1"/>
  <c r="G22" i="50"/>
  <c r="D22" i="50"/>
  <c r="G21" i="50"/>
  <c r="H17" i="50"/>
  <c r="D25" i="50" s="1"/>
  <c r="G8" i="50"/>
  <c r="D8" i="50"/>
  <c r="G7" i="50"/>
  <c r="H3" i="50"/>
  <c r="D11" i="50" s="1"/>
  <c r="C47" i="43" s="1"/>
  <c r="E22" i="53"/>
  <c r="E19" i="53"/>
  <c r="I12" i="53"/>
  <c r="H12" i="53"/>
  <c r="G12" i="53"/>
  <c r="F16" i="55" s="1"/>
  <c r="F17" i="55" s="1"/>
  <c r="F18" i="55" s="1"/>
  <c r="F12" i="53"/>
  <c r="E20" i="53" s="1"/>
  <c r="E12" i="53"/>
  <c r="D12" i="53"/>
  <c r="C16" i="55" s="1"/>
  <c r="C17" i="55" s="1"/>
  <c r="C18" i="55" s="1"/>
  <c r="I5" i="53"/>
  <c r="H5" i="53"/>
  <c r="G5" i="53"/>
  <c r="F5" i="53"/>
  <c r="E5" i="53"/>
  <c r="D5" i="53"/>
  <c r="I4" i="53"/>
  <c r="H4" i="53"/>
  <c r="G4" i="53"/>
  <c r="F4" i="53"/>
  <c r="E4" i="53"/>
  <c r="D4" i="53"/>
  <c r="J34" i="55"/>
  <c r="I34" i="55"/>
  <c r="H34" i="55"/>
  <c r="G34" i="55"/>
  <c r="F34" i="55"/>
  <c r="E34" i="55"/>
  <c r="K34" i="55" s="1"/>
  <c r="K33" i="55"/>
  <c r="K30" i="55"/>
  <c r="K29" i="55"/>
  <c r="K28" i="55"/>
  <c r="K27" i="55"/>
  <c r="K26" i="55"/>
  <c r="K25" i="55"/>
  <c r="K24" i="55"/>
  <c r="K23" i="55"/>
  <c r="K22" i="55"/>
  <c r="G16" i="55"/>
  <c r="G17" i="55" s="1"/>
  <c r="G18" i="55" s="1"/>
  <c r="E16" i="55"/>
  <c r="E17" i="55" s="1"/>
  <c r="E18" i="55" s="1"/>
  <c r="D16" i="55"/>
  <c r="D17" i="55" s="1"/>
  <c r="D18" i="55" s="1"/>
  <c r="H15" i="55"/>
  <c r="G15" i="55"/>
  <c r="F15" i="55"/>
  <c r="E15" i="55"/>
  <c r="D15" i="55"/>
  <c r="C15" i="55"/>
  <c r="I14" i="55"/>
  <c r="I13" i="55"/>
  <c r="I12" i="55"/>
  <c r="I15" i="55" s="1"/>
  <c r="I11" i="55"/>
  <c r="I10" i="55"/>
  <c r="I9" i="55"/>
  <c r="K8" i="55"/>
  <c r="L8" i="55" s="1"/>
  <c r="L7" i="55"/>
  <c r="K7" i="55"/>
  <c r="G22" i="51"/>
  <c r="B9" i="51"/>
  <c r="B27" i="51" s="1"/>
  <c r="D27" i="51" s="1"/>
  <c r="B8" i="51"/>
  <c r="B7" i="51"/>
  <c r="B10" i="51" s="1"/>
  <c r="B5" i="51"/>
  <c r="B26" i="51" s="1"/>
  <c r="H31" i="59"/>
  <c r="G31" i="59"/>
  <c r="F31" i="59"/>
  <c r="E31" i="59"/>
  <c r="D31" i="59"/>
  <c r="C31" i="59"/>
  <c r="I21" i="59"/>
  <c r="H11" i="59"/>
  <c r="H7" i="59"/>
  <c r="G7" i="59"/>
  <c r="E7" i="59"/>
  <c r="D7" i="59"/>
  <c r="H6" i="59"/>
  <c r="H20" i="59" s="1"/>
  <c r="G6" i="59"/>
  <c r="F6" i="59"/>
  <c r="E6" i="59"/>
  <c r="D6" i="59"/>
  <c r="C6" i="59"/>
  <c r="H4" i="59"/>
  <c r="G4" i="59"/>
  <c r="F4" i="59"/>
  <c r="E4" i="59"/>
  <c r="D4" i="59"/>
  <c r="C4" i="59"/>
  <c r="H3" i="59"/>
  <c r="G3" i="59"/>
  <c r="F3" i="59"/>
  <c r="E3" i="59"/>
  <c r="D3" i="59"/>
  <c r="C3" i="59"/>
  <c r="C2" i="59"/>
  <c r="H31" i="58"/>
  <c r="G31" i="58"/>
  <c r="F31" i="58"/>
  <c r="E31" i="58"/>
  <c r="D31" i="58"/>
  <c r="C31" i="58"/>
  <c r="I21" i="58"/>
  <c r="F7" i="58"/>
  <c r="C7" i="58"/>
  <c r="H6" i="58"/>
  <c r="G6" i="58"/>
  <c r="F6" i="58"/>
  <c r="E6" i="58"/>
  <c r="D6" i="58"/>
  <c r="C6" i="58"/>
  <c r="H4" i="58"/>
  <c r="G4" i="58"/>
  <c r="F4" i="58"/>
  <c r="E4" i="58"/>
  <c r="D4" i="58"/>
  <c r="C4" i="58"/>
  <c r="H3" i="58"/>
  <c r="G3" i="58"/>
  <c r="F3" i="58"/>
  <c r="E3" i="58"/>
  <c r="D3" i="58"/>
  <c r="C3" i="58"/>
  <c r="C2" i="58"/>
  <c r="G33" i="57"/>
  <c r="H31" i="57"/>
  <c r="G31" i="57"/>
  <c r="F31" i="57"/>
  <c r="E31" i="57"/>
  <c r="D31" i="57"/>
  <c r="C31" i="57"/>
  <c r="I21" i="57"/>
  <c r="H20" i="57"/>
  <c r="H12" i="57"/>
  <c r="H11" i="57"/>
  <c r="E10" i="57"/>
  <c r="H8" i="57"/>
  <c r="E8" i="57"/>
  <c r="H7" i="57"/>
  <c r="H9" i="57" s="1"/>
  <c r="F7" i="57"/>
  <c r="E7" i="57"/>
  <c r="E9" i="57" s="1"/>
  <c r="C7" i="57"/>
  <c r="H6" i="57"/>
  <c r="H22" i="57" s="1"/>
  <c r="G6" i="57"/>
  <c r="F6" i="57"/>
  <c r="E6" i="57"/>
  <c r="D6" i="57"/>
  <c r="C6" i="57"/>
  <c r="H4" i="57"/>
  <c r="G4" i="57"/>
  <c r="F4" i="57"/>
  <c r="E4" i="57"/>
  <c r="D4" i="57"/>
  <c r="C4" i="57"/>
  <c r="H3" i="57"/>
  <c r="G3" i="57"/>
  <c r="F3" i="57"/>
  <c r="E3" i="57"/>
  <c r="D3" i="57"/>
  <c r="C3" i="57"/>
  <c r="C2" i="57"/>
  <c r="G33" i="56"/>
  <c r="E33" i="56"/>
  <c r="D33" i="56"/>
  <c r="H31" i="56"/>
  <c r="G31" i="56"/>
  <c r="F31" i="56"/>
  <c r="E31" i="56"/>
  <c r="D31" i="56"/>
  <c r="C31" i="56"/>
  <c r="I21" i="56"/>
  <c r="G10" i="56"/>
  <c r="D10" i="56"/>
  <c r="F8" i="56"/>
  <c r="C8" i="56"/>
  <c r="G7" i="56"/>
  <c r="F7" i="56"/>
  <c r="F9" i="56" s="1"/>
  <c r="D7" i="56"/>
  <c r="C7" i="56"/>
  <c r="H6" i="56"/>
  <c r="H22" i="56" s="1"/>
  <c r="G6" i="56"/>
  <c r="F6" i="56"/>
  <c r="E6" i="56"/>
  <c r="D6" i="56"/>
  <c r="C6" i="56"/>
  <c r="H4" i="56"/>
  <c r="G4" i="56"/>
  <c r="F4" i="56"/>
  <c r="E4" i="56"/>
  <c r="D4" i="56"/>
  <c r="C4" i="56"/>
  <c r="H3" i="56"/>
  <c r="G3" i="56"/>
  <c r="F3" i="56"/>
  <c r="E3" i="56"/>
  <c r="D3" i="56"/>
  <c r="C3" i="56"/>
  <c r="C2" i="56"/>
  <c r="G47" i="43"/>
  <c r="D47" i="43"/>
  <c r="D47" i="56" s="1"/>
  <c r="D45" i="43"/>
  <c r="C45" i="43"/>
  <c r="D43" i="43"/>
  <c r="C43" i="43"/>
  <c r="C43" i="56" s="1"/>
  <c r="E37" i="43"/>
  <c r="E37" i="56" s="1"/>
  <c r="C37" i="43"/>
  <c r="F36" i="43"/>
  <c r="F36" i="56" s="1"/>
  <c r="E36" i="43"/>
  <c r="E11" i="43" s="1"/>
  <c r="D36" i="43"/>
  <c r="C36" i="43"/>
  <c r="C36" i="56" s="1"/>
  <c r="G33" i="43"/>
  <c r="E33" i="43"/>
  <c r="D33" i="43"/>
  <c r="H31" i="43"/>
  <c r="H32" i="43" s="1"/>
  <c r="H34" i="43" s="1"/>
  <c r="G31" i="43"/>
  <c r="G32" i="43" s="1"/>
  <c r="G34" i="43" s="1"/>
  <c r="F31" i="43"/>
  <c r="F32" i="43" s="1"/>
  <c r="E31" i="43"/>
  <c r="E32" i="43" s="1"/>
  <c r="E34" i="43" s="1"/>
  <c r="D31" i="43"/>
  <c r="D32" i="43" s="1"/>
  <c r="D34" i="43" s="1"/>
  <c r="C31" i="43"/>
  <c r="C32" i="43" s="1"/>
  <c r="I21" i="43"/>
  <c r="E10" i="43"/>
  <c r="E8" i="43"/>
  <c r="H7" i="43"/>
  <c r="H9" i="43" s="1"/>
  <c r="F7" i="43"/>
  <c r="F8" i="43" s="1"/>
  <c r="E7" i="43"/>
  <c r="E9" i="43" s="1"/>
  <c r="C7" i="43"/>
  <c r="C8" i="43" s="1"/>
  <c r="H6" i="43"/>
  <c r="G6" i="43"/>
  <c r="F6" i="43"/>
  <c r="E6" i="43"/>
  <c r="D6" i="43"/>
  <c r="D20" i="43" s="1"/>
  <c r="C6" i="43"/>
  <c r="C12" i="43" s="1"/>
  <c r="H4" i="43"/>
  <c r="G4" i="43"/>
  <c r="F4" i="43"/>
  <c r="E4" i="43"/>
  <c r="D4" i="43"/>
  <c r="C4" i="43"/>
  <c r="H3" i="43"/>
  <c r="G3" i="43"/>
  <c r="F3" i="43"/>
  <c r="E3" i="43"/>
  <c r="D3" i="43"/>
  <c r="C3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M12" i="36" s="1"/>
  <c r="C12" i="36"/>
  <c r="L11" i="36"/>
  <c r="K11" i="36"/>
  <c r="J11" i="36"/>
  <c r="I11" i="36"/>
  <c r="H11" i="36"/>
  <c r="G11" i="36"/>
  <c r="F11" i="36"/>
  <c r="E11" i="36"/>
  <c r="D11" i="36"/>
  <c r="C11" i="36"/>
  <c r="L10" i="36"/>
  <c r="M9" i="36"/>
  <c r="M8" i="36"/>
  <c r="L7" i="36"/>
  <c r="K7" i="36"/>
  <c r="J7" i="36"/>
  <c r="I7" i="36"/>
  <c r="H7" i="36"/>
  <c r="G7" i="36"/>
  <c r="F7" i="36"/>
  <c r="E7" i="36"/>
  <c r="M6" i="36"/>
  <c r="K6" i="36"/>
  <c r="J6" i="36"/>
  <c r="I6" i="36"/>
  <c r="E6" i="36"/>
  <c r="K5" i="36"/>
  <c r="J5" i="36"/>
  <c r="I5" i="36"/>
  <c r="E5" i="36"/>
  <c r="D5" i="36"/>
  <c r="C5" i="36"/>
  <c r="H4" i="36"/>
  <c r="I4" i="36" s="1"/>
  <c r="J4" i="36" s="1"/>
  <c r="K4" i="36" s="1"/>
  <c r="L4" i="36" s="1"/>
  <c r="E4" i="36"/>
  <c r="F4" i="36" s="1"/>
  <c r="G4" i="36" s="1"/>
  <c r="D4" i="36"/>
  <c r="C57" i="2"/>
  <c r="C56" i="2"/>
  <c r="C55" i="2" s="1"/>
  <c r="G18" i="2"/>
  <c r="F18" i="2"/>
  <c r="E18" i="2"/>
  <c r="D18" i="2"/>
  <c r="C18" i="2"/>
  <c r="H18" i="2" s="1"/>
  <c r="H22" i="43" l="1"/>
  <c r="M13" i="36"/>
  <c r="C10" i="36"/>
  <c r="C17" i="36" s="1"/>
  <c r="F10" i="36"/>
  <c r="I10" i="36"/>
  <c r="M15" i="36"/>
  <c r="M7" i="36"/>
  <c r="E10" i="36"/>
  <c r="E17" i="36" s="1"/>
  <c r="E19" i="36" s="1"/>
  <c r="H10" i="36"/>
  <c r="K10" i="36"/>
  <c r="K17" i="36" s="1"/>
  <c r="K19" i="36" s="1"/>
  <c r="I17" i="36"/>
  <c r="I19" i="36" s="1"/>
  <c r="D10" i="36"/>
  <c r="D17" i="36" s="1"/>
  <c r="D19" i="36" s="1"/>
  <c r="G10" i="36"/>
  <c r="J10" i="36"/>
  <c r="J17" i="36" s="1"/>
  <c r="J19" i="36" s="1"/>
  <c r="M14" i="36"/>
  <c r="E12" i="56"/>
  <c r="D9" i="50"/>
  <c r="C44" i="43" s="1"/>
  <c r="C19" i="43" s="1"/>
  <c r="D38" i="43"/>
  <c r="D38" i="59" s="1"/>
  <c r="D13" i="59" s="1"/>
  <c r="C38" i="43"/>
  <c r="C13" i="43" s="1"/>
  <c r="D23" i="50"/>
  <c r="D44" i="43" s="1"/>
  <c r="D44" i="56" s="1"/>
  <c r="D50" i="50"/>
  <c r="F44" i="43" s="1"/>
  <c r="F19" i="43" s="1"/>
  <c r="I20" i="53"/>
  <c r="E10" i="59" s="1"/>
  <c r="E33" i="58"/>
  <c r="I22" i="53"/>
  <c r="G33" i="58"/>
  <c r="G10" i="58"/>
  <c r="D33" i="59"/>
  <c r="D10" i="59"/>
  <c r="E33" i="57"/>
  <c r="D10" i="58"/>
  <c r="D33" i="58"/>
  <c r="D33" i="57"/>
  <c r="F32" i="56"/>
  <c r="M5" i="36"/>
  <c r="M11" i="36"/>
  <c r="C9" i="43"/>
  <c r="F9" i="43"/>
  <c r="C22" i="43"/>
  <c r="F22" i="43"/>
  <c r="D36" i="59"/>
  <c r="D11" i="59" s="1"/>
  <c r="D36" i="58"/>
  <c r="D36" i="57"/>
  <c r="D38" i="58"/>
  <c r="D13" i="58" s="1"/>
  <c r="D38" i="57"/>
  <c r="D43" i="59"/>
  <c r="D43" i="58"/>
  <c r="D43" i="57"/>
  <c r="E44" i="59"/>
  <c r="E44" i="58"/>
  <c r="E44" i="57"/>
  <c r="C45" i="59"/>
  <c r="C45" i="58"/>
  <c r="C20" i="58" s="1"/>
  <c r="C45" i="57"/>
  <c r="C47" i="57"/>
  <c r="C47" i="59"/>
  <c r="C22" i="59" s="1"/>
  <c r="C47" i="58"/>
  <c r="C22" i="58" s="1"/>
  <c r="C47" i="56"/>
  <c r="C22" i="56" s="1"/>
  <c r="F47" i="59"/>
  <c r="F47" i="57"/>
  <c r="F47" i="58"/>
  <c r="F22" i="58" s="1"/>
  <c r="F47" i="56"/>
  <c r="H13" i="56"/>
  <c r="H19" i="56"/>
  <c r="D11" i="57"/>
  <c r="D10" i="57"/>
  <c r="D7" i="57"/>
  <c r="D13" i="57"/>
  <c r="G10" i="57"/>
  <c r="G7" i="57"/>
  <c r="E32" i="57"/>
  <c r="E34" i="57" s="1"/>
  <c r="D7" i="43"/>
  <c r="I7" i="43" s="1"/>
  <c r="C4" i="2" s="1"/>
  <c r="G7" i="43"/>
  <c r="G9" i="43" s="1"/>
  <c r="C11" i="43"/>
  <c r="F11" i="43"/>
  <c r="E12" i="43"/>
  <c r="D13" i="43"/>
  <c r="D19" i="43"/>
  <c r="C20" i="43"/>
  <c r="D22" i="43"/>
  <c r="G22" i="43"/>
  <c r="E36" i="59"/>
  <c r="E11" i="59" s="1"/>
  <c r="E36" i="58"/>
  <c r="E11" i="58" s="1"/>
  <c r="E36" i="57"/>
  <c r="E11" i="57" s="1"/>
  <c r="E36" i="56"/>
  <c r="E37" i="59"/>
  <c r="E37" i="58"/>
  <c r="E37" i="57"/>
  <c r="E12" i="57" s="1"/>
  <c r="C44" i="59"/>
  <c r="C44" i="58"/>
  <c r="C19" i="58" s="1"/>
  <c r="C44" i="56"/>
  <c r="C44" i="57"/>
  <c r="C19" i="57" s="1"/>
  <c r="F44" i="59"/>
  <c r="F44" i="58"/>
  <c r="F19" i="58" s="1"/>
  <c r="F44" i="57"/>
  <c r="F44" i="56"/>
  <c r="D45" i="59"/>
  <c r="D20" i="59" s="1"/>
  <c r="D45" i="58"/>
  <c r="D45" i="57"/>
  <c r="D20" i="57" s="1"/>
  <c r="D45" i="56"/>
  <c r="D20" i="56" s="1"/>
  <c r="D47" i="59"/>
  <c r="D22" i="59" s="1"/>
  <c r="D47" i="58"/>
  <c r="D22" i="58" s="1"/>
  <c r="D47" i="57"/>
  <c r="D22" i="57" s="1"/>
  <c r="G47" i="59"/>
  <c r="G47" i="58"/>
  <c r="G47" i="57"/>
  <c r="G22" i="57" s="1"/>
  <c r="I6" i="56"/>
  <c r="E7" i="56"/>
  <c r="H7" i="56"/>
  <c r="D8" i="56"/>
  <c r="D9" i="56" s="1"/>
  <c r="G8" i="56"/>
  <c r="G9" i="56" s="1"/>
  <c r="C9" i="56"/>
  <c r="E10" i="56"/>
  <c r="E11" i="56"/>
  <c r="H11" i="56"/>
  <c r="C19" i="56"/>
  <c r="F19" i="56"/>
  <c r="H20" i="56"/>
  <c r="E21" i="56"/>
  <c r="E46" i="56" s="1"/>
  <c r="F22" i="56"/>
  <c r="D43" i="56"/>
  <c r="C45" i="56"/>
  <c r="C20" i="56" s="1"/>
  <c r="G47" i="56"/>
  <c r="G22" i="56" s="1"/>
  <c r="F9" i="57"/>
  <c r="F8" i="57"/>
  <c r="I6" i="43"/>
  <c r="D10" i="43"/>
  <c r="G10" i="43"/>
  <c r="D11" i="43"/>
  <c r="E19" i="43"/>
  <c r="H19" i="43"/>
  <c r="C36" i="59"/>
  <c r="C36" i="57"/>
  <c r="C11" i="57" s="1"/>
  <c r="C36" i="58"/>
  <c r="C11" i="58" s="1"/>
  <c r="F36" i="59"/>
  <c r="F36" i="57"/>
  <c r="F11" i="57" s="1"/>
  <c r="F36" i="58"/>
  <c r="F11" i="58" s="1"/>
  <c r="C37" i="59"/>
  <c r="C37" i="58"/>
  <c r="C12" i="58" s="1"/>
  <c r="C37" i="57"/>
  <c r="C12" i="57" s="1"/>
  <c r="C37" i="56"/>
  <c r="C12" i="56" s="1"/>
  <c r="C38" i="58"/>
  <c r="C13" i="58" s="1"/>
  <c r="C43" i="59"/>
  <c r="C43" i="57"/>
  <c r="C43" i="58"/>
  <c r="D44" i="59"/>
  <c r="D44" i="57"/>
  <c r="D19" i="57" s="1"/>
  <c r="D44" i="58"/>
  <c r="D19" i="58" s="1"/>
  <c r="D22" i="56"/>
  <c r="C11" i="56"/>
  <c r="F11" i="56"/>
  <c r="H12" i="56"/>
  <c r="D19" i="56"/>
  <c r="D36" i="56"/>
  <c r="D11" i="56" s="1"/>
  <c r="E44" i="56"/>
  <c r="E19" i="56" s="1"/>
  <c r="C22" i="57"/>
  <c r="F22" i="57"/>
  <c r="C8" i="57"/>
  <c r="H32" i="57"/>
  <c r="H34" i="57" s="1"/>
  <c r="H40" i="57" s="1"/>
  <c r="C20" i="57"/>
  <c r="E10" i="58"/>
  <c r="E7" i="58"/>
  <c r="H20" i="58"/>
  <c r="H11" i="58"/>
  <c r="H7" i="58"/>
  <c r="H12" i="58"/>
  <c r="E19" i="58"/>
  <c r="G21" i="58"/>
  <c r="G46" i="58" s="1"/>
  <c r="D21" i="58"/>
  <c r="D46" i="58" s="1"/>
  <c r="H21" i="59"/>
  <c r="H46" i="59" s="1"/>
  <c r="H13" i="57"/>
  <c r="H14" i="57" s="1"/>
  <c r="H15" i="57" s="1"/>
  <c r="E19" i="57"/>
  <c r="H19" i="57"/>
  <c r="G7" i="58"/>
  <c r="E12" i="58"/>
  <c r="H19" i="58"/>
  <c r="C21" i="58"/>
  <c r="C46" i="58" s="1"/>
  <c r="I6" i="57"/>
  <c r="F19" i="57"/>
  <c r="G22" i="58"/>
  <c r="D7" i="58"/>
  <c r="D11" i="58"/>
  <c r="H13" i="58"/>
  <c r="D20" i="58"/>
  <c r="F21" i="58"/>
  <c r="F46" i="58" s="1"/>
  <c r="H22" i="58"/>
  <c r="D19" i="59"/>
  <c r="G22" i="59"/>
  <c r="H14" i="59"/>
  <c r="C19" i="59"/>
  <c r="F22" i="59"/>
  <c r="F19" i="59"/>
  <c r="I6" i="59"/>
  <c r="H22" i="59"/>
  <c r="I6" i="58"/>
  <c r="F3" i="2" s="1"/>
  <c r="C7" i="59"/>
  <c r="F7" i="59"/>
  <c r="C11" i="59"/>
  <c r="F11" i="59"/>
  <c r="E12" i="59"/>
  <c r="H12" i="59"/>
  <c r="H19" i="59"/>
  <c r="C21" i="59"/>
  <c r="C46" i="59" s="1"/>
  <c r="J26" i="51"/>
  <c r="D26" i="51"/>
  <c r="E27" i="51"/>
  <c r="F27" i="51" s="1"/>
  <c r="G27" i="51" s="1"/>
  <c r="H27" i="51" s="1"/>
  <c r="C12" i="59"/>
  <c r="H13" i="59"/>
  <c r="E19" i="59"/>
  <c r="C20" i="59"/>
  <c r="G21" i="59"/>
  <c r="G46" i="59" s="1"/>
  <c r="D21" i="59"/>
  <c r="D46" i="59" s="1"/>
  <c r="K9" i="55"/>
  <c r="E18" i="53"/>
  <c r="C10" i="43" s="1"/>
  <c r="E21" i="53"/>
  <c r="D60" i="50"/>
  <c r="G37" i="43" s="1"/>
  <c r="G12" i="43" s="1"/>
  <c r="D73" i="50"/>
  <c r="H37" i="43" s="1"/>
  <c r="H12" i="43" s="1"/>
  <c r="D37" i="43"/>
  <c r="E43" i="43"/>
  <c r="D36" i="50"/>
  <c r="E45" i="43" s="1"/>
  <c r="E38" i="43"/>
  <c r="D39" i="50"/>
  <c r="E47" i="43" s="1"/>
  <c r="E22" i="43" s="1"/>
  <c r="F43" i="43"/>
  <c r="D49" i="50"/>
  <c r="F45" i="43" s="1"/>
  <c r="F38" i="43"/>
  <c r="D58" i="50"/>
  <c r="G36" i="43" s="1"/>
  <c r="D61" i="50"/>
  <c r="D63" i="50"/>
  <c r="G44" i="43" s="1"/>
  <c r="G19" i="43" s="1"/>
  <c r="D71" i="50"/>
  <c r="H36" i="43" s="1"/>
  <c r="H11" i="43" s="1"/>
  <c r="D74" i="50"/>
  <c r="D76" i="50"/>
  <c r="F37" i="43"/>
  <c r="D59" i="50"/>
  <c r="G43" i="43" s="1"/>
  <c r="D62" i="50"/>
  <c r="G45" i="43" s="1"/>
  <c r="G20" i="43" s="1"/>
  <c r="D64" i="50"/>
  <c r="G38" i="43" s="1"/>
  <c r="D72" i="50"/>
  <c r="D75" i="50"/>
  <c r="H45" i="43" s="1"/>
  <c r="H20" i="43" s="1"/>
  <c r="D77" i="50"/>
  <c r="H38" i="43" s="1"/>
  <c r="H13" i="43" s="1"/>
  <c r="C38" i="56" l="1"/>
  <c r="C13" i="56" s="1"/>
  <c r="C38" i="59"/>
  <c r="C13" i="59" s="1"/>
  <c r="C14" i="59" s="1"/>
  <c r="C38" i="57"/>
  <c r="C13" i="57" s="1"/>
  <c r="D38" i="56"/>
  <c r="D13" i="56" s="1"/>
  <c r="M10" i="36"/>
  <c r="E33" i="59"/>
  <c r="G33" i="59"/>
  <c r="G10" i="59"/>
  <c r="H16" i="57"/>
  <c r="G32" i="56"/>
  <c r="G34" i="56" s="1"/>
  <c r="I19" i="43"/>
  <c r="C16" i="2" s="1"/>
  <c r="F6" i="36"/>
  <c r="F5" i="36" s="1"/>
  <c r="F17" i="36" s="1"/>
  <c r="F19" i="36" s="1"/>
  <c r="D32" i="56"/>
  <c r="D34" i="56" s="1"/>
  <c r="G43" i="59"/>
  <c r="G43" i="58"/>
  <c r="G43" i="57"/>
  <c r="G43" i="56"/>
  <c r="F45" i="59"/>
  <c r="F20" i="59" s="1"/>
  <c r="F45" i="58"/>
  <c r="F20" i="58" s="1"/>
  <c r="F45" i="57"/>
  <c r="F20" i="57" s="1"/>
  <c r="F45" i="56"/>
  <c r="F20" i="56" s="1"/>
  <c r="E38" i="59"/>
  <c r="E13" i="59" s="1"/>
  <c r="E38" i="57"/>
  <c r="E13" i="57" s="1"/>
  <c r="E14" i="57" s="1"/>
  <c r="E15" i="57" s="1"/>
  <c r="E38" i="58"/>
  <c r="E13" i="58" s="1"/>
  <c r="E14" i="58" s="1"/>
  <c r="E38" i="56"/>
  <c r="E13" i="56" s="1"/>
  <c r="D37" i="57"/>
  <c r="D12" i="57" s="1"/>
  <c r="D14" i="57" s="1"/>
  <c r="D37" i="59"/>
  <c r="D12" i="59" s="1"/>
  <c r="D14" i="59" s="1"/>
  <c r="D37" i="58"/>
  <c r="D12" i="58" s="1"/>
  <c r="D37" i="56"/>
  <c r="D12" i="56" s="1"/>
  <c r="D14" i="56" s="1"/>
  <c r="D15" i="56" s="1"/>
  <c r="F33" i="43"/>
  <c r="F34" i="43" s="1"/>
  <c r="F40" i="43" s="1"/>
  <c r="I7" i="58"/>
  <c r="F4" i="2" s="1"/>
  <c r="C14" i="57"/>
  <c r="F21" i="43"/>
  <c r="F46" i="43" s="1"/>
  <c r="C21" i="43"/>
  <c r="C46" i="43" s="1"/>
  <c r="G21" i="43"/>
  <c r="G46" i="43" s="1"/>
  <c r="D21" i="43"/>
  <c r="D46" i="43" s="1"/>
  <c r="C3" i="2"/>
  <c r="F21" i="56"/>
  <c r="F46" i="56" s="1"/>
  <c r="D21" i="56"/>
  <c r="D46" i="56" s="1"/>
  <c r="G21" i="56"/>
  <c r="G46" i="56" s="1"/>
  <c r="C21" i="56"/>
  <c r="C46" i="56" s="1"/>
  <c r="D3" i="2"/>
  <c r="H21" i="43"/>
  <c r="D40" i="43"/>
  <c r="D48" i="43" s="1"/>
  <c r="G38" i="59"/>
  <c r="G13" i="59" s="1"/>
  <c r="G38" i="58"/>
  <c r="G13" i="58" s="1"/>
  <c r="G38" i="57"/>
  <c r="G13" i="57" s="1"/>
  <c r="G38" i="56"/>
  <c r="G13" i="56" s="1"/>
  <c r="F37" i="59"/>
  <c r="F12" i="59" s="1"/>
  <c r="F37" i="58"/>
  <c r="F12" i="58" s="1"/>
  <c r="F37" i="56"/>
  <c r="F12" i="56" s="1"/>
  <c r="F37" i="57"/>
  <c r="F12" i="57" s="1"/>
  <c r="H14" i="43"/>
  <c r="H15" i="43" s="1"/>
  <c r="G36" i="59"/>
  <c r="G11" i="59" s="1"/>
  <c r="I11" i="59" s="1"/>
  <c r="G8" i="2" s="1"/>
  <c r="G36" i="58"/>
  <c r="G11" i="58" s="1"/>
  <c r="G36" i="57"/>
  <c r="G11" i="57" s="1"/>
  <c r="G36" i="56"/>
  <c r="G11" i="56" s="1"/>
  <c r="I11" i="56" s="1"/>
  <c r="D8" i="2" s="1"/>
  <c r="F43" i="57"/>
  <c r="F43" i="59"/>
  <c r="F43" i="58"/>
  <c r="F43" i="56"/>
  <c r="E45" i="57"/>
  <c r="E20" i="57" s="1"/>
  <c r="E45" i="59"/>
  <c r="E20" i="59" s="1"/>
  <c r="E45" i="58"/>
  <c r="E20" i="58" s="1"/>
  <c r="E45" i="56"/>
  <c r="E20" i="56" s="1"/>
  <c r="E20" i="43"/>
  <c r="C33" i="43"/>
  <c r="C34" i="43" s="1"/>
  <c r="C40" i="43" s="1"/>
  <c r="C48" i="43" s="1"/>
  <c r="I27" i="51"/>
  <c r="E21" i="59"/>
  <c r="E46" i="59" s="1"/>
  <c r="F21" i="59"/>
  <c r="F46" i="59" s="1"/>
  <c r="G3" i="2"/>
  <c r="D14" i="58"/>
  <c r="E21" i="58"/>
  <c r="E46" i="58" s="1"/>
  <c r="H14" i="58"/>
  <c r="C9" i="57"/>
  <c r="C14" i="56"/>
  <c r="E13" i="43"/>
  <c r="H21" i="56"/>
  <c r="H14" i="56"/>
  <c r="C32" i="56"/>
  <c r="H8" i="56"/>
  <c r="H9" i="56" s="1"/>
  <c r="E14" i="59"/>
  <c r="E21" i="43"/>
  <c r="E46" i="43" s="1"/>
  <c r="C14" i="43"/>
  <c r="G8" i="57"/>
  <c r="G9" i="57" s="1"/>
  <c r="D8" i="57"/>
  <c r="D9" i="57" s="1"/>
  <c r="I7" i="57"/>
  <c r="E4" i="2" s="1"/>
  <c r="H6" i="36" s="1"/>
  <c r="H5" i="36" s="1"/>
  <c r="H17" i="36" s="1"/>
  <c r="H19" i="36" s="1"/>
  <c r="D12" i="43"/>
  <c r="H40" i="43"/>
  <c r="F12" i="43"/>
  <c r="M17" i="36"/>
  <c r="E22" i="36"/>
  <c r="C19" i="36"/>
  <c r="E23" i="36"/>
  <c r="C18" i="36"/>
  <c r="D18" i="36" s="1"/>
  <c r="E18" i="36" s="1"/>
  <c r="G45" i="59"/>
  <c r="G20" i="59" s="1"/>
  <c r="G45" i="58"/>
  <c r="G20" i="58" s="1"/>
  <c r="I20" i="58" s="1"/>
  <c r="F17" i="2" s="1"/>
  <c r="G45" i="56"/>
  <c r="G20" i="56" s="1"/>
  <c r="G45" i="57"/>
  <c r="G20" i="57" s="1"/>
  <c r="G44" i="59"/>
  <c r="G19" i="59" s="1"/>
  <c r="I19" i="59" s="1"/>
  <c r="G16" i="2" s="1"/>
  <c r="G42" i="2" s="1"/>
  <c r="G44" i="57"/>
  <c r="G19" i="57" s="1"/>
  <c r="I19" i="57" s="1"/>
  <c r="E16" i="2" s="1"/>
  <c r="E42" i="2" s="1"/>
  <c r="G44" i="58"/>
  <c r="G19" i="58" s="1"/>
  <c r="I19" i="58" s="1"/>
  <c r="F16" i="2" s="1"/>
  <c r="F42" i="2" s="1"/>
  <c r="G44" i="56"/>
  <c r="G19" i="56" s="1"/>
  <c r="I19" i="56" s="1"/>
  <c r="D16" i="2" s="1"/>
  <c r="D42" i="2" s="1"/>
  <c r="F38" i="59"/>
  <c r="F13" i="59" s="1"/>
  <c r="F38" i="58"/>
  <c r="F13" i="58" s="1"/>
  <c r="I13" i="58" s="1"/>
  <c r="F10" i="2" s="1"/>
  <c r="F38" i="57"/>
  <c r="F13" i="57" s="1"/>
  <c r="F38" i="56"/>
  <c r="F13" i="56" s="1"/>
  <c r="F13" i="43"/>
  <c r="E47" i="59"/>
  <c r="E22" i="59" s="1"/>
  <c r="I22" i="59" s="1"/>
  <c r="E47" i="58"/>
  <c r="E22" i="58" s="1"/>
  <c r="E47" i="56"/>
  <c r="E22" i="56" s="1"/>
  <c r="I22" i="56" s="1"/>
  <c r="E47" i="57"/>
  <c r="E22" i="57" s="1"/>
  <c r="E43" i="59"/>
  <c r="E43" i="58"/>
  <c r="E43" i="57"/>
  <c r="E43" i="56"/>
  <c r="G37" i="59"/>
  <c r="G12" i="59" s="1"/>
  <c r="G37" i="57"/>
  <c r="G12" i="57" s="1"/>
  <c r="G37" i="58"/>
  <c r="G12" i="58" s="1"/>
  <c r="G37" i="56"/>
  <c r="G12" i="56" s="1"/>
  <c r="L9" i="55"/>
  <c r="K10" i="55"/>
  <c r="L10" i="55" s="1"/>
  <c r="D28" i="51"/>
  <c r="E26" i="51"/>
  <c r="I18" i="59"/>
  <c r="I18" i="58"/>
  <c r="I18" i="57"/>
  <c r="I18" i="43"/>
  <c r="I18" i="56"/>
  <c r="C8" i="59"/>
  <c r="I7" i="59"/>
  <c r="G4" i="2" s="1"/>
  <c r="C9" i="59"/>
  <c r="G21" i="57"/>
  <c r="G46" i="57" s="1"/>
  <c r="D21" i="57"/>
  <c r="D46" i="57" s="1"/>
  <c r="F21" i="57"/>
  <c r="F46" i="57" s="1"/>
  <c r="C21" i="57"/>
  <c r="C46" i="57" s="1"/>
  <c r="H21" i="57"/>
  <c r="E21" i="57"/>
  <c r="E46" i="57" s="1"/>
  <c r="E3" i="2"/>
  <c r="H21" i="58"/>
  <c r="H46" i="58" s="1"/>
  <c r="F14" i="58"/>
  <c r="I11" i="58"/>
  <c r="F8" i="2" s="1"/>
  <c r="C14" i="58"/>
  <c r="G11" i="43"/>
  <c r="F32" i="57"/>
  <c r="E14" i="56"/>
  <c r="E8" i="56"/>
  <c r="I8" i="56" s="1"/>
  <c r="D5" i="2" s="1"/>
  <c r="E9" i="56"/>
  <c r="F20" i="43"/>
  <c r="G13" i="43"/>
  <c r="F10" i="43"/>
  <c r="I10" i="43" s="1"/>
  <c r="C7" i="2" s="1"/>
  <c r="D8" i="43"/>
  <c r="I8" i="43" s="1"/>
  <c r="C5" i="2" s="1"/>
  <c r="I22" i="43"/>
  <c r="E40" i="43"/>
  <c r="E48" i="43" s="1"/>
  <c r="I7" i="56"/>
  <c r="D4" i="2" s="1"/>
  <c r="G6" i="36" s="1"/>
  <c r="G5" i="36" s="1"/>
  <c r="G17" i="36" s="1"/>
  <c r="G19" i="36" s="1"/>
  <c r="G40" i="43"/>
  <c r="G48" i="43" s="1"/>
  <c r="I13" i="43" l="1"/>
  <c r="C10" i="2" s="1"/>
  <c r="C36" i="2" s="1"/>
  <c r="F14" i="43"/>
  <c r="F15" i="43" s="1"/>
  <c r="I13" i="59"/>
  <c r="G10" i="2" s="1"/>
  <c r="G36" i="2" s="1"/>
  <c r="I20" i="59"/>
  <c r="G17" i="2" s="1"/>
  <c r="G43" i="2" s="1"/>
  <c r="F18" i="36"/>
  <c r="G18" i="36" s="1"/>
  <c r="H18" i="36" s="1"/>
  <c r="I20" i="43"/>
  <c r="C17" i="2" s="1"/>
  <c r="F14" i="56"/>
  <c r="I12" i="57"/>
  <c r="E9" i="2" s="1"/>
  <c r="E35" i="2" s="1"/>
  <c r="I13" i="57"/>
  <c r="E10" i="2" s="1"/>
  <c r="I20" i="56"/>
  <c r="D17" i="2" s="1"/>
  <c r="I20" i="57"/>
  <c r="E17" i="2" s="1"/>
  <c r="I12" i="58"/>
  <c r="F9" i="2" s="1"/>
  <c r="F35" i="2" s="1"/>
  <c r="I13" i="56"/>
  <c r="D10" i="2" s="1"/>
  <c r="D36" i="2" s="1"/>
  <c r="F14" i="57"/>
  <c r="E40" i="57"/>
  <c r="I12" i="56"/>
  <c r="D9" i="2" s="1"/>
  <c r="D35" i="2" s="1"/>
  <c r="I12" i="59"/>
  <c r="G9" i="2" s="1"/>
  <c r="G35" i="2" s="1"/>
  <c r="D15" i="57"/>
  <c r="D32" i="57"/>
  <c r="D34" i="57" s="1"/>
  <c r="D40" i="57" s="1"/>
  <c r="D48" i="57" s="1"/>
  <c r="C30" i="2"/>
  <c r="E36" i="2"/>
  <c r="F16" i="43"/>
  <c r="G32" i="57"/>
  <c r="G34" i="57" s="1"/>
  <c r="G40" i="57" s="1"/>
  <c r="G48" i="57" s="1"/>
  <c r="C43" i="2"/>
  <c r="D16" i="56"/>
  <c r="D19" i="2"/>
  <c r="F36" i="2"/>
  <c r="H15" i="56"/>
  <c r="H32" i="56"/>
  <c r="H34" i="56" s="1"/>
  <c r="H40" i="56" s="1"/>
  <c r="D43" i="2"/>
  <c r="E15" i="56"/>
  <c r="E32" i="56"/>
  <c r="E34" i="56" s="1"/>
  <c r="E40" i="56" s="1"/>
  <c r="E48" i="56" s="1"/>
  <c r="F34" i="2"/>
  <c r="C32" i="59"/>
  <c r="G34" i="2"/>
  <c r="F18" i="43"/>
  <c r="F17" i="43" s="1"/>
  <c r="F23" i="43" s="1"/>
  <c r="F24" i="43" s="1"/>
  <c r="C18" i="43"/>
  <c r="C17" i="43" s="1"/>
  <c r="C60" i="2"/>
  <c r="H18" i="43"/>
  <c r="H17" i="43" s="1"/>
  <c r="E18" i="43"/>
  <c r="E17" i="43" s="1"/>
  <c r="G18" i="43"/>
  <c r="G17" i="43" s="1"/>
  <c r="G23" i="43" s="1"/>
  <c r="D18" i="43"/>
  <c r="D17" i="43" s="1"/>
  <c r="D23" i="43" s="1"/>
  <c r="G18" i="59"/>
  <c r="G17" i="59" s="1"/>
  <c r="G23" i="59" s="1"/>
  <c r="D18" i="59"/>
  <c r="D17" i="59" s="1"/>
  <c r="D23" i="59" s="1"/>
  <c r="H18" i="59"/>
  <c r="H17" i="59" s="1"/>
  <c r="H23" i="59" s="1"/>
  <c r="C18" i="59"/>
  <c r="C17" i="59" s="1"/>
  <c r="F18" i="59"/>
  <c r="E18" i="59"/>
  <c r="G60" i="2"/>
  <c r="C8" i="58"/>
  <c r="F8" i="58"/>
  <c r="F9" i="58" s="1"/>
  <c r="E17" i="59"/>
  <c r="F43" i="2"/>
  <c r="I9" i="56"/>
  <c r="D6" i="2" s="1"/>
  <c r="D49" i="2" s="1"/>
  <c r="C32" i="57"/>
  <c r="I9" i="57"/>
  <c r="E6" i="2" s="1"/>
  <c r="E8" i="58"/>
  <c r="E9" i="58" s="1"/>
  <c r="F14" i="59"/>
  <c r="I14" i="59" s="1"/>
  <c r="G11" i="2" s="1"/>
  <c r="F17" i="59"/>
  <c r="G14" i="57"/>
  <c r="G15" i="57" s="1"/>
  <c r="H16" i="43"/>
  <c r="H3" i="2"/>
  <c r="I11" i="57"/>
  <c r="E8" i="2" s="1"/>
  <c r="I8" i="57"/>
  <c r="E5" i="2" s="1"/>
  <c r="D8" i="58"/>
  <c r="D9" i="58" s="1"/>
  <c r="D40" i="56"/>
  <c r="D48" i="56" s="1"/>
  <c r="G40" i="56"/>
  <c r="G48" i="56" s="1"/>
  <c r="E14" i="43"/>
  <c r="E15" i="43" s="1"/>
  <c r="G14" i="43"/>
  <c r="G15" i="43" s="1"/>
  <c r="G19" i="2"/>
  <c r="G18" i="57"/>
  <c r="G17" i="57" s="1"/>
  <c r="G23" i="57" s="1"/>
  <c r="D18" i="57"/>
  <c r="D17" i="57" s="1"/>
  <c r="D23" i="57" s="1"/>
  <c r="F18" i="57"/>
  <c r="C18" i="57"/>
  <c r="C17" i="57" s="1"/>
  <c r="H18" i="57"/>
  <c r="H17" i="57" s="1"/>
  <c r="E18" i="57"/>
  <c r="E60" i="2"/>
  <c r="F26" i="51"/>
  <c r="E28" i="51"/>
  <c r="E17" i="57"/>
  <c r="E23" i="57"/>
  <c r="E24" i="57" s="1"/>
  <c r="E23" i="59"/>
  <c r="I12" i="43"/>
  <c r="C9" i="2" s="1"/>
  <c r="I11" i="43"/>
  <c r="C8" i="2" s="1"/>
  <c r="D34" i="2"/>
  <c r="I22" i="58"/>
  <c r="G8" i="58"/>
  <c r="G9" i="58" s="1"/>
  <c r="C10" i="56"/>
  <c r="C33" i="56"/>
  <c r="F17" i="56"/>
  <c r="F23" i="56" s="1"/>
  <c r="F17" i="57"/>
  <c r="F23" i="57" s="1"/>
  <c r="G14" i="58"/>
  <c r="I14" i="58" s="1"/>
  <c r="F11" i="2" s="1"/>
  <c r="I14" i="57"/>
  <c r="E11" i="2" s="1"/>
  <c r="F23" i="59"/>
  <c r="F48" i="43"/>
  <c r="H4" i="2"/>
  <c r="L6" i="36" s="1"/>
  <c r="L5" i="36" s="1"/>
  <c r="L17" i="36" s="1"/>
  <c r="L19" i="36" s="1"/>
  <c r="H16" i="2"/>
  <c r="H42" i="2" s="1"/>
  <c r="C42" i="2"/>
  <c r="C19" i="2"/>
  <c r="D9" i="43"/>
  <c r="E16" i="57"/>
  <c r="H46" i="57"/>
  <c r="H48" i="57" s="1"/>
  <c r="H23" i="57"/>
  <c r="H24" i="57" s="1"/>
  <c r="H18" i="56"/>
  <c r="H17" i="56" s="1"/>
  <c r="E18" i="56"/>
  <c r="E17" i="56" s="1"/>
  <c r="E23" i="56" s="1"/>
  <c r="G18" i="56"/>
  <c r="G17" i="56" s="1"/>
  <c r="G23" i="56" s="1"/>
  <c r="D18" i="56"/>
  <c r="D17" i="56" s="1"/>
  <c r="D23" i="56" s="1"/>
  <c r="D24" i="56" s="1"/>
  <c r="F18" i="56"/>
  <c r="C18" i="56"/>
  <c r="C17" i="56" s="1"/>
  <c r="D60" i="2"/>
  <c r="H18" i="58"/>
  <c r="H17" i="58" s="1"/>
  <c r="H23" i="58" s="1"/>
  <c r="E18" i="58"/>
  <c r="E17" i="58" s="1"/>
  <c r="E23" i="58" s="1"/>
  <c r="G18" i="58"/>
  <c r="D18" i="58"/>
  <c r="D17" i="58" s="1"/>
  <c r="D23" i="58" s="1"/>
  <c r="F18" i="58"/>
  <c r="F17" i="58" s="1"/>
  <c r="F23" i="58" s="1"/>
  <c r="C18" i="58"/>
  <c r="C17" i="58" s="1"/>
  <c r="F60" i="2"/>
  <c r="G8" i="59"/>
  <c r="G9" i="59" s="1"/>
  <c r="D8" i="59"/>
  <c r="D9" i="59" s="1"/>
  <c r="I9" i="59" s="1"/>
  <c r="G6" i="2" s="1"/>
  <c r="H8" i="59"/>
  <c r="H9" i="59" s="1"/>
  <c r="E8" i="59"/>
  <c r="E9" i="59" s="1"/>
  <c r="I22" i="36"/>
  <c r="M19" i="36"/>
  <c r="I23" i="36"/>
  <c r="C20" i="36"/>
  <c r="D20" i="36" s="1"/>
  <c r="E20" i="36" s="1"/>
  <c r="F20" i="36" s="1"/>
  <c r="G20" i="36" s="1"/>
  <c r="H20" i="36" s="1"/>
  <c r="C34" i="56"/>
  <c r="C40" i="56" s="1"/>
  <c r="C48" i="56" s="1"/>
  <c r="H46" i="56"/>
  <c r="H23" i="56"/>
  <c r="F8" i="59"/>
  <c r="F9" i="59" s="1"/>
  <c r="G14" i="56"/>
  <c r="G15" i="56" s="1"/>
  <c r="G14" i="59"/>
  <c r="H46" i="43"/>
  <c r="H48" i="43" s="1"/>
  <c r="H23" i="43"/>
  <c r="H24" i="43" s="1"/>
  <c r="C15" i="43"/>
  <c r="E48" i="57"/>
  <c r="D14" i="43"/>
  <c r="I14" i="43" s="1"/>
  <c r="C11" i="2" s="1"/>
  <c r="I22" i="57"/>
  <c r="H8" i="58"/>
  <c r="H9" i="58" s="1"/>
  <c r="F10" i="56"/>
  <c r="F33" i="56"/>
  <c r="F34" i="56" s="1"/>
  <c r="F40" i="56" s="1"/>
  <c r="F48" i="56" s="1"/>
  <c r="G17" i="58"/>
  <c r="G23" i="58" s="1"/>
  <c r="E23" i="43"/>
  <c r="C6" i="2"/>
  <c r="C47" i="2" l="1"/>
  <c r="F15" i="56"/>
  <c r="H10" i="2"/>
  <c r="H36" i="2" s="1"/>
  <c r="H17" i="2"/>
  <c r="H43" i="2" s="1"/>
  <c r="E43" i="2"/>
  <c r="E25" i="57"/>
  <c r="E26" i="57" s="1"/>
  <c r="E27" i="57" s="1"/>
  <c r="H25" i="43"/>
  <c r="H26" i="43" s="1"/>
  <c r="H27" i="43" s="1"/>
  <c r="G29" i="2"/>
  <c r="G50" i="2"/>
  <c r="G49" i="2"/>
  <c r="G47" i="2"/>
  <c r="D25" i="56"/>
  <c r="D26" i="56" s="1"/>
  <c r="D27" i="56" s="1"/>
  <c r="G24" i="57"/>
  <c r="G16" i="57"/>
  <c r="F25" i="43"/>
  <c r="F26" i="43" s="1"/>
  <c r="F27" i="43" s="1"/>
  <c r="F24" i="56"/>
  <c r="F16" i="56"/>
  <c r="E19" i="2"/>
  <c r="E51" i="2" s="1"/>
  <c r="C16" i="43"/>
  <c r="F32" i="59"/>
  <c r="I24" i="36"/>
  <c r="I20" i="36"/>
  <c r="J20" i="36" s="1"/>
  <c r="K20" i="36" s="1"/>
  <c r="L20" i="36" s="1"/>
  <c r="E32" i="59"/>
  <c r="E34" i="59" s="1"/>
  <c r="E40" i="59" s="1"/>
  <c r="E48" i="59" s="1"/>
  <c r="E15" i="59"/>
  <c r="G32" i="59"/>
  <c r="G34" i="59" s="1"/>
  <c r="G40" i="59" s="1"/>
  <c r="G48" i="59" s="1"/>
  <c r="G15" i="59"/>
  <c r="I17" i="56"/>
  <c r="I8" i="59"/>
  <c r="G5" i="2" s="1"/>
  <c r="D15" i="43"/>
  <c r="I9" i="43"/>
  <c r="C33" i="57"/>
  <c r="C10" i="57"/>
  <c r="F19" i="2"/>
  <c r="H8" i="2"/>
  <c r="C34" i="2"/>
  <c r="I17" i="57"/>
  <c r="E14" i="2" s="1"/>
  <c r="E41" i="2" s="1"/>
  <c r="E34" i="2"/>
  <c r="E29" i="2"/>
  <c r="E50" i="2"/>
  <c r="E24" i="36"/>
  <c r="I18" i="36"/>
  <c r="J18" i="36" s="1"/>
  <c r="K18" i="36" s="1"/>
  <c r="L18" i="36" s="1"/>
  <c r="I17" i="59"/>
  <c r="C23" i="59"/>
  <c r="I17" i="43"/>
  <c r="C23" i="43"/>
  <c r="C24" i="43" s="1"/>
  <c r="H24" i="56"/>
  <c r="H16" i="56"/>
  <c r="D51" i="2"/>
  <c r="D47" i="2"/>
  <c r="E47" i="2"/>
  <c r="C23" i="56"/>
  <c r="F33" i="57"/>
  <c r="F34" i="57" s="1"/>
  <c r="F40" i="57" s="1"/>
  <c r="F48" i="57" s="1"/>
  <c r="F10" i="57"/>
  <c r="F15" i="57" s="1"/>
  <c r="G24" i="56"/>
  <c r="G16" i="56"/>
  <c r="I14" i="56"/>
  <c r="D11" i="2" s="1"/>
  <c r="H11" i="2" s="1"/>
  <c r="H15" i="59"/>
  <c r="H32" i="59"/>
  <c r="H34" i="59" s="1"/>
  <c r="H40" i="59" s="1"/>
  <c r="H48" i="59" s="1"/>
  <c r="H26" i="57"/>
  <c r="H27" i="57" s="1"/>
  <c r="H25" i="57"/>
  <c r="C51" i="2"/>
  <c r="C23" i="57"/>
  <c r="H9" i="2"/>
  <c r="H35" i="2" s="1"/>
  <c r="C35" i="2"/>
  <c r="G16" i="43"/>
  <c r="G24" i="43"/>
  <c r="D32" i="58"/>
  <c r="D34" i="58" s="1"/>
  <c r="D40" i="58" s="1"/>
  <c r="D48" i="58" s="1"/>
  <c r="D15" i="58"/>
  <c r="E32" i="58"/>
  <c r="E34" i="58" s="1"/>
  <c r="E40" i="58" s="1"/>
  <c r="E48" i="58" s="1"/>
  <c r="E15" i="58"/>
  <c r="C34" i="57"/>
  <c r="C40" i="57" s="1"/>
  <c r="C48" i="57" s="1"/>
  <c r="F32" i="58"/>
  <c r="C49" i="2"/>
  <c r="D24" i="57"/>
  <c r="D16" i="57"/>
  <c r="C29" i="2"/>
  <c r="C31" i="2" s="1"/>
  <c r="C32" i="2" s="1"/>
  <c r="C50" i="2"/>
  <c r="H15" i="58"/>
  <c r="H32" i="58"/>
  <c r="H34" i="58" s="1"/>
  <c r="H40" i="58" s="1"/>
  <c r="H48" i="58" s="1"/>
  <c r="D32" i="59"/>
  <c r="D34" i="59" s="1"/>
  <c r="D40" i="59" s="1"/>
  <c r="D48" i="59" s="1"/>
  <c r="D15" i="59"/>
  <c r="I17" i="58"/>
  <c r="F14" i="2" s="1"/>
  <c r="C23" i="58"/>
  <c r="I10" i="56"/>
  <c r="D7" i="2" s="1"/>
  <c r="C15" i="56"/>
  <c r="G32" i="58"/>
  <c r="G34" i="58" s="1"/>
  <c r="G40" i="58" s="1"/>
  <c r="G48" i="58" s="1"/>
  <c r="G15" i="58"/>
  <c r="F28" i="51"/>
  <c r="G26" i="51"/>
  <c r="G51" i="2"/>
  <c r="E16" i="43"/>
  <c r="E24" i="43"/>
  <c r="D29" i="2"/>
  <c r="D50" i="2"/>
  <c r="I8" i="58"/>
  <c r="F5" i="2" s="1"/>
  <c r="H5" i="2" s="1"/>
  <c r="C9" i="58"/>
  <c r="E24" i="56"/>
  <c r="E16" i="56"/>
  <c r="E49" i="2"/>
  <c r="H48" i="56"/>
  <c r="H19" i="2" l="1"/>
  <c r="E48" i="2"/>
  <c r="C25" i="43"/>
  <c r="C26" i="43" s="1"/>
  <c r="E25" i="43"/>
  <c r="E26" i="43" s="1"/>
  <c r="E27" i="43" s="1"/>
  <c r="G24" i="58"/>
  <c r="G16" i="58"/>
  <c r="D30" i="2"/>
  <c r="D24" i="59"/>
  <c r="D16" i="59"/>
  <c r="D25" i="57"/>
  <c r="D26" i="57" s="1"/>
  <c r="D27" i="57" s="1"/>
  <c r="G25" i="43"/>
  <c r="G26" i="43" s="1"/>
  <c r="G27" i="43" s="1"/>
  <c r="F16" i="57"/>
  <c r="F24" i="57"/>
  <c r="D16" i="43"/>
  <c r="D24" i="43"/>
  <c r="G24" i="59"/>
  <c r="G16" i="59"/>
  <c r="I15" i="43"/>
  <c r="I23" i="57"/>
  <c r="E20" i="2" s="1"/>
  <c r="G25" i="57"/>
  <c r="G26" i="57" s="1"/>
  <c r="G27" i="57" s="1"/>
  <c r="E25" i="56"/>
  <c r="E26" i="56" s="1"/>
  <c r="E27" i="56" s="1"/>
  <c r="G28" i="51"/>
  <c r="H26" i="51"/>
  <c r="H24" i="58"/>
  <c r="H16" i="58"/>
  <c r="D24" i="58"/>
  <c r="D16" i="58"/>
  <c r="G14" i="2"/>
  <c r="I23" i="59"/>
  <c r="G20" i="2" s="1"/>
  <c r="I23" i="58"/>
  <c r="F20" i="2" s="1"/>
  <c r="C33" i="58"/>
  <c r="C10" i="58"/>
  <c r="C32" i="58"/>
  <c r="I9" i="58"/>
  <c r="F6" i="2" s="1"/>
  <c r="D31" i="2"/>
  <c r="D32" i="2" s="1"/>
  <c r="C24" i="56"/>
  <c r="C16" i="56"/>
  <c r="I15" i="56"/>
  <c r="F41" i="2"/>
  <c r="E24" i="58"/>
  <c r="E16" i="58"/>
  <c r="H24" i="59"/>
  <c r="H16" i="59"/>
  <c r="G25" i="56"/>
  <c r="G26" i="56" s="1"/>
  <c r="G27" i="56" s="1"/>
  <c r="F33" i="58"/>
  <c r="F34" i="58" s="1"/>
  <c r="F40" i="58" s="1"/>
  <c r="F48" i="58" s="1"/>
  <c r="F10" i="58"/>
  <c r="F15" i="58" s="1"/>
  <c r="H25" i="56"/>
  <c r="H26" i="56"/>
  <c r="H27" i="56" s="1"/>
  <c r="C14" i="2"/>
  <c r="I23" i="43"/>
  <c r="H34" i="2"/>
  <c r="I10" i="57"/>
  <c r="E7" i="2" s="1"/>
  <c r="E30" i="2" s="1"/>
  <c r="E31" i="2" s="1"/>
  <c r="E32" i="2" s="1"/>
  <c r="C15" i="57"/>
  <c r="D14" i="2"/>
  <c r="I23" i="56"/>
  <c r="D20" i="2" s="1"/>
  <c r="E24" i="59"/>
  <c r="E16" i="59"/>
  <c r="F25" i="56"/>
  <c r="F26" i="56" s="1"/>
  <c r="F27" i="56" s="1"/>
  <c r="I10" i="58" l="1"/>
  <c r="F7" i="2" s="1"/>
  <c r="F30" i="2" s="1"/>
  <c r="C34" i="58"/>
  <c r="C40" i="58" s="1"/>
  <c r="C48" i="58" s="1"/>
  <c r="C27" i="43"/>
  <c r="C25" i="56"/>
  <c r="C26" i="56" s="1"/>
  <c r="F29" i="2"/>
  <c r="F31" i="2" s="1"/>
  <c r="F32" i="2" s="1"/>
  <c r="F50" i="2"/>
  <c r="F47" i="2"/>
  <c r="F49" i="2"/>
  <c r="H6" i="2"/>
  <c r="H26" i="58"/>
  <c r="H27" i="58" s="1"/>
  <c r="H25" i="58"/>
  <c r="I24" i="43"/>
  <c r="I25" i="43" s="1"/>
  <c r="I16" i="43"/>
  <c r="C12" i="2"/>
  <c r="D25" i="43"/>
  <c r="D26" i="43" s="1"/>
  <c r="F25" i="57"/>
  <c r="F26" i="57" s="1"/>
  <c r="F27" i="57" s="1"/>
  <c r="D25" i="59"/>
  <c r="D26" i="59" s="1"/>
  <c r="D27" i="59" s="1"/>
  <c r="D41" i="2"/>
  <c r="D48" i="2"/>
  <c r="F33" i="59"/>
  <c r="F34" i="59" s="1"/>
  <c r="F40" i="59" s="1"/>
  <c r="F48" i="59" s="1"/>
  <c r="F10" i="59"/>
  <c r="F15" i="59" s="1"/>
  <c r="E25" i="58"/>
  <c r="E26" i="58" s="1"/>
  <c r="E27" i="58" s="1"/>
  <c r="I16" i="56"/>
  <c r="D13" i="2" s="1"/>
  <c r="I24" i="56"/>
  <c r="D12" i="2"/>
  <c r="D38" i="2" s="1"/>
  <c r="D39" i="2" s="1"/>
  <c r="D25" i="58"/>
  <c r="D26" i="58" s="1"/>
  <c r="D27" i="58" s="1"/>
  <c r="H28" i="51"/>
  <c r="I26" i="51"/>
  <c r="H60" i="2" s="1"/>
  <c r="G25" i="58"/>
  <c r="G26" i="58" s="1"/>
  <c r="G27" i="58" s="1"/>
  <c r="E25" i="59"/>
  <c r="E26" i="59" s="1"/>
  <c r="E27" i="59" s="1"/>
  <c r="C16" i="57"/>
  <c r="C24" i="57"/>
  <c r="I15" i="57"/>
  <c r="H14" i="2"/>
  <c r="C41" i="2"/>
  <c r="C20" i="2"/>
  <c r="C48" i="2"/>
  <c r="F16" i="58"/>
  <c r="F24" i="58"/>
  <c r="H26" i="59"/>
  <c r="H27" i="59" s="1"/>
  <c r="H25" i="59"/>
  <c r="F48" i="2"/>
  <c r="C15" i="58"/>
  <c r="C33" i="59"/>
  <c r="C34" i="59" s="1"/>
  <c r="C40" i="59" s="1"/>
  <c r="C48" i="59" s="1"/>
  <c r="C10" i="59"/>
  <c r="G41" i="2"/>
  <c r="G48" i="2"/>
  <c r="G25" i="59"/>
  <c r="G26" i="59" s="1"/>
  <c r="G27" i="59" s="1"/>
  <c r="F51" i="2"/>
  <c r="I26" i="56" l="1"/>
  <c r="C27" i="56"/>
  <c r="D27" i="43"/>
  <c r="I26" i="43"/>
  <c r="I27" i="43" s="1"/>
  <c r="C16" i="58"/>
  <c r="C24" i="58"/>
  <c r="I15" i="58"/>
  <c r="H41" i="2"/>
  <c r="H48" i="2"/>
  <c r="I25" i="56"/>
  <c r="D22" i="2" s="1"/>
  <c r="D21" i="2"/>
  <c r="D53" i="2" s="1"/>
  <c r="I10" i="59"/>
  <c r="G7" i="2" s="1"/>
  <c r="C15" i="59"/>
  <c r="F25" i="58"/>
  <c r="F26" i="58" s="1"/>
  <c r="F27" i="58" s="1"/>
  <c r="H20" i="2"/>
  <c r="I16" i="57"/>
  <c r="E13" i="2" s="1"/>
  <c r="I24" i="57"/>
  <c r="E12" i="2"/>
  <c r="E38" i="2" s="1"/>
  <c r="E39" i="2" s="1"/>
  <c r="F24" i="59"/>
  <c r="F16" i="59"/>
  <c r="C25" i="57"/>
  <c r="C26" i="57" s="1"/>
  <c r="C38" i="2"/>
  <c r="C39" i="2" s="1"/>
  <c r="C21" i="2"/>
  <c r="C13" i="2"/>
  <c r="H29" i="2"/>
  <c r="H50" i="2"/>
  <c r="H47" i="2"/>
  <c r="H49" i="2"/>
  <c r="H51" i="2"/>
  <c r="C27" i="57" l="1"/>
  <c r="I26" i="57"/>
  <c r="F25" i="59"/>
  <c r="F26" i="59" s="1"/>
  <c r="F27" i="59" s="1"/>
  <c r="G30" i="2"/>
  <c r="G31" i="2" s="1"/>
  <c r="G32" i="2" s="1"/>
  <c r="H7" i="2"/>
  <c r="C25" i="58"/>
  <c r="C26" i="58" s="1"/>
  <c r="C53" i="2"/>
  <c r="C22" i="2"/>
  <c r="C23" i="2" s="1"/>
  <c r="I25" i="57"/>
  <c r="E22" i="2" s="1"/>
  <c r="E21" i="2"/>
  <c r="E53" i="2" s="1"/>
  <c r="I15" i="59"/>
  <c r="C24" i="59"/>
  <c r="C16" i="59"/>
  <c r="I16" i="58"/>
  <c r="F13" i="2" s="1"/>
  <c r="I24" i="58"/>
  <c r="F12" i="2"/>
  <c r="F38" i="2" s="1"/>
  <c r="F39" i="2" s="1"/>
  <c r="I27" i="56"/>
  <c r="D24" i="2" s="1"/>
  <c r="D23" i="2"/>
  <c r="C59" i="2" l="1"/>
  <c r="C58" i="2" s="1"/>
  <c r="C52" i="2"/>
  <c r="C24" i="2"/>
  <c r="I26" i="58"/>
  <c r="C27" i="58"/>
  <c r="H30" i="2"/>
  <c r="H31" i="2" s="1"/>
  <c r="H32" i="2" s="1"/>
  <c r="H12" i="2"/>
  <c r="D59" i="2"/>
  <c r="D58" i="2" s="1"/>
  <c r="D52" i="2"/>
  <c r="I25" i="58"/>
  <c r="F22" i="2" s="1"/>
  <c r="F21" i="2"/>
  <c r="F53" i="2" s="1"/>
  <c r="C25" i="59"/>
  <c r="C26" i="59" s="1"/>
  <c r="I27" i="57"/>
  <c r="E24" i="2" s="1"/>
  <c r="E23" i="2"/>
  <c r="I24" i="59"/>
  <c r="I16" i="59"/>
  <c r="G13" i="2" s="1"/>
  <c r="G12" i="2"/>
  <c r="G38" i="2" s="1"/>
  <c r="G39" i="2" s="1"/>
  <c r="E59" i="2" l="1"/>
  <c r="E58" i="2" s="1"/>
  <c r="E52" i="2"/>
  <c r="I26" i="59"/>
  <c r="C27" i="59"/>
  <c r="I25" i="59"/>
  <c r="G22" i="2" s="1"/>
  <c r="G21" i="2"/>
  <c r="G53" i="2" s="1"/>
  <c r="H38" i="2"/>
  <c r="H39" i="2" s="1"/>
  <c r="H21" i="2"/>
  <c r="H13" i="2"/>
  <c r="I27" i="58"/>
  <c r="F24" i="2" s="1"/>
  <c r="F23" i="2"/>
  <c r="I27" i="59" l="1"/>
  <c r="G24" i="2" s="1"/>
  <c r="G23" i="2"/>
  <c r="F59" i="2"/>
  <c r="F58" i="2" s="1"/>
  <c r="F52" i="2"/>
  <c r="H53" i="2"/>
  <c r="H22" i="2"/>
  <c r="H23" i="2" s="1"/>
  <c r="H59" i="2" l="1"/>
  <c r="H58" i="2" s="1"/>
  <c r="H52" i="2"/>
  <c r="H24" i="2"/>
  <c r="G59" i="2"/>
  <c r="G58" i="2" s="1"/>
  <c r="G52" i="2"/>
</calcChain>
</file>

<file path=xl/comments1.xml><?xml version="1.0" encoding="utf-8"?>
<comments xmlns="http://schemas.openxmlformats.org/spreadsheetml/2006/main">
  <authors>
    <author>作者</author>
  </authors>
  <commentList>
    <comment ref="J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<sst xmlns="http://schemas.openxmlformats.org/spreadsheetml/2006/main" count="1456" uniqueCount="281">
  <si>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</si>
  <si>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</si>
  <si>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</si>
  <si>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</si>
  <si>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</si>
  <si>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</si>
  <si>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</si>
  <si>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</si>
  <si>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成本预估由项目提供差异件清单，按现有产品推算出来。供应商年度降价与销价降价幅度同步。</t>
  </si>
  <si>
    <t>单台材料成本为未税价格。</t>
  </si>
  <si>
    <t>变动费用</t>
  </si>
  <si>
    <t>变动费用参考河北工厂2021年实际及2022预算暂估。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</si>
  <si>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</si>
  <si>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</si>
  <si>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</si>
  <si>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</si>
  <si>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</si>
  <si>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</si>
  <si>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</si>
  <si>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</si>
  <si>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r>
      <rPr>
        <b/>
        <sz val="10"/>
        <rFont val="CorpoS"/>
        <family val="1"/>
      </rPr>
      <t>2023</t>
    </r>
    <r>
      <rPr>
        <b/>
        <sz val="10"/>
        <rFont val="宋体"/>
        <family val="3"/>
        <charset val="134"/>
      </rPr>
      <t>年</t>
    </r>
  </si>
  <si>
    <r>
      <rPr>
        <b/>
        <sz val="10"/>
        <rFont val="CorpoS"/>
        <family val="1"/>
      </rPr>
      <t>2024年</t>
    </r>
  </si>
  <si>
    <r>
      <rPr>
        <b/>
        <sz val="10"/>
        <rFont val="CorpoS"/>
        <family val="1"/>
      </rPr>
      <t>2025年</t>
    </r>
  </si>
  <si>
    <r>
      <rPr>
        <b/>
        <sz val="10"/>
        <rFont val="CorpoS"/>
        <family val="1"/>
      </rPr>
      <t>2026年</t>
    </r>
  </si>
  <si>
    <r>
      <rPr>
        <b/>
        <sz val="10"/>
        <rFont val="CorpoS"/>
        <family val="1"/>
      </rPr>
      <t>2027年</t>
    </r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</si>
  <si>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</si>
  <si>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</si>
  <si>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</si>
  <si>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</si>
  <si>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</si>
  <si>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</si>
  <si>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</si>
  <si>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</si>
  <si>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</si>
  <si>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</si>
  <si>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</si>
  <si>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</si>
  <si>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</si>
  <si>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</si>
  <si>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</si>
  <si>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</si>
  <si>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</si>
  <si>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</si>
  <si>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</si>
  <si>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</si>
  <si>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</si>
  <si>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</si>
  <si>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</si>
  <si>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</si>
  <si>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</si>
  <si>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</si>
  <si>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</si>
  <si>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</si>
  <si>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</si>
  <si>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</si>
  <si>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</si>
  <si>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</si>
  <si>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</si>
  <si>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</si>
  <si>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</si>
  <si>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</si>
  <si>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</si>
  <si>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</si>
  <si>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</si>
  <si>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</si>
  <si>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</si>
  <si>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</si>
  <si>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</si>
  <si>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</si>
  <si>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</si>
  <si>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</si>
  <si>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</si>
  <si>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</si>
  <si>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t>2022年</t>
  </si>
  <si>
    <r>
      <rPr>
        <b/>
        <sz val="10"/>
        <rFont val="CorpoS"/>
        <family val="1"/>
      </rPr>
      <t>2023年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</si>
  <si>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</si>
  <si>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</si>
  <si>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</si>
  <si>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</si>
  <si>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</si>
  <si>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</si>
  <si>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</si>
  <si>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</si>
  <si>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</si>
  <si>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</si>
  <si>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</si>
  <si>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</si>
  <si>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</si>
  <si>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</si>
  <si>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</si>
  <si>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</si>
  <si>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</si>
  <si>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</si>
  <si>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</si>
  <si>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</si>
  <si>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</si>
  <si>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</si>
  <si>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</si>
  <si>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</si>
  <si>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</si>
  <si>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</si>
  <si>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</si>
  <si>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</si>
  <si>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</si>
  <si>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</si>
  <si>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</si>
  <si>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</si>
  <si>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</si>
  <si>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</si>
  <si>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</si>
  <si>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</si>
  <si>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</si>
  <si>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</si>
  <si>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</si>
  <si>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</si>
  <si>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</si>
  <si>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</si>
  <si>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</si>
  <si>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</si>
  <si>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</si>
  <si>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</si>
  <si>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</si>
  <si>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</si>
  <si>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</si>
  <si>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</si>
  <si>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</si>
  <si>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</si>
  <si>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</si>
  <si>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</si>
  <si>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</si>
  <si>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</si>
  <si>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</si>
  <si>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</si>
  <si>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</si>
  <si>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</si>
  <si>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</si>
  <si>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</si>
  <si>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</si>
  <si>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</si>
  <si>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</si>
  <si>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</si>
  <si>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</si>
  <si>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</si>
  <si>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</si>
  <si>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</si>
  <si>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</si>
  <si>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</si>
  <si>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</si>
  <si>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</si>
  <si>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</si>
  <si>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</si>
  <si>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 xml:space="preserve">2022年  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</si>
  <si>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</si>
  <si>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</si>
  <si>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</si>
  <si>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</si>
  <si>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</si>
  <si>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</si>
  <si>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</si>
  <si>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</si>
  <si>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</si>
  <si>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</si>
  <si>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t xml:space="preserve">2023年  </t>
  </si>
  <si>
    <t xml:space="preserve">2024年  </t>
  </si>
  <si>
    <t xml:space="preserve">2025年  </t>
  </si>
  <si>
    <t xml:space="preserve">2026年  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</si>
  <si>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</si>
  <si>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</si>
  <si>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</si>
  <si>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</si>
  <si>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</si>
  <si>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</si>
  <si>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</si>
  <si>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</si>
  <si>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</si>
  <si>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</si>
  <si>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</si>
  <si>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</si>
  <si>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</si>
  <si>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</si>
  <si>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</si>
  <si>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</si>
  <si>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</si>
  <si>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</si>
  <si>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</si>
  <si>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</si>
  <si>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</si>
  <si>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</si>
  <si>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</si>
  <si>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</si>
  <si>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</si>
  <si>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</si>
  <si>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</si>
  <si>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</si>
  <si>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</si>
  <si>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</si>
  <si>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</si>
  <si>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</si>
  <si>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</si>
  <si>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</si>
  <si>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</si>
  <si>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</si>
  <si>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</si>
  <si>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2026年</t>
  </si>
  <si>
    <t>2027年</t>
  </si>
  <si>
    <t>预计净残值</t>
  </si>
  <si>
    <t>研发费用分摊</t>
  </si>
  <si>
    <t>产品量价规划</t>
  </si>
  <si>
    <t>一、销量、售价</t>
  </si>
  <si>
    <t>预计销价年降</t>
  </si>
  <si>
    <t xml:space="preserve">    年</t>
  </si>
  <si>
    <t>新开发产品</t>
  </si>
  <si>
    <t>左后门上饰条总成</t>
  </si>
  <si>
    <t>右后门上饰条总成</t>
  </si>
  <si>
    <t>左前门上饰条总成</t>
  </si>
  <si>
    <t>右前门上饰条总成</t>
  </si>
  <si>
    <t>B00041333</t>
  </si>
  <si>
    <t>B00041343</t>
  </si>
  <si>
    <t>B00041331</t>
  </si>
  <si>
    <t>B00041332</t>
  </si>
  <si>
    <t>配置</t>
  </si>
  <si>
    <t xml:space="preserve">销售价格
（元，未税）  </t>
  </si>
  <si>
    <t>销量（件）</t>
  </si>
  <si>
    <t>成本</t>
  </si>
  <si>
    <t>附加值率</t>
  </si>
  <si>
    <t xml:space="preserve">项目名称：               </t>
  </si>
  <si>
    <t xml:space="preserve">    年 3-5   %</t>
  </si>
  <si>
    <t>预估原材料成本（单位：元，未税）</t>
  </si>
  <si>
    <t>供应商年降：     5  年0%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</si>
  <si>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</si>
  <si>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</si>
  <si>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</si>
  <si>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</si>
  <si>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</si>
  <si>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</si>
  <si>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</si>
  <si>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</si>
  <si>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河北工厂</t>
  </si>
  <si>
    <t>客户地点</t>
  </si>
  <si>
    <t>北京顺义</t>
  </si>
  <si>
    <t>送货地点</t>
  </si>
  <si>
    <t>客户付款方式</t>
  </si>
  <si>
    <t>同B40座椅</t>
  </si>
  <si>
    <t>现汇或承兑的比例</t>
  </si>
  <si>
    <t>喷涂件生产地点</t>
  </si>
  <si>
    <t>委外加工</t>
  </si>
  <si>
    <t>物流包装信息</t>
  </si>
  <si>
    <t>周转箱汽运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</si>
  <si>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</si>
  <si>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</si>
  <si>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</si>
  <si>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</si>
  <si>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</si>
  <si>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</si>
  <si>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</si>
  <si>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开发费全额支付，模具费，支付一套，摊销一套</t>
  </si>
  <si>
    <t>产品应用场景</t>
  </si>
  <si>
    <t>三包周期</t>
  </si>
  <si>
    <t>涂红色处为必填项</t>
  </si>
  <si>
    <t>单位：元、%、未税</t>
  </si>
  <si>
    <t>科目</t>
  </si>
  <si>
    <t>河北工厂平均值</t>
  </si>
  <si>
    <t>预计</t>
  </si>
  <si>
    <t>座椅单件金额</t>
  </si>
  <si>
    <t>后视镜单件金额</t>
  </si>
  <si>
    <t>综合单件金额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</si>
  <si>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</si>
  <si>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</si>
  <si>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</si>
  <si>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</si>
  <si>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</si>
  <si>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</si>
  <si>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</si>
  <si>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>B60VS车门装饰条项目</t>
    <phoneticPr fontId="43" type="noConversion"/>
  </si>
  <si>
    <t>HSJ2301</t>
    <phoneticPr fontId="43" type="noConversion"/>
  </si>
  <si>
    <t xml:space="preserve">B60VS车门装饰条项目项目研发费用预算表 </t>
    <phoneticPr fontId="43" type="noConversion"/>
  </si>
  <si>
    <t>北京汽车集团越野车有限公司</t>
    <phoneticPr fontId="43" type="noConversion"/>
  </si>
  <si>
    <t>材料成本年降汇总表0%</t>
    <phoneticPr fontId="43" type="noConversion"/>
  </si>
  <si>
    <r>
      <t xml:space="preserve">B60VS车门装饰条项目可行性分析            </t>
    </r>
    <r>
      <rPr>
        <sz val="10"/>
        <color theme="1"/>
        <rFont val="微软雅黑"/>
        <family val="2"/>
        <charset val="134"/>
      </rPr>
      <t>单位：元</t>
    </r>
    <phoneticPr fontId="43" type="noConversion"/>
  </si>
  <si>
    <t>后视镜占收入比率</t>
    <phoneticPr fontId="43" type="noConversion"/>
  </si>
  <si>
    <t>后视镜占收入比率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</si>
</sst>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.0%"/>
    <numFmt numFmtId="178" formatCode="_ * #,##0_ ;_ * \-#,##0_ ;_ * &quot;-&quot;??_ ;_ @_ "/>
    <numFmt numFmtId="179" formatCode="0_ "/>
    <numFmt numFmtId="180" formatCode="0.00_ "/>
  </numFmts>
  <fonts count="45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1"/>
      <name val="宋体"/>
      <family val="3"/>
      <charset val="134"/>
    </font>
    <font>
      <b/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0"/>
      <name val="MS Sans Serif"/>
      <family val="2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i/>
      <sz val="11"/>
      <color theme="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374370555742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0" fontId="33" fillId="0" borderId="2" applyNumberFormat="0" applyFill="0" applyBorder="0" applyAlignment="0" applyProtection="0">
      <alignment vertical="center"/>
    </xf>
    <xf numFmtId="0" fontId="34" fillId="0" borderId="0"/>
    <xf numFmtId="9" fontId="42" fillId="0" borderId="0" applyFont="0" applyFill="0" applyBorder="0" applyAlignment="0" applyProtection="0">
      <alignment vertical="center"/>
    </xf>
    <xf numFmtId="0" fontId="35" fillId="0" borderId="0"/>
    <xf numFmtId="0" fontId="42" fillId="0" borderId="0">
      <alignment vertical="center"/>
    </xf>
    <xf numFmtId="0" fontId="36" fillId="0" borderId="0"/>
    <xf numFmtId="1" fontId="37" fillId="0" borderId="2" applyBorder="0"/>
    <xf numFmtId="43" fontId="38" fillId="0" borderId="0" applyFont="0" applyFill="0" applyBorder="0" applyAlignment="0" applyProtection="0">
      <alignment vertical="center"/>
    </xf>
    <xf numFmtId="0" fontId="36" fillId="0" borderId="0"/>
  </cellStyleXfs>
  <cellXfs count="28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4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77" fontId="0" fillId="0" borderId="2" xfId="4" applyNumberFormat="1" applyFon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10" fontId="0" fillId="0" borderId="2" xfId="4" applyNumberFormat="1" applyFont="1" applyFill="1" applyBorder="1" applyAlignment="1">
      <alignment horizontal="center" vertical="center"/>
    </xf>
    <xf numFmtId="10" fontId="1" fillId="0" borderId="0" xfId="4" applyNumberFormat="1" applyFont="1" applyFill="1" applyAlignment="1">
      <alignment horizontal="center" vertical="center"/>
    </xf>
    <xf numFmtId="0" fontId="0" fillId="0" borderId="0" xfId="0" applyFont="1" applyFill="1">
      <alignment vertical="center"/>
    </xf>
    <xf numFmtId="43" fontId="0" fillId="0" borderId="0" xfId="1" applyFont="1" applyFill="1" applyAlignment="1">
      <alignment horizontal="center" vertical="center"/>
    </xf>
    <xf numFmtId="9" fontId="0" fillId="0" borderId="0" xfId="0" applyNumberFormat="1" applyFill="1" applyAlignment="1">
      <alignment horizontal="center" vertical="center"/>
    </xf>
    <xf numFmtId="43" fontId="0" fillId="0" borderId="0" xfId="1" applyFont="1" applyFill="1">
      <alignment vertical="center"/>
    </xf>
    <xf numFmtId="10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7" fillId="4" borderId="2" xfId="1" applyFont="1" applyFill="1" applyBorder="1">
      <alignment vertical="center"/>
    </xf>
    <xf numFmtId="43" fontId="4" fillId="4" borderId="2" xfId="1" applyFont="1" applyFill="1" applyBorder="1">
      <alignment vertical="center"/>
    </xf>
    <xf numFmtId="43" fontId="7" fillId="0" borderId="2" xfId="1" applyFont="1" applyBorder="1">
      <alignment vertical="center"/>
    </xf>
    <xf numFmtId="43" fontId="4" fillId="0" borderId="0" xfId="0" applyNumberFormat="1" applyFont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43" fontId="4" fillId="0" borderId="0" xfId="0" applyNumberFormat="1" applyFont="1" applyBorder="1">
      <alignment vertical="center"/>
    </xf>
    <xf numFmtId="43" fontId="7" fillId="0" borderId="2" xfId="1" applyFont="1" applyFill="1" applyBorder="1">
      <alignment vertical="center"/>
    </xf>
    <xf numFmtId="0" fontId="9" fillId="0" borderId="0" xfId="0" applyFont="1" applyAlignment="1">
      <alignment vertical="center" wrapText="1"/>
    </xf>
    <xf numFmtId="178" fontId="4" fillId="0" borderId="0" xfId="1" applyNumberFormat="1" applyFont="1">
      <alignment vertical="center"/>
    </xf>
    <xf numFmtId="0" fontId="9" fillId="0" borderId="0" xfId="0" applyFont="1" applyAlignment="1">
      <alignment vertical="center"/>
    </xf>
    <xf numFmtId="0" fontId="4" fillId="4" borderId="0" xfId="0" applyFont="1" applyFill="1">
      <alignment vertical="center"/>
    </xf>
    <xf numFmtId="10" fontId="4" fillId="0" borderId="0" xfId="0" applyNumberFormat="1" applyFont="1">
      <alignment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 readingOrder="1"/>
    </xf>
    <xf numFmtId="0" fontId="12" fillId="0" borderId="13" xfId="0" applyFont="1" applyBorder="1" applyAlignment="1">
      <alignment horizontal="center" vertical="center" wrapText="1" readingOrder="1"/>
    </xf>
    <xf numFmtId="0" fontId="13" fillId="4" borderId="2" xfId="0" applyFont="1" applyFill="1" applyBorder="1" applyAlignment="1">
      <alignment horizontal="center" vertical="center" wrapText="1" readingOrder="1"/>
    </xf>
    <xf numFmtId="0" fontId="13" fillId="5" borderId="2" xfId="0" applyFont="1" applyFill="1" applyBorder="1" applyAlignment="1">
      <alignment horizontal="center" vertical="center" wrapText="1" readingOrder="1"/>
    </xf>
    <xf numFmtId="178" fontId="3" fillId="5" borderId="2" xfId="0" applyNumberFormat="1" applyFont="1" applyFill="1" applyBorder="1" applyAlignment="1">
      <alignment horizontal="center" wrapText="1" readingOrder="1"/>
    </xf>
    <xf numFmtId="43" fontId="4" fillId="0" borderId="0" xfId="1" applyFont="1">
      <alignment vertical="center"/>
    </xf>
    <xf numFmtId="177" fontId="4" fillId="0" borderId="0" xfId="4" applyNumberFormat="1" applyFo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wrapText="1"/>
    </xf>
    <xf numFmtId="0" fontId="13" fillId="6" borderId="6" xfId="0" applyFont="1" applyFill="1" applyBorder="1" applyAlignment="1">
      <alignment vertical="center" wrapText="1" readingOrder="1"/>
    </xf>
    <xf numFmtId="0" fontId="3" fillId="6" borderId="2" xfId="0" applyFont="1" applyFill="1" applyBorder="1">
      <alignment vertical="center"/>
    </xf>
    <xf numFmtId="43" fontId="3" fillId="6" borderId="2" xfId="1" applyFont="1" applyFill="1" applyBorder="1" applyAlignment="1" applyProtection="1">
      <alignment vertical="center"/>
    </xf>
    <xf numFmtId="178" fontId="13" fillId="6" borderId="2" xfId="1" applyNumberFormat="1" applyFont="1" applyFill="1" applyBorder="1" applyAlignment="1" applyProtection="1">
      <alignment horizontal="center" vertical="center" wrapText="1" readingOrder="1"/>
    </xf>
    <xf numFmtId="0" fontId="3" fillId="0" borderId="0" xfId="0" applyFont="1">
      <alignment vertical="center"/>
    </xf>
    <xf numFmtId="178" fontId="13" fillId="5" borderId="2" xfId="1" applyNumberFormat="1" applyFont="1" applyFill="1" applyBorder="1" applyAlignment="1">
      <alignment horizontal="center" vertical="center" wrapText="1" readingOrder="1"/>
    </xf>
    <xf numFmtId="178" fontId="10" fillId="0" borderId="2" xfId="0" applyNumberFormat="1" applyFont="1" applyFill="1" applyBorder="1" applyAlignment="1">
      <alignment horizontal="center" wrapText="1" readingOrder="1"/>
    </xf>
    <xf numFmtId="178" fontId="3" fillId="6" borderId="2" xfId="0" applyNumberFormat="1" applyFont="1" applyFill="1" applyBorder="1" applyAlignment="1">
      <alignment horizontal="center" wrapText="1" readingOrder="1"/>
    </xf>
    <xf numFmtId="0" fontId="3" fillId="6" borderId="0" xfId="0" applyFont="1" applyFill="1">
      <alignment vertical="center"/>
    </xf>
    <xf numFmtId="43" fontId="0" fillId="0" borderId="0" xfId="1" applyFont="1">
      <alignment vertical="center"/>
    </xf>
    <xf numFmtId="179" fontId="15" fillId="8" borderId="2" xfId="5" applyNumberFormat="1" applyFont="1" applyFill="1" applyBorder="1" applyAlignment="1">
      <alignment horizontal="center" vertical="center" wrapText="1"/>
    </xf>
    <xf numFmtId="43" fontId="15" fillId="8" borderId="2" xfId="1" applyFont="1" applyFill="1" applyBorder="1" applyAlignment="1">
      <alignment horizontal="center" vertical="center" wrapText="1"/>
    </xf>
    <xf numFmtId="0" fontId="15" fillId="8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6" fillId="0" borderId="2" xfId="5" applyNumberFormat="1" applyFont="1" applyFill="1" applyBorder="1" applyAlignment="1">
      <alignment horizontal="left" vertical="center"/>
    </xf>
    <xf numFmtId="43" fontId="16" fillId="4" borderId="2" xfId="1" applyFont="1" applyFill="1" applyBorder="1" applyAlignment="1">
      <alignment horizontal="center" vertical="center"/>
    </xf>
    <xf numFmtId="0" fontId="17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0" fillId="4" borderId="2" xfId="1" applyFont="1" applyFill="1" applyBorder="1" applyAlignment="1">
      <alignment horizontal="center" vertical="center"/>
    </xf>
    <xf numFmtId="0" fontId="18" fillId="7" borderId="2" xfId="3" applyNumberFormat="1" applyFont="1" applyFill="1" applyBorder="1" applyAlignment="1" applyProtection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0" fontId="0" fillId="5" borderId="2" xfId="0" applyFill="1" applyBorder="1">
      <alignment vertical="center"/>
    </xf>
    <xf numFmtId="43" fontId="2" fillId="3" borderId="2" xfId="1" applyFont="1" applyFill="1" applyBorder="1" applyAlignment="1" applyProtection="1">
      <alignment horizontal="center" vertical="center"/>
    </xf>
    <xf numFmtId="0" fontId="0" fillId="5" borderId="2" xfId="0" applyFont="1" applyFill="1" applyBorder="1">
      <alignment vertical="center"/>
    </xf>
    <xf numFmtId="179" fontId="16" fillId="0" borderId="3" xfId="5" applyNumberFormat="1" applyFont="1" applyFill="1" applyBorder="1" applyAlignment="1">
      <alignment horizontal="center" vertical="center"/>
    </xf>
    <xf numFmtId="179" fontId="16" fillId="0" borderId="3" xfId="5" applyNumberFormat="1" applyFont="1" applyFill="1" applyBorder="1" applyAlignment="1">
      <alignment horizontal="left" vertical="center" wrapText="1"/>
    </xf>
    <xf numFmtId="0" fontId="17" fillId="7" borderId="2" xfId="3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>
      <alignment vertical="center"/>
    </xf>
    <xf numFmtId="43" fontId="16" fillId="3" borderId="2" xfId="1" applyFont="1" applyFill="1" applyBorder="1" applyAlignment="1" applyProtection="1">
      <alignment horizontal="center" vertical="center"/>
    </xf>
    <xf numFmtId="0" fontId="0" fillId="0" borderId="2" xfId="0" applyBorder="1" applyAlignment="1">
      <alignment vertical="center" wrapText="1"/>
    </xf>
    <xf numFmtId="0" fontId="5" fillId="0" borderId="2" xfId="0" applyFont="1" applyBorder="1" applyAlignment="1">
      <alignment horizontal="center" vertical="center" readingOrder="1"/>
    </xf>
    <xf numFmtId="43" fontId="7" fillId="0" borderId="2" xfId="0" applyNumberFormat="1" applyFont="1" applyBorder="1">
      <alignment vertical="center"/>
    </xf>
    <xf numFmtId="43" fontId="7" fillId="0" borderId="2" xfId="1" applyNumberFormat="1" applyFont="1" applyBorder="1">
      <alignment vertical="center"/>
    </xf>
    <xf numFmtId="43" fontId="19" fillId="0" borderId="2" xfId="0" applyNumberFormat="1" applyFont="1" applyBorder="1">
      <alignment vertical="center"/>
    </xf>
    <xf numFmtId="43" fontId="19" fillId="0" borderId="2" xfId="1" applyFont="1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20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21" fillId="0" borderId="0" xfId="0" applyFont="1" applyFill="1">
      <alignment vertical="center"/>
    </xf>
    <xf numFmtId="43" fontId="21" fillId="0" borderId="0" xfId="1" applyFont="1" applyFill="1">
      <alignment vertical="center"/>
    </xf>
    <xf numFmtId="0" fontId="21" fillId="0" borderId="2" xfId="0" applyFont="1" applyFill="1" applyBorder="1" applyAlignment="1">
      <alignment horizontal="center" vertical="center"/>
    </xf>
    <xf numFmtId="43" fontId="22" fillId="0" borderId="2" xfId="1" applyFont="1" applyFill="1" applyBorder="1" applyAlignment="1">
      <alignment horizontal="center" vertical="center" wrapText="1"/>
    </xf>
    <xf numFmtId="0" fontId="21" fillId="0" borderId="2" xfId="0" applyFont="1" applyFill="1" applyBorder="1">
      <alignment vertical="center"/>
    </xf>
    <xf numFmtId="0" fontId="23" fillId="0" borderId="2" xfId="0" applyFont="1" applyFill="1" applyBorder="1" applyAlignment="1">
      <alignment horizontal="center" vertical="center"/>
    </xf>
    <xf numFmtId="43" fontId="21" fillId="0" borderId="2" xfId="1" applyFont="1" applyFill="1" applyBorder="1" applyAlignment="1">
      <alignment horizontal="center" vertical="center"/>
    </xf>
    <xf numFmtId="0" fontId="23" fillId="0" borderId="2" xfId="0" applyFont="1" applyFill="1" applyBorder="1">
      <alignment vertical="center"/>
    </xf>
    <xf numFmtId="9" fontId="21" fillId="0" borderId="2" xfId="4" applyFont="1" applyFill="1" applyBorder="1" applyAlignment="1">
      <alignment horizontal="center" vertical="center"/>
    </xf>
    <xf numFmtId="0" fontId="20" fillId="0" borderId="2" xfId="0" applyFont="1" applyFill="1" applyBorder="1">
      <alignment vertical="center"/>
    </xf>
    <xf numFmtId="43" fontId="20" fillId="0" borderId="2" xfId="1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19" fillId="0" borderId="2" xfId="0" applyFont="1" applyFill="1" applyBorder="1">
      <alignment vertical="center"/>
    </xf>
    <xf numFmtId="9" fontId="21" fillId="0" borderId="2" xfId="4" applyFont="1" applyFill="1" applyBorder="1">
      <alignment vertical="center"/>
    </xf>
    <xf numFmtId="43" fontId="20" fillId="0" borderId="2" xfId="1" applyFont="1" applyFill="1" applyBorder="1" applyAlignment="1">
      <alignment horizontal="center" vertical="center"/>
    </xf>
    <xf numFmtId="43" fontId="21" fillId="0" borderId="2" xfId="0" applyNumberFormat="1" applyFont="1" applyFill="1" applyBorder="1">
      <alignment vertical="center"/>
    </xf>
    <xf numFmtId="43" fontId="19" fillId="0" borderId="2" xfId="1" applyFont="1" applyFill="1" applyBorder="1">
      <alignment vertical="center"/>
    </xf>
    <xf numFmtId="43" fontId="21" fillId="0" borderId="0" xfId="1" applyFont="1" applyFill="1" applyAlignment="1">
      <alignment horizontal="center" vertical="center"/>
    </xf>
    <xf numFmtId="43" fontId="21" fillId="0" borderId="0" xfId="0" applyNumberFormat="1" applyFont="1" applyFill="1">
      <alignment vertical="center"/>
    </xf>
    <xf numFmtId="0" fontId="24" fillId="0" borderId="0" xfId="0" applyFont="1" applyFill="1">
      <alignment vertical="center"/>
    </xf>
    <xf numFmtId="180" fontId="21" fillId="0" borderId="0" xfId="0" applyNumberFormat="1" applyFont="1" applyFill="1">
      <alignment vertical="center"/>
    </xf>
    <xf numFmtId="9" fontId="21" fillId="0" borderId="11" xfId="4" applyFont="1" applyFill="1" applyBorder="1">
      <alignment vertical="center"/>
    </xf>
    <xf numFmtId="43" fontId="21" fillId="9" borderId="0" xfId="0" applyNumberFormat="1" applyFont="1" applyFill="1">
      <alignment vertical="center"/>
    </xf>
    <xf numFmtId="0" fontId="21" fillId="9" borderId="0" xfId="0" applyFont="1" applyFill="1">
      <alignment vertical="center"/>
    </xf>
    <xf numFmtId="0" fontId="24" fillId="9" borderId="0" xfId="0" applyFont="1" applyFill="1">
      <alignment vertical="center"/>
    </xf>
    <xf numFmtId="0" fontId="20" fillId="9" borderId="0" xfId="0" applyFont="1" applyFill="1">
      <alignment vertical="center"/>
    </xf>
    <xf numFmtId="1" fontId="16" fillId="7" borderId="0" xfId="3" applyNumberFormat="1" applyFont="1" applyFill="1" applyProtection="1"/>
    <xf numFmtId="0" fontId="16" fillId="7" borderId="0" xfId="3" applyFont="1" applyFill="1" applyProtection="1"/>
    <xf numFmtId="0" fontId="25" fillId="7" borderId="0" xfId="3" applyFont="1" applyFill="1" applyAlignment="1" applyProtection="1">
      <alignment horizontal="centerContinuous"/>
    </xf>
    <xf numFmtId="0" fontId="16" fillId="7" borderId="0" xfId="3" applyFont="1" applyFill="1" applyAlignment="1">
      <alignment horizontal="centerContinuous"/>
    </xf>
    <xf numFmtId="0" fontId="16" fillId="7" borderId="0" xfId="3" applyFont="1" applyFill="1" applyAlignment="1" applyProtection="1">
      <alignment horizontal="centerContinuous"/>
    </xf>
    <xf numFmtId="9" fontId="16" fillId="7" borderId="0" xfId="3" applyNumberFormat="1" applyFont="1" applyFill="1" applyProtection="1"/>
    <xf numFmtId="0" fontId="16" fillId="7" borderId="6" xfId="3" applyFont="1" applyFill="1" applyBorder="1" applyAlignment="1" applyProtection="1">
      <alignment horizontal="center"/>
    </xf>
    <xf numFmtId="0" fontId="18" fillId="7" borderId="2" xfId="3" applyFont="1" applyFill="1" applyBorder="1" applyAlignment="1" applyProtection="1">
      <alignment horizontal="center"/>
    </xf>
    <xf numFmtId="0" fontId="18" fillId="7" borderId="4" xfId="3" applyFont="1" applyFill="1" applyBorder="1" applyAlignment="1" applyProtection="1">
      <alignment horizontal="center"/>
    </xf>
    <xf numFmtId="1" fontId="18" fillId="7" borderId="4" xfId="8" applyFont="1" applyFill="1" applyBorder="1"/>
    <xf numFmtId="1" fontId="16" fillId="7" borderId="4" xfId="8" applyFont="1" applyFill="1" applyBorder="1"/>
    <xf numFmtId="0" fontId="16" fillId="7" borderId="7" xfId="3" applyFont="1" applyFill="1" applyBorder="1" applyProtection="1"/>
    <xf numFmtId="0" fontId="16" fillId="7" borderId="2" xfId="3" applyFont="1" applyFill="1" applyBorder="1" applyAlignment="1" applyProtection="1">
      <alignment horizontal="center"/>
    </xf>
    <xf numFmtId="0" fontId="16" fillId="7" borderId="2" xfId="3" applyFont="1" applyFill="1" applyBorder="1" applyAlignment="1" applyProtection="1">
      <alignment horizontal="left"/>
    </xf>
    <xf numFmtId="0" fontId="16" fillId="10" borderId="2" xfId="3" applyFont="1" applyFill="1" applyBorder="1" applyProtection="1"/>
    <xf numFmtId="178" fontId="16" fillId="10" borderId="2" xfId="1" applyNumberFormat="1" applyFont="1" applyFill="1" applyBorder="1" applyAlignment="1" applyProtection="1"/>
    <xf numFmtId="0" fontId="16" fillId="7" borderId="2" xfId="3" applyFont="1" applyFill="1" applyBorder="1" applyProtection="1"/>
    <xf numFmtId="178" fontId="16" fillId="7" borderId="2" xfId="1" applyNumberFormat="1" applyFont="1" applyFill="1" applyBorder="1" applyAlignment="1" applyProtection="1"/>
    <xf numFmtId="0" fontId="16" fillId="7" borderId="2" xfId="3" applyNumberFormat="1" applyFont="1" applyFill="1" applyBorder="1" applyAlignment="1" applyProtection="1">
      <alignment horizontal="left"/>
    </xf>
    <xf numFmtId="1" fontId="16" fillId="7" borderId="2" xfId="3" applyNumberFormat="1" applyFont="1" applyFill="1" applyBorder="1" applyProtection="1"/>
    <xf numFmtId="1" fontId="16" fillId="7" borderId="2" xfId="3" applyNumberFormat="1" applyFont="1" applyFill="1" applyBorder="1" applyAlignment="1" applyProtection="1">
      <alignment horizontal="left"/>
    </xf>
    <xf numFmtId="0" fontId="16" fillId="7" borderId="8" xfId="3" applyFont="1" applyFill="1" applyBorder="1" applyProtection="1"/>
    <xf numFmtId="0" fontId="16" fillId="7" borderId="9" xfId="3" applyFont="1" applyFill="1" applyBorder="1" applyProtection="1"/>
    <xf numFmtId="0" fontId="16" fillId="7" borderId="12" xfId="3" applyFont="1" applyFill="1" applyBorder="1" applyProtection="1"/>
    <xf numFmtId="0" fontId="16" fillId="7" borderId="0" xfId="3" applyFont="1" applyFill="1" applyBorder="1" applyProtection="1"/>
    <xf numFmtId="176" fontId="16" fillId="7" borderId="0" xfId="3" applyNumberFormat="1" applyFont="1" applyFill="1" applyBorder="1" applyProtection="1"/>
    <xf numFmtId="10" fontId="16" fillId="7" borderId="0" xfId="3" applyNumberFormat="1" applyFont="1" applyFill="1" applyBorder="1" applyProtection="1"/>
    <xf numFmtId="1" fontId="16" fillId="7" borderId="0" xfId="3" applyNumberFormat="1" applyFont="1" applyFill="1" applyBorder="1" applyProtection="1"/>
    <xf numFmtId="0" fontId="16" fillId="7" borderId="14" xfId="3" applyFont="1" applyFill="1" applyBorder="1" applyProtection="1"/>
    <xf numFmtId="0" fontId="16" fillId="7" borderId="1" xfId="3" applyFont="1" applyFill="1" applyBorder="1" applyProtection="1"/>
    <xf numFmtId="2" fontId="16" fillId="7" borderId="1" xfId="3" applyNumberFormat="1" applyFont="1" applyFill="1" applyBorder="1" applyProtection="1"/>
    <xf numFmtId="0" fontId="16" fillId="7" borderId="5" xfId="3" applyFont="1" applyFill="1" applyBorder="1"/>
    <xf numFmtId="1" fontId="16" fillId="7" borderId="7" xfId="8" applyFont="1" applyFill="1" applyBorder="1" applyAlignment="1">
      <alignment horizontal="center"/>
    </xf>
    <xf numFmtId="0" fontId="16" fillId="7" borderId="10" xfId="3" applyFont="1" applyFill="1" applyBorder="1" applyProtection="1"/>
    <xf numFmtId="0" fontId="16" fillId="7" borderId="15" xfId="3" applyFont="1" applyFill="1" applyBorder="1" applyProtection="1"/>
    <xf numFmtId="0" fontId="16" fillId="7" borderId="16" xfId="3" applyFont="1" applyFill="1" applyBorder="1" applyProtection="1"/>
    <xf numFmtId="0" fontId="19" fillId="0" borderId="0" xfId="0" applyFont="1">
      <alignment vertical="center"/>
    </xf>
    <xf numFmtId="0" fontId="21" fillId="0" borderId="0" xfId="0" applyFont="1" applyBorder="1">
      <alignment vertical="center"/>
    </xf>
    <xf numFmtId="0" fontId="21" fillId="0" borderId="0" xfId="0" applyFont="1">
      <alignment vertical="center"/>
    </xf>
    <xf numFmtId="43" fontId="21" fillId="0" borderId="0" xfId="1" applyFont="1">
      <alignment vertical="center"/>
    </xf>
    <xf numFmtId="43" fontId="27" fillId="0" borderId="2" xfId="1" applyFont="1" applyFill="1" applyBorder="1" applyAlignment="1">
      <alignment horizontal="center" vertical="center" wrapText="1"/>
    </xf>
    <xf numFmtId="178" fontId="21" fillId="0" borderId="2" xfId="1" applyNumberFormat="1" applyFont="1" applyFill="1" applyBorder="1" applyAlignment="1">
      <alignment horizontal="center" vertical="center"/>
    </xf>
    <xf numFmtId="178" fontId="19" fillId="0" borderId="2" xfId="1" applyNumberFormat="1" applyFont="1" applyFill="1" applyBorder="1" applyAlignment="1">
      <alignment horizontal="center" vertical="center"/>
    </xf>
    <xf numFmtId="0" fontId="21" fillId="5" borderId="2" xfId="0" applyFont="1" applyFill="1" applyBorder="1">
      <alignment vertical="center"/>
    </xf>
    <xf numFmtId="0" fontId="23" fillId="10" borderId="2" xfId="0" applyFont="1" applyFill="1" applyBorder="1">
      <alignment vertical="center"/>
    </xf>
    <xf numFmtId="178" fontId="19" fillId="10" borderId="2" xfId="1" applyNumberFormat="1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1" fillId="0" borderId="2" xfId="0" applyFont="1" applyBorder="1">
      <alignment vertical="center"/>
    </xf>
    <xf numFmtId="10" fontId="19" fillId="0" borderId="2" xfId="4" applyNumberFormat="1" applyFont="1" applyBorder="1" applyAlignment="1">
      <alignment vertical="center"/>
    </xf>
    <xf numFmtId="178" fontId="19" fillId="0" borderId="2" xfId="1" applyNumberFormat="1" applyFont="1" applyBorder="1" applyAlignment="1">
      <alignment horizontal="center" vertical="center"/>
    </xf>
    <xf numFmtId="43" fontId="19" fillId="0" borderId="2" xfId="1" applyFont="1" applyFill="1" applyBorder="1" applyAlignment="1">
      <alignment horizontal="center" vertical="center"/>
    </xf>
    <xf numFmtId="0" fontId="28" fillId="10" borderId="2" xfId="0" applyFont="1" applyFill="1" applyBorder="1">
      <alignment vertical="center"/>
    </xf>
    <xf numFmtId="178" fontId="21" fillId="0" borderId="2" xfId="1" applyNumberFormat="1" applyFont="1" applyBorder="1" applyAlignment="1">
      <alignment horizontal="center" vertical="center"/>
    </xf>
    <xf numFmtId="10" fontId="21" fillId="0" borderId="2" xfId="4" applyNumberFormat="1" applyFont="1" applyBorder="1">
      <alignment vertical="center"/>
    </xf>
    <xf numFmtId="10" fontId="21" fillId="0" borderId="0" xfId="4" applyNumberFormat="1" applyFont="1" applyBorder="1">
      <alignment vertical="center"/>
    </xf>
    <xf numFmtId="43" fontId="21" fillId="0" borderId="0" xfId="1" applyFont="1" applyBorder="1">
      <alignment vertical="center"/>
    </xf>
    <xf numFmtId="0" fontId="21" fillId="0" borderId="2" xfId="0" applyFont="1" applyBorder="1" applyAlignment="1">
      <alignment horizontal="center" vertical="center"/>
    </xf>
    <xf numFmtId="10" fontId="21" fillId="0" borderId="2" xfId="4" applyNumberFormat="1" applyFont="1" applyFill="1" applyBorder="1" applyAlignment="1">
      <alignment horizontal="center" vertical="center"/>
    </xf>
    <xf numFmtId="178" fontId="21" fillId="9" borderId="2" xfId="1" applyNumberFormat="1" applyFont="1" applyFill="1" applyBorder="1" applyAlignment="1">
      <alignment horizontal="center" vertical="center"/>
    </xf>
    <xf numFmtId="10" fontId="21" fillId="0" borderId="2" xfId="4" applyNumberFormat="1" applyFont="1" applyFill="1" applyBorder="1">
      <alignment vertical="center"/>
    </xf>
    <xf numFmtId="0" fontId="23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43" fontId="21" fillId="0" borderId="2" xfId="1" applyFont="1" applyBorder="1">
      <alignment vertical="center"/>
    </xf>
    <xf numFmtId="178" fontId="21" fillId="0" borderId="2" xfId="1" applyNumberFormat="1" applyFont="1" applyBorder="1">
      <alignment vertical="center"/>
    </xf>
    <xf numFmtId="43" fontId="21" fillId="0" borderId="0" xfId="0" applyNumberFormat="1" applyFont="1" applyFill="1" applyBorder="1">
      <alignment vertical="center"/>
    </xf>
    <xf numFmtId="0" fontId="19" fillId="0" borderId="2" xfId="0" applyFont="1" applyBorder="1">
      <alignment vertical="center"/>
    </xf>
    <xf numFmtId="0" fontId="28" fillId="0" borderId="2" xfId="0" applyFont="1" applyBorder="1">
      <alignment vertical="center"/>
    </xf>
    <xf numFmtId="0" fontId="21" fillId="0" borderId="6" xfId="0" applyFont="1" applyBorder="1">
      <alignment vertical="center"/>
    </xf>
    <xf numFmtId="0" fontId="29" fillId="0" borderId="0" xfId="0" applyFont="1">
      <alignment vertical="center"/>
    </xf>
    <xf numFmtId="0" fontId="30" fillId="0" borderId="2" xfId="0" applyFont="1" applyBorder="1" applyAlignment="1">
      <alignment horizontal="center" vertical="center" wrapText="1" readingOrder="1"/>
    </xf>
    <xf numFmtId="0" fontId="29" fillId="0" borderId="0" xfId="0" applyFont="1" applyFill="1">
      <alignment vertical="center"/>
    </xf>
    <xf numFmtId="0" fontId="13" fillId="0" borderId="2" xfId="0" applyFont="1" applyBorder="1" applyAlignment="1">
      <alignment horizontal="center" vertical="center" wrapText="1" readingOrder="1"/>
    </xf>
    <xf numFmtId="0" fontId="31" fillId="0" borderId="2" xfId="0" applyFont="1" applyBorder="1" applyAlignment="1">
      <alignment horizontal="left" vertical="center" wrapText="1" readingOrder="1"/>
    </xf>
    <xf numFmtId="0" fontId="31" fillId="0" borderId="2" xfId="0" applyFont="1" applyFill="1" applyBorder="1" applyAlignment="1">
      <alignment horizontal="left" vertical="center" wrapText="1" readingOrder="1"/>
    </xf>
    <xf numFmtId="0" fontId="31" fillId="0" borderId="2" xfId="0" applyFont="1" applyBorder="1" applyAlignment="1">
      <alignment horizontal="center" vertical="center" wrapText="1" readingOrder="1"/>
    </xf>
    <xf numFmtId="0" fontId="31" fillId="0" borderId="0" xfId="0" applyFont="1" applyFill="1" applyBorder="1" applyAlignment="1">
      <alignment horizontal="left" vertical="center" wrapText="1" readingOrder="1"/>
    </xf>
    <xf numFmtId="0" fontId="20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9" fontId="44" fillId="0" borderId="2" xfId="4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18" fillId="7" borderId="2" xfId="3" applyFont="1" applyFill="1" applyBorder="1" applyAlignment="1" applyProtection="1">
      <alignment horizontal="center"/>
    </xf>
    <xf numFmtId="0" fontId="21" fillId="0" borderId="2" xfId="0" applyFont="1" applyFill="1" applyBorder="1" applyAlignment="1">
      <alignment horizontal="center" vertical="center"/>
    </xf>
    <xf numFmtId="43" fontId="22" fillId="0" borderId="6" xfId="1" applyFont="1" applyFill="1" applyBorder="1" applyAlignment="1">
      <alignment horizontal="center" vertical="center" wrapText="1"/>
    </xf>
    <xf numFmtId="43" fontId="22" fillId="0" borderId="11" xfId="1" applyFont="1" applyFill="1" applyBorder="1" applyAlignment="1">
      <alignment horizontal="center" vertical="center" wrapText="1"/>
    </xf>
    <xf numFmtId="43" fontId="22" fillId="0" borderId="7" xfId="1" applyFont="1" applyFill="1" applyBorder="1" applyAlignment="1">
      <alignment horizontal="center" vertical="center" wrapText="1"/>
    </xf>
    <xf numFmtId="43" fontId="21" fillId="0" borderId="3" xfId="1" applyFont="1" applyFill="1" applyBorder="1" applyAlignment="1">
      <alignment horizontal="center" vertical="center"/>
    </xf>
    <xf numFmtId="43" fontId="21" fillId="0" borderId="4" xfId="1" applyFont="1" applyFill="1" applyBorder="1" applyAlignment="1">
      <alignment horizontal="center" vertical="center"/>
    </xf>
    <xf numFmtId="43" fontId="21" fillId="0" borderId="5" xfId="1" applyFont="1" applyFill="1" applyBorder="1" applyAlignment="1">
      <alignment horizontal="center" vertical="center"/>
    </xf>
    <xf numFmtId="43" fontId="21" fillId="4" borderId="2" xfId="1" applyFont="1" applyFill="1" applyBorder="1" applyAlignment="1">
      <alignment horizontal="center" vertical="center"/>
    </xf>
    <xf numFmtId="43" fontId="21" fillId="4" borderId="3" xfId="1" applyFont="1" applyFill="1" applyBorder="1" applyAlignment="1">
      <alignment horizontal="center" vertical="center"/>
    </xf>
    <xf numFmtId="43" fontId="21" fillId="4" borderId="4" xfId="1" applyFont="1" applyFill="1" applyBorder="1" applyAlignment="1">
      <alignment horizontal="center" vertical="center"/>
    </xf>
    <xf numFmtId="43" fontId="21" fillId="4" borderId="5" xfId="1" applyFont="1" applyFill="1" applyBorder="1" applyAlignment="1">
      <alignment horizontal="center" vertical="center"/>
    </xf>
    <xf numFmtId="0" fontId="14" fillId="7" borderId="1" xfId="3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 readingOrder="1"/>
    </xf>
    <xf numFmtId="0" fontId="13" fillId="6" borderId="2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 wrapText="1" readingOrder="1"/>
    </xf>
    <xf numFmtId="0" fontId="13" fillId="6" borderId="5" xfId="0" applyFont="1" applyFill="1" applyBorder="1" applyAlignment="1">
      <alignment horizontal="center" vertical="center" wrapText="1" readingOrder="1"/>
    </xf>
    <xf numFmtId="0" fontId="3" fillId="6" borderId="9" xfId="0" applyFont="1" applyFill="1" applyBorder="1" applyAlignment="1">
      <alignment horizontal="left" wrapText="1" readingOrder="1"/>
    </xf>
    <xf numFmtId="43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3" fontId="4" fillId="0" borderId="6" xfId="0" applyNumberFormat="1" applyFont="1" applyBorder="1" applyAlignment="1">
      <alignment horizontal="center" vertical="center"/>
    </xf>
    <xf numFmtId="43" fontId="4" fillId="0" borderId="11" xfId="0" applyNumberFormat="1" applyFont="1" applyBorder="1" applyAlignment="1">
      <alignment horizontal="center" vertical="center"/>
    </xf>
    <xf numFmtId="43" fontId="4" fillId="0" borderId="7" xfId="0" applyNumberFormat="1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11">
    <cellStyle name="_x000a_mouse.drv=lm" xfId="3"/>
    <cellStyle name="BOM_Level_Below3" xfId="2"/>
    <cellStyle name="百分比" xfId="4" builtinId="5"/>
    <cellStyle name="常规" xfId="0" builtinId="0"/>
    <cellStyle name="常规 11 2" xfId="6"/>
    <cellStyle name="常规 2" xfId="7"/>
    <cellStyle name="常规_20061221C2项目损益分析（概念稿）" xfId="5"/>
    <cellStyle name="普通_销售收入.XLS" xfId="8"/>
    <cellStyle name="千位分隔" xfId="1" builtinId="3"/>
    <cellStyle name="千位分隔 2 25" xfId="9"/>
    <cellStyle name="样式 1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609600" y="409575"/>
          <a:ext cx="217170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4639925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4639925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4639925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60960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60960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77470</xdr:colOff>
      <xdr:row>29</xdr:row>
      <xdr:rowOff>161925</xdr:rowOff>
    </xdr:from>
    <xdr:to>
      <xdr:col>9</xdr:col>
      <xdr:colOff>871855</xdr:colOff>
      <xdr:row>40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" y="6298565"/>
          <a:ext cx="11252835" cy="1781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2" sqref="C2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207" customFormat="1" ht="35.25" customHeight="1">
      <c r="A2" s="208" t="s">
        <v>0</v>
      </c>
      <c r="B2" s="208" t="s">
        <v>1</v>
      </c>
      <c r="C2" s="208" t="s">
        <v>2</v>
      </c>
      <c r="D2" s="209"/>
    </row>
    <row r="3" spans="1:4" s="207" customFormat="1" ht="33.75" customHeight="1">
      <c r="A3" s="210">
        <v>1</v>
      </c>
      <c r="B3" s="210" t="s">
        <v>3</v>
      </c>
      <c r="C3" s="211" t="s">
        <v>4</v>
      </c>
      <c r="D3" s="209"/>
    </row>
    <row r="4" spans="1:4" s="207" customFormat="1" ht="33.75" customHeight="1">
      <c r="A4" s="210">
        <v>2</v>
      </c>
      <c r="B4" s="210" t="s">
        <v>5</v>
      </c>
      <c r="C4" s="211" t="s">
        <v>6</v>
      </c>
    </row>
    <row r="5" spans="1:4" s="207" customFormat="1" ht="33.75" customHeight="1">
      <c r="A5" s="210">
        <v>3</v>
      </c>
      <c r="B5" s="218" t="s">
        <v>7</v>
      </c>
      <c r="C5" s="212" t="s">
        <v>8</v>
      </c>
    </row>
    <row r="6" spans="1:4" s="207" customFormat="1" ht="33.75" customHeight="1">
      <c r="A6" s="210">
        <v>4</v>
      </c>
      <c r="B6" s="219"/>
      <c r="C6" s="211" t="s">
        <v>9</v>
      </c>
    </row>
    <row r="7" spans="1:4" s="207" customFormat="1" ht="33.75" customHeight="1">
      <c r="A7" s="210">
        <v>5</v>
      </c>
      <c r="B7" s="213" t="s">
        <v>10</v>
      </c>
      <c r="C7" s="211" t="s">
        <v>11</v>
      </c>
    </row>
    <row r="8" spans="1:4" s="207" customFormat="1" ht="33.75" customHeight="1">
      <c r="A8" s="210">
        <v>6</v>
      </c>
      <c r="B8" s="218" t="s">
        <v>12</v>
      </c>
      <c r="C8" s="211" t="s">
        <v>13</v>
      </c>
    </row>
    <row r="9" spans="1:4" s="207" customFormat="1" ht="33.75" customHeight="1">
      <c r="A9" s="210">
        <v>7</v>
      </c>
      <c r="B9" s="219"/>
      <c r="C9" s="211" t="s">
        <v>14</v>
      </c>
    </row>
    <row r="10" spans="1:4" s="207" customFormat="1" ht="33.75" customHeight="1">
      <c r="A10" s="210">
        <v>8</v>
      </c>
      <c r="B10" s="219"/>
      <c r="C10" s="212" t="s">
        <v>15</v>
      </c>
    </row>
    <row r="11" spans="1:4" s="207" customFormat="1" ht="33.75" customHeight="1">
      <c r="A11" s="210">
        <v>9</v>
      </c>
      <c r="B11" s="219"/>
      <c r="C11" s="211" t="s">
        <v>16</v>
      </c>
    </row>
    <row r="12" spans="1:4" s="207" customFormat="1" ht="33.75" customHeight="1">
      <c r="A12" s="210">
        <v>10</v>
      </c>
      <c r="B12" s="213" t="s">
        <v>17</v>
      </c>
      <c r="C12" s="211" t="s">
        <v>18</v>
      </c>
    </row>
    <row r="13" spans="1:4" ht="33.75" customHeight="1"/>
    <row r="14" spans="1:4" ht="33.75" customHeight="1"/>
    <row r="15" spans="1:4" ht="33.75" customHeight="1">
      <c r="C15" s="214"/>
    </row>
  </sheetData>
  <mergeCells count="2">
    <mergeCell ref="B5:B6"/>
    <mergeCell ref="B8:B11"/>
  </mergeCells>
  <phoneticPr fontId="43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="80" zoomScaleNormal="80" workbookViewId="0">
      <selection activeCell="H13" sqref="H13"/>
    </sheetView>
  </sheetViews>
  <sheetFormatPr defaultColWidth="9" defaultRowHeight="16.5"/>
  <cols>
    <col min="1" max="1" width="14" style="31" customWidth="1"/>
    <col min="2" max="2" width="14.125" style="31" customWidth="1"/>
    <col min="3" max="6" width="15.625" style="31" customWidth="1"/>
    <col min="7" max="8" width="8.75" style="31" customWidth="1"/>
    <col min="9" max="9" width="11.625" style="31" customWidth="1"/>
    <col min="10" max="10" width="9.25" style="31" customWidth="1"/>
    <col min="11" max="11" width="9.125" style="31" customWidth="1"/>
    <col min="12" max="16384" width="9" style="31"/>
  </cols>
  <sheetData>
    <row r="1" spans="1:12" ht="29.25" customHeight="1">
      <c r="A1" s="45" t="s">
        <v>207</v>
      </c>
      <c r="E1" s="46"/>
      <c r="F1" s="46"/>
      <c r="G1" s="46"/>
      <c r="H1" s="46"/>
      <c r="I1" s="46"/>
    </row>
    <row r="2" spans="1:12" ht="24" customHeight="1">
      <c r="A2" s="47" t="s">
        <v>208</v>
      </c>
      <c r="E2" s="46"/>
      <c r="F2" s="46"/>
      <c r="G2" s="46"/>
      <c r="H2" s="46"/>
      <c r="I2" s="46"/>
    </row>
    <row r="3" spans="1:12">
      <c r="C3" s="31" t="s">
        <v>209</v>
      </c>
      <c r="D3" s="48" t="s">
        <v>210</v>
      </c>
      <c r="E3" s="49">
        <v>0</v>
      </c>
    </row>
    <row r="5" spans="1:12" ht="45" customHeight="1">
      <c r="A5" s="249" t="s">
        <v>211</v>
      </c>
      <c r="B5" s="33" t="s">
        <v>153</v>
      </c>
      <c r="C5" s="50" t="s">
        <v>212</v>
      </c>
      <c r="D5" s="50" t="s">
        <v>213</v>
      </c>
      <c r="E5" s="50" t="s">
        <v>214</v>
      </c>
      <c r="F5" s="50" t="s">
        <v>215</v>
      </c>
      <c r="G5" s="41"/>
      <c r="H5" s="41"/>
      <c r="I5" s="250" t="s">
        <v>25</v>
      </c>
    </row>
    <row r="6" spans="1:12" ht="45.75" customHeight="1">
      <c r="A6" s="249"/>
      <c r="B6" s="33" t="s">
        <v>154</v>
      </c>
      <c r="C6" s="51" t="s">
        <v>216</v>
      </c>
      <c r="D6" s="51" t="s">
        <v>217</v>
      </c>
      <c r="E6" s="51" t="s">
        <v>218</v>
      </c>
      <c r="F6" s="51" t="s">
        <v>219</v>
      </c>
      <c r="G6" s="40"/>
      <c r="H6" s="40"/>
      <c r="I6" s="250"/>
      <c r="K6" s="31">
        <v>100</v>
      </c>
    </row>
    <row r="7" spans="1:12" ht="33.75" customHeight="1">
      <c r="A7" s="249"/>
      <c r="B7" s="52" t="s">
        <v>220</v>
      </c>
      <c r="C7" s="53"/>
      <c r="D7" s="53"/>
      <c r="E7" s="53"/>
      <c r="F7" s="53"/>
      <c r="G7" s="53"/>
      <c r="H7" s="53"/>
      <c r="I7" s="250"/>
      <c r="K7" s="31">
        <f>K6*(1-$E$3)</f>
        <v>100</v>
      </c>
      <c r="L7" s="31">
        <f>K7/$K$6</f>
        <v>1</v>
      </c>
    </row>
    <row r="8" spans="1:12" ht="33">
      <c r="A8" s="249"/>
      <c r="B8" s="52" t="s">
        <v>221</v>
      </c>
      <c r="C8" s="53">
        <v>38.31</v>
      </c>
      <c r="D8" s="53">
        <v>38.31</v>
      </c>
      <c r="E8" s="53">
        <v>47.49</v>
      </c>
      <c r="F8" s="53">
        <v>47.49</v>
      </c>
      <c r="G8" s="53"/>
      <c r="H8" s="53"/>
      <c r="I8" s="250"/>
      <c r="K8" s="31">
        <f>K7*(1-$E$3)</f>
        <v>100</v>
      </c>
      <c r="L8" s="31">
        <f t="shared" ref="L8:L10" si="0">K8/$K$6</f>
        <v>1</v>
      </c>
    </row>
    <row r="9" spans="1:12" ht="18.75">
      <c r="A9" s="249" t="s">
        <v>222</v>
      </c>
      <c r="B9" s="41" t="s">
        <v>200</v>
      </c>
      <c r="C9" s="54">
        <v>10000</v>
      </c>
      <c r="D9" s="54">
        <v>10000</v>
      </c>
      <c r="E9" s="54">
        <v>10000</v>
      </c>
      <c r="F9" s="54">
        <v>10000</v>
      </c>
      <c r="G9" s="54"/>
      <c r="H9" s="55"/>
      <c r="I9" s="78">
        <f>SUM(C9:H9)</f>
        <v>40000</v>
      </c>
      <c r="K9" s="31">
        <f t="shared" ref="K9:K10" si="1">K8*(1-$E$3)</f>
        <v>100</v>
      </c>
      <c r="L9" s="31">
        <f t="shared" si="0"/>
        <v>1</v>
      </c>
    </row>
    <row r="10" spans="1:12" ht="18.75">
      <c r="A10" s="249"/>
      <c r="B10" s="41" t="s">
        <v>201</v>
      </c>
      <c r="C10" s="54">
        <v>10000</v>
      </c>
      <c r="D10" s="54">
        <v>10000</v>
      </c>
      <c r="E10" s="54">
        <v>10000</v>
      </c>
      <c r="F10" s="54">
        <v>10000</v>
      </c>
      <c r="G10" s="54"/>
      <c r="H10" s="55"/>
      <c r="I10" s="78">
        <f t="shared" ref="I10:I14" si="2">SUM(C10:H10)</f>
        <v>40000</v>
      </c>
      <c r="K10" s="31">
        <f t="shared" si="1"/>
        <v>100</v>
      </c>
      <c r="L10" s="31">
        <f t="shared" si="0"/>
        <v>1</v>
      </c>
    </row>
    <row r="11" spans="1:12" ht="18.75">
      <c r="A11" s="249"/>
      <c r="B11" s="41" t="s">
        <v>202</v>
      </c>
      <c r="C11" s="54">
        <v>10000</v>
      </c>
      <c r="D11" s="54">
        <v>10000</v>
      </c>
      <c r="E11" s="54">
        <v>10000</v>
      </c>
      <c r="F11" s="54">
        <v>10000</v>
      </c>
      <c r="G11" s="54"/>
      <c r="H11" s="55"/>
      <c r="I11" s="78">
        <f t="shared" si="2"/>
        <v>40000</v>
      </c>
    </row>
    <row r="12" spans="1:12" ht="18.75">
      <c r="A12" s="249"/>
      <c r="B12" s="41" t="s">
        <v>203</v>
      </c>
      <c r="C12" s="54">
        <v>10000</v>
      </c>
      <c r="D12" s="54">
        <v>10000</v>
      </c>
      <c r="E12" s="54">
        <v>10000</v>
      </c>
      <c r="F12" s="54">
        <v>10000</v>
      </c>
      <c r="G12" s="54"/>
      <c r="H12" s="55"/>
      <c r="I12" s="78">
        <f t="shared" si="2"/>
        <v>40000</v>
      </c>
    </row>
    <row r="13" spans="1:12" ht="18.75">
      <c r="A13" s="249"/>
      <c r="B13" s="41" t="s">
        <v>204</v>
      </c>
      <c r="C13" s="54">
        <v>10000</v>
      </c>
      <c r="D13" s="54">
        <v>10000</v>
      </c>
      <c r="E13" s="54">
        <v>10000</v>
      </c>
      <c r="F13" s="54">
        <v>10000</v>
      </c>
      <c r="G13" s="54"/>
      <c r="H13" s="55"/>
      <c r="I13" s="78">
        <f t="shared" si="2"/>
        <v>40000</v>
      </c>
    </row>
    <row r="14" spans="1:12" ht="17.25">
      <c r="A14" s="249"/>
      <c r="B14" s="41"/>
      <c r="C14" s="56"/>
      <c r="D14" s="56"/>
      <c r="E14" s="56"/>
      <c r="F14" s="56"/>
      <c r="G14" s="56"/>
      <c r="H14" s="56"/>
      <c r="I14" s="78">
        <f t="shared" si="2"/>
        <v>0</v>
      </c>
    </row>
    <row r="15" spans="1:12" ht="17.25">
      <c r="A15" s="250" t="s">
        <v>25</v>
      </c>
      <c r="B15" s="250"/>
      <c r="C15" s="58">
        <f t="shared" ref="C15:I15" si="3">SUM(C9:C14)</f>
        <v>50000</v>
      </c>
      <c r="D15" s="58">
        <f t="shared" si="3"/>
        <v>50000</v>
      </c>
      <c r="E15" s="58">
        <f t="shared" si="3"/>
        <v>50000</v>
      </c>
      <c r="F15" s="58">
        <f t="shared" si="3"/>
        <v>50000</v>
      </c>
      <c r="G15" s="58">
        <f t="shared" si="3"/>
        <v>0</v>
      </c>
      <c r="H15" s="58">
        <f t="shared" si="3"/>
        <v>0</v>
      </c>
      <c r="I15" s="58">
        <f t="shared" si="3"/>
        <v>200000</v>
      </c>
    </row>
    <row r="16" spans="1:12">
      <c r="A16" s="59"/>
      <c r="B16" s="59" t="s">
        <v>223</v>
      </c>
      <c r="C16" s="59">
        <f>材料成本!D12</f>
        <v>38.229999999999997</v>
      </c>
      <c r="D16" s="39">
        <f>材料成本!E12</f>
        <v>38.229999999999997</v>
      </c>
      <c r="E16" s="39">
        <f>材料成本!F12</f>
        <v>44.33</v>
      </c>
      <c r="F16" s="39">
        <f>材料成本!G12</f>
        <v>44.33</v>
      </c>
      <c r="G16" s="39">
        <f>材料成本!H12</f>
        <v>0</v>
      </c>
    </row>
    <row r="17" spans="1:12">
      <c r="A17" s="59"/>
      <c r="B17" s="59" t="s">
        <v>76</v>
      </c>
      <c r="C17" s="59">
        <f>C8-C16</f>
        <v>8.00000000000054E-2</v>
      </c>
      <c r="D17" s="59">
        <f t="shared" ref="D17:G17" si="4">D8-D16</f>
        <v>8.00000000000054E-2</v>
      </c>
      <c r="E17" s="59">
        <f t="shared" si="4"/>
        <v>3.1600000000000037</v>
      </c>
      <c r="F17" s="59">
        <f t="shared" si="4"/>
        <v>3.1600000000000037</v>
      </c>
      <c r="G17" s="59">
        <f t="shared" si="4"/>
        <v>0</v>
      </c>
    </row>
    <row r="18" spans="1:12">
      <c r="A18" s="59"/>
      <c r="B18" s="59" t="s">
        <v>224</v>
      </c>
      <c r="C18" s="60">
        <f>C17/C8</f>
        <v>2.088227616810373E-3</v>
      </c>
      <c r="D18" s="60">
        <f t="shared" ref="D18:G18" si="5">D17/D8</f>
        <v>2.088227616810373E-3</v>
      </c>
      <c r="E18" s="60">
        <f t="shared" si="5"/>
        <v>6.654032427879561E-2</v>
      </c>
      <c r="F18" s="60">
        <f t="shared" si="5"/>
        <v>6.654032427879561E-2</v>
      </c>
      <c r="G18" s="60" t="e">
        <f t="shared" si="5"/>
        <v>#DIV/0!</v>
      </c>
    </row>
    <row r="20" spans="1:12">
      <c r="A20" s="252" t="s">
        <v>225</v>
      </c>
      <c r="B20" s="252"/>
      <c r="C20" s="252"/>
      <c r="D20" s="252"/>
      <c r="E20" s="253" t="s">
        <v>222</v>
      </c>
      <c r="F20" s="253"/>
      <c r="G20" s="253"/>
      <c r="H20" s="253"/>
      <c r="I20" s="253"/>
      <c r="J20" s="253"/>
      <c r="K20" s="251" t="s">
        <v>25</v>
      </c>
    </row>
    <row r="21" spans="1:12" ht="33">
      <c r="A21" s="61" t="s">
        <v>153</v>
      </c>
      <c r="B21" s="61" t="s">
        <v>154</v>
      </c>
      <c r="C21" s="62" t="s">
        <v>220</v>
      </c>
      <c r="D21" s="62" t="s">
        <v>221</v>
      </c>
      <c r="E21" s="63" t="s">
        <v>73</v>
      </c>
      <c r="F21" s="63" t="s">
        <v>200</v>
      </c>
      <c r="G21" s="63" t="s">
        <v>201</v>
      </c>
      <c r="H21" s="63" t="s">
        <v>202</v>
      </c>
      <c r="I21" s="63" t="s">
        <v>203</v>
      </c>
      <c r="J21" s="63" t="s">
        <v>204</v>
      </c>
      <c r="K21" s="251"/>
    </row>
    <row r="22" spans="1:12" ht="33">
      <c r="A22" s="50" t="s">
        <v>212</v>
      </c>
      <c r="B22" s="51" t="s">
        <v>216</v>
      </c>
      <c r="C22" s="64"/>
      <c r="D22" s="51">
        <v>38.31</v>
      </c>
      <c r="E22" s="54"/>
      <c r="F22" s="54">
        <v>10000</v>
      </c>
      <c r="G22" s="54">
        <v>10000</v>
      </c>
      <c r="H22" s="54">
        <v>10000</v>
      </c>
      <c r="I22" s="54">
        <v>10000</v>
      </c>
      <c r="J22" s="54">
        <v>10000</v>
      </c>
      <c r="K22" s="79">
        <f t="shared" ref="K22:K34" si="6">SUM(E22:J22)</f>
        <v>50000</v>
      </c>
    </row>
    <row r="23" spans="1:12" ht="33">
      <c r="A23" s="50" t="s">
        <v>213</v>
      </c>
      <c r="B23" s="51" t="s">
        <v>217</v>
      </c>
      <c r="C23" s="51"/>
      <c r="D23" s="51">
        <v>38.31</v>
      </c>
      <c r="E23" s="54"/>
      <c r="F23" s="54">
        <v>10000</v>
      </c>
      <c r="G23" s="54">
        <v>10000</v>
      </c>
      <c r="H23" s="54">
        <v>10000</v>
      </c>
      <c r="I23" s="54">
        <v>10000</v>
      </c>
      <c r="J23" s="54">
        <v>10000</v>
      </c>
      <c r="K23" s="79">
        <f t="shared" si="6"/>
        <v>50000</v>
      </c>
    </row>
    <row r="24" spans="1:12" ht="33">
      <c r="A24" s="50" t="s">
        <v>214</v>
      </c>
      <c r="B24" s="51" t="s">
        <v>218</v>
      </c>
      <c r="C24" s="51"/>
      <c r="D24" s="51">
        <v>47.49</v>
      </c>
      <c r="E24" s="54"/>
      <c r="F24" s="54">
        <v>10000</v>
      </c>
      <c r="G24" s="54">
        <v>10000</v>
      </c>
      <c r="H24" s="54">
        <v>10000</v>
      </c>
      <c r="I24" s="54">
        <v>10000</v>
      </c>
      <c r="J24" s="54">
        <v>10000</v>
      </c>
      <c r="K24" s="79">
        <f t="shared" si="6"/>
        <v>50000</v>
      </c>
    </row>
    <row r="25" spans="1:12" ht="33">
      <c r="A25" s="50" t="s">
        <v>215</v>
      </c>
      <c r="B25" s="51" t="s">
        <v>219</v>
      </c>
      <c r="C25" s="65"/>
      <c r="D25" s="51">
        <v>47.49</v>
      </c>
      <c r="E25" s="63"/>
      <c r="F25" s="54">
        <v>10000</v>
      </c>
      <c r="G25" s="54">
        <v>10000</v>
      </c>
      <c r="H25" s="54">
        <v>10000</v>
      </c>
      <c r="I25" s="54">
        <v>10000</v>
      </c>
      <c r="J25" s="54">
        <v>10000</v>
      </c>
      <c r="K25" s="79">
        <f t="shared" si="6"/>
        <v>50000</v>
      </c>
    </row>
    <row r="26" spans="1:12" ht="17.25">
      <c r="A26" s="66"/>
      <c r="B26" s="67"/>
      <c r="C26" s="51"/>
      <c r="D26" s="67"/>
      <c r="E26" s="54"/>
      <c r="F26" s="54"/>
      <c r="G26" s="54"/>
      <c r="H26" s="54"/>
      <c r="I26" s="54"/>
      <c r="J26" s="63"/>
      <c r="K26" s="79">
        <f t="shared" si="6"/>
        <v>0</v>
      </c>
    </row>
    <row r="27" spans="1:12" ht="17.25">
      <c r="A27" s="66"/>
      <c r="B27" s="67"/>
      <c r="C27" s="51"/>
      <c r="D27" s="67"/>
      <c r="E27" s="54"/>
      <c r="F27" s="54"/>
      <c r="G27" s="54"/>
      <c r="H27" s="54"/>
      <c r="I27" s="54"/>
      <c r="J27" s="63"/>
      <c r="K27" s="79">
        <f t="shared" si="6"/>
        <v>0</v>
      </c>
    </row>
    <row r="28" spans="1:12" ht="17.25">
      <c r="A28" s="66"/>
      <c r="B28" s="67"/>
      <c r="C28" s="51"/>
      <c r="D28" s="67"/>
      <c r="E28" s="54"/>
      <c r="F28" s="54"/>
      <c r="G28" s="54"/>
      <c r="H28" s="54"/>
      <c r="I28" s="54"/>
      <c r="J28" s="63"/>
      <c r="K28" s="79">
        <f t="shared" si="6"/>
        <v>0</v>
      </c>
    </row>
    <row r="29" spans="1:12" ht="17.25">
      <c r="A29" s="68"/>
      <c r="B29" s="67"/>
      <c r="C29" s="51"/>
      <c r="D29" s="69"/>
      <c r="E29" s="54"/>
      <c r="F29" s="54"/>
      <c r="G29" s="54"/>
      <c r="H29" s="54"/>
      <c r="I29" s="54"/>
      <c r="J29" s="63"/>
      <c r="K29" s="79">
        <f t="shared" si="6"/>
        <v>0</v>
      </c>
      <c r="L29" s="67"/>
    </row>
    <row r="30" spans="1:12" ht="17.25">
      <c r="A30" s="70"/>
      <c r="B30" s="67"/>
      <c r="C30" s="51"/>
      <c r="D30" s="67"/>
      <c r="E30" s="71"/>
      <c r="F30" s="71"/>
      <c r="G30" s="71"/>
      <c r="H30" s="71"/>
      <c r="I30" s="71"/>
      <c r="J30" s="63"/>
      <c r="K30" s="79">
        <f t="shared" si="6"/>
        <v>0</v>
      </c>
    </row>
    <row r="31" spans="1:12" ht="17.25">
      <c r="A31" s="70"/>
      <c r="B31" s="72"/>
      <c r="C31" s="72"/>
      <c r="D31" s="72"/>
      <c r="E31" s="63"/>
      <c r="F31" s="63"/>
      <c r="G31" s="63"/>
      <c r="H31" s="63"/>
      <c r="I31" s="63"/>
      <c r="J31" s="63"/>
      <c r="K31" s="79"/>
    </row>
    <row r="32" spans="1:12" ht="17.25">
      <c r="A32" s="70"/>
      <c r="B32" s="72"/>
      <c r="C32" s="72"/>
      <c r="D32" s="72"/>
      <c r="E32" s="63"/>
      <c r="F32" s="63"/>
      <c r="G32" s="63"/>
      <c r="H32" s="63"/>
      <c r="I32" s="63"/>
      <c r="J32" s="63"/>
      <c r="K32" s="79"/>
    </row>
    <row r="33" spans="1:11" ht="18.75">
      <c r="A33" s="73"/>
      <c r="B33" s="74"/>
      <c r="C33" s="74"/>
      <c r="D33" s="75"/>
      <c r="E33" s="55"/>
      <c r="F33" s="55"/>
      <c r="G33" s="55"/>
      <c r="H33" s="55"/>
      <c r="I33" s="55"/>
      <c r="J33" s="55"/>
      <c r="K33" s="79">
        <f t="shared" si="6"/>
        <v>0</v>
      </c>
    </row>
    <row r="34" spans="1:11" ht="17.25">
      <c r="A34" s="254" t="s">
        <v>25</v>
      </c>
      <c r="B34" s="254"/>
      <c r="C34" s="254"/>
      <c r="D34" s="255"/>
      <c r="E34" s="76">
        <f>SUM(E22:E33)</f>
        <v>0</v>
      </c>
      <c r="F34" s="76">
        <f t="shared" ref="F34:J34" si="7">SUM(F22:F33)</f>
        <v>40000</v>
      </c>
      <c r="G34" s="76">
        <f t="shared" si="7"/>
        <v>40000</v>
      </c>
      <c r="H34" s="76">
        <f t="shared" si="7"/>
        <v>40000</v>
      </c>
      <c r="I34" s="76">
        <f t="shared" si="7"/>
        <v>40000</v>
      </c>
      <c r="J34" s="76">
        <f t="shared" si="7"/>
        <v>40000</v>
      </c>
      <c r="K34" s="80">
        <f t="shared" si="6"/>
        <v>200000</v>
      </c>
    </row>
    <row r="35" spans="1:11">
      <c r="A35" s="256"/>
      <c r="B35" s="256"/>
      <c r="C35" s="256"/>
      <c r="D35" s="256"/>
      <c r="E35" s="256"/>
      <c r="F35" s="256"/>
      <c r="G35" s="256"/>
      <c r="H35" s="256"/>
      <c r="I35" s="256"/>
      <c r="J35" s="256"/>
      <c r="K35" s="81"/>
    </row>
    <row r="36" spans="1:11">
      <c r="A36" s="77"/>
      <c r="B36" s="77"/>
      <c r="C36" s="77" t="s">
        <v>209</v>
      </c>
      <c r="D36" s="29" t="s">
        <v>226</v>
      </c>
      <c r="E36" s="77"/>
      <c r="F36" s="77"/>
      <c r="G36" s="77"/>
      <c r="H36" s="77"/>
      <c r="I36" s="77"/>
      <c r="J36" s="77"/>
      <c r="K36" s="77"/>
    </row>
  </sheetData>
  <mergeCells count="9">
    <mergeCell ref="A34:D34"/>
    <mergeCell ref="A35:J35"/>
    <mergeCell ref="A5:A8"/>
    <mergeCell ref="A9:A14"/>
    <mergeCell ref="I5:I8"/>
    <mergeCell ref="K20:K21"/>
    <mergeCell ref="A15:B15"/>
    <mergeCell ref="A20:D20"/>
    <mergeCell ref="E20:J20"/>
  </mergeCells>
  <phoneticPr fontId="43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2"/>
  <sheetViews>
    <sheetView workbookViewId="0">
      <pane xSplit="3" ySplit="5" topLeftCell="D6" activePane="bottomRight" state="frozen"/>
      <selection pane="topRight"/>
      <selection pane="bottomLeft"/>
      <selection pane="bottomRight" activeCell="D23" sqref="D23"/>
    </sheetView>
  </sheetViews>
  <sheetFormatPr defaultColWidth="9" defaultRowHeight="16.5"/>
  <cols>
    <col min="1" max="1" width="8.375" style="31" customWidth="1"/>
    <col min="2" max="2" width="8.875" style="31" customWidth="1"/>
    <col min="3" max="3" width="14" style="31" customWidth="1"/>
    <col min="4" max="4" width="16.625" style="31" customWidth="1"/>
    <col min="5" max="5" width="13.875" style="31" customWidth="1"/>
    <col min="6" max="6" width="12.125" style="31" customWidth="1"/>
    <col min="7" max="9" width="14.375" style="31" customWidth="1"/>
    <col min="10" max="10" width="17.375" style="31" customWidth="1"/>
    <col min="11" max="11" width="16" style="31" customWidth="1"/>
    <col min="12" max="16384" width="9" style="31"/>
  </cols>
  <sheetData>
    <row r="1" spans="1:12" s="30" customFormat="1" ht="28.5" customHeight="1">
      <c r="A1" s="269" t="s">
        <v>7</v>
      </c>
      <c r="B1" s="269"/>
      <c r="C1" s="32"/>
      <c r="K1" s="43"/>
    </row>
    <row r="2" spans="1:12">
      <c r="A2" s="270" t="s">
        <v>227</v>
      </c>
      <c r="B2" s="270"/>
      <c r="C2" s="271"/>
      <c r="D2" s="271"/>
      <c r="E2" s="272" t="s">
        <v>228</v>
      </c>
      <c r="F2" s="273"/>
      <c r="G2" s="273"/>
      <c r="H2" s="273"/>
      <c r="I2" s="273"/>
      <c r="J2" s="274"/>
    </row>
    <row r="3" spans="1:12">
      <c r="A3" s="258" t="s">
        <v>19</v>
      </c>
      <c r="B3" s="258" t="s">
        <v>229</v>
      </c>
      <c r="C3" s="33" t="s">
        <v>230</v>
      </c>
      <c r="D3" s="275" t="s">
        <v>273</v>
      </c>
      <c r="E3" s="275"/>
      <c r="F3" s="33" t="s">
        <v>231</v>
      </c>
      <c r="G3" s="276" t="s">
        <v>274</v>
      </c>
      <c r="H3" s="277"/>
      <c r="I3" s="278"/>
      <c r="J3" s="259" t="s">
        <v>168</v>
      </c>
    </row>
    <row r="4" spans="1:12" ht="28.5">
      <c r="A4" s="258"/>
      <c r="B4" s="258"/>
      <c r="C4" s="33" t="s">
        <v>153</v>
      </c>
      <c r="D4" s="34" t="str">
        <f>销量!C5</f>
        <v>左后门上饰条总成</v>
      </c>
      <c r="E4" s="34" t="str">
        <f>销量!D5</f>
        <v>右后门上饰条总成</v>
      </c>
      <c r="F4" s="34" t="str">
        <f>销量!E5</f>
        <v>左前门上饰条总成</v>
      </c>
      <c r="G4" s="34" t="str">
        <f>销量!F5</f>
        <v>右前门上饰条总成</v>
      </c>
      <c r="H4" s="34">
        <f>销量!G5</f>
        <v>0</v>
      </c>
      <c r="I4" s="34">
        <f>销量!H5</f>
        <v>0</v>
      </c>
      <c r="J4" s="260"/>
    </row>
    <row r="5" spans="1:12" ht="35.25" customHeight="1">
      <c r="A5" s="258"/>
      <c r="B5" s="258"/>
      <c r="C5" s="33" t="s">
        <v>154</v>
      </c>
      <c r="D5" s="34" t="str">
        <f>销量!C6</f>
        <v>B00041333</v>
      </c>
      <c r="E5" s="34" t="str">
        <f>销量!D6</f>
        <v>B00041343</v>
      </c>
      <c r="F5" s="34" t="str">
        <f>销量!E6</f>
        <v>B00041331</v>
      </c>
      <c r="G5" s="34" t="str">
        <f>销量!F6</f>
        <v>B00041332</v>
      </c>
      <c r="H5" s="34">
        <f>销量!G6</f>
        <v>0</v>
      </c>
      <c r="I5" s="34">
        <f>销量!H6</f>
        <v>0</v>
      </c>
      <c r="J5" s="261"/>
    </row>
    <row r="6" spans="1:12" ht="16.5" customHeight="1">
      <c r="A6" s="35">
        <v>1</v>
      </c>
      <c r="B6" s="264" t="s">
        <v>7</v>
      </c>
      <c r="C6" s="265"/>
      <c r="D6" s="36">
        <v>38.229999999999997</v>
      </c>
      <c r="E6" s="36">
        <v>38.229999999999997</v>
      </c>
      <c r="F6" s="36">
        <v>44.33</v>
      </c>
      <c r="G6" s="36">
        <v>44.33</v>
      </c>
      <c r="H6" s="36"/>
      <c r="I6" s="36"/>
      <c r="J6" s="44"/>
    </row>
    <row r="7" spans="1:12" ht="16.5" customHeight="1">
      <c r="A7" s="35">
        <v>2</v>
      </c>
      <c r="B7" s="264"/>
      <c r="C7" s="265"/>
      <c r="D7" s="37"/>
      <c r="E7" s="37"/>
      <c r="F7" s="37"/>
      <c r="G7" s="37"/>
      <c r="H7" s="37"/>
      <c r="I7" s="37"/>
      <c r="J7" s="40"/>
    </row>
    <row r="8" spans="1:12" ht="16.5" customHeight="1">
      <c r="A8" s="35">
        <v>3</v>
      </c>
      <c r="B8" s="264"/>
      <c r="C8" s="265"/>
      <c r="D8" s="36"/>
      <c r="E8" s="37"/>
      <c r="F8" s="36"/>
      <c r="G8" s="37"/>
      <c r="H8" s="36"/>
      <c r="I8" s="36"/>
      <c r="J8" s="40"/>
    </row>
    <row r="9" spans="1:12">
      <c r="A9" s="35">
        <v>4</v>
      </c>
      <c r="B9" s="264"/>
      <c r="C9" s="265"/>
      <c r="D9" s="36"/>
      <c r="E9" s="37"/>
      <c r="F9" s="36"/>
      <c r="G9" s="37"/>
      <c r="H9" s="37"/>
      <c r="I9" s="37"/>
      <c r="J9" s="40"/>
    </row>
    <row r="10" spans="1:12" ht="16.5" customHeight="1">
      <c r="A10" s="35">
        <v>5</v>
      </c>
      <c r="B10" s="264"/>
      <c r="C10" s="265"/>
      <c r="D10" s="36"/>
      <c r="E10" s="37"/>
      <c r="F10" s="36"/>
      <c r="G10" s="37"/>
      <c r="H10" s="37"/>
      <c r="I10" s="37"/>
      <c r="J10" s="40"/>
      <c r="K10" s="262"/>
      <c r="L10" s="263"/>
    </row>
    <row r="11" spans="1:12" ht="16.5" customHeight="1">
      <c r="A11" s="35">
        <v>6</v>
      </c>
      <c r="B11" s="264"/>
      <c r="C11" s="265"/>
      <c r="D11" s="36"/>
      <c r="E11" s="37"/>
      <c r="F11" s="36"/>
      <c r="G11" s="37"/>
      <c r="H11" s="37"/>
      <c r="I11" s="37"/>
      <c r="J11" s="40"/>
      <c r="K11" s="262"/>
      <c r="L11" s="263"/>
    </row>
    <row r="12" spans="1:12" ht="31.5" customHeight="1">
      <c r="A12" s="266" t="s">
        <v>232</v>
      </c>
      <c r="B12" s="267"/>
      <c r="C12" s="268"/>
      <c r="D12" s="38">
        <f t="shared" ref="D12:I12" si="0">SUM(D6:D11)</f>
        <v>38.229999999999997</v>
      </c>
      <c r="E12" s="38">
        <f t="shared" si="0"/>
        <v>38.229999999999997</v>
      </c>
      <c r="F12" s="38">
        <f t="shared" si="0"/>
        <v>44.33</v>
      </c>
      <c r="G12" s="38">
        <f t="shared" si="0"/>
        <v>44.33</v>
      </c>
      <c r="H12" s="38">
        <f t="shared" si="0"/>
        <v>0</v>
      </c>
      <c r="I12" s="38">
        <f t="shared" si="0"/>
        <v>0</v>
      </c>
      <c r="J12" s="40"/>
    </row>
    <row r="13" spans="1:12">
      <c r="D13" s="39"/>
      <c r="E13" s="39"/>
    </row>
    <row r="15" spans="1:12" ht="27.75" customHeight="1">
      <c r="C15" s="40"/>
      <c r="D15" s="249" t="s">
        <v>277</v>
      </c>
      <c r="E15" s="249"/>
      <c r="F15" s="249"/>
      <c r="G15" s="249"/>
      <c r="H15" s="249"/>
      <c r="I15" s="249"/>
      <c r="J15" s="249"/>
    </row>
    <row r="16" spans="1:12">
      <c r="C16" s="249" t="s">
        <v>153</v>
      </c>
      <c r="D16" s="249"/>
      <c r="E16" s="257" t="s">
        <v>7</v>
      </c>
      <c r="F16" s="257"/>
      <c r="G16" s="257"/>
      <c r="H16" s="257"/>
      <c r="I16" s="257"/>
      <c r="J16" s="257"/>
    </row>
    <row r="17" spans="3:10">
      <c r="C17" s="249"/>
      <c r="D17" s="249"/>
      <c r="E17" s="41" t="s">
        <v>200</v>
      </c>
      <c r="F17" s="41" t="s">
        <v>201</v>
      </c>
      <c r="G17" s="41" t="s">
        <v>202</v>
      </c>
      <c r="H17" s="41" t="s">
        <v>203</v>
      </c>
      <c r="I17" s="41" t="s">
        <v>204</v>
      </c>
      <c r="J17" s="41" t="s">
        <v>168</v>
      </c>
    </row>
    <row r="18" spans="3:10">
      <c r="C18" s="215" t="s">
        <v>212</v>
      </c>
      <c r="D18" s="215" t="s">
        <v>216</v>
      </c>
      <c r="E18" s="42">
        <f>D12</f>
        <v>38.229999999999997</v>
      </c>
      <c r="F18" s="42">
        <f>E18</f>
        <v>38.229999999999997</v>
      </c>
      <c r="G18" s="42">
        <f t="shared" ref="G18:I18" si="1">F18</f>
        <v>38.229999999999997</v>
      </c>
      <c r="H18" s="42">
        <f t="shared" si="1"/>
        <v>38.229999999999997</v>
      </c>
      <c r="I18" s="42">
        <f t="shared" si="1"/>
        <v>38.229999999999997</v>
      </c>
      <c r="J18" s="42"/>
    </row>
    <row r="19" spans="3:10">
      <c r="C19" s="215" t="s">
        <v>213</v>
      </c>
      <c r="D19" s="215" t="s">
        <v>217</v>
      </c>
      <c r="E19" s="42">
        <f>E12</f>
        <v>38.229999999999997</v>
      </c>
      <c r="F19" s="42">
        <f t="shared" ref="F19:I22" si="2">E19</f>
        <v>38.229999999999997</v>
      </c>
      <c r="G19" s="42">
        <f t="shared" si="2"/>
        <v>38.229999999999997</v>
      </c>
      <c r="H19" s="42">
        <f t="shared" si="2"/>
        <v>38.229999999999997</v>
      </c>
      <c r="I19" s="42">
        <f t="shared" si="2"/>
        <v>38.229999999999997</v>
      </c>
      <c r="J19" s="42"/>
    </row>
    <row r="20" spans="3:10">
      <c r="C20" s="215" t="s">
        <v>214</v>
      </c>
      <c r="D20" s="215" t="s">
        <v>218</v>
      </c>
      <c r="E20" s="42">
        <f>F12</f>
        <v>44.33</v>
      </c>
      <c r="F20" s="42">
        <f t="shared" si="2"/>
        <v>44.33</v>
      </c>
      <c r="G20" s="42">
        <f t="shared" si="2"/>
        <v>44.33</v>
      </c>
      <c r="H20" s="42">
        <f t="shared" si="2"/>
        <v>44.33</v>
      </c>
      <c r="I20" s="42">
        <f t="shared" si="2"/>
        <v>44.33</v>
      </c>
      <c r="J20" s="42"/>
    </row>
    <row r="21" spans="3:10">
      <c r="C21" s="215" t="s">
        <v>215</v>
      </c>
      <c r="D21" s="215" t="s">
        <v>219</v>
      </c>
      <c r="E21" s="42">
        <f>G12</f>
        <v>44.33</v>
      </c>
      <c r="F21" s="42">
        <f t="shared" si="2"/>
        <v>44.33</v>
      </c>
      <c r="G21" s="42">
        <f t="shared" si="2"/>
        <v>44.33</v>
      </c>
      <c r="H21" s="42">
        <f t="shared" si="2"/>
        <v>44.33</v>
      </c>
      <c r="I21" s="42">
        <f t="shared" si="2"/>
        <v>44.33</v>
      </c>
      <c r="J21" s="42"/>
    </row>
    <row r="22" spans="3:10">
      <c r="C22" s="40"/>
      <c r="D22" s="40"/>
      <c r="E22" s="42">
        <f>H12</f>
        <v>0</v>
      </c>
      <c r="F22" s="42">
        <f t="shared" si="2"/>
        <v>0</v>
      </c>
      <c r="G22" s="42">
        <f t="shared" si="2"/>
        <v>0</v>
      </c>
      <c r="H22" s="42">
        <f t="shared" si="2"/>
        <v>0</v>
      </c>
      <c r="I22" s="42">
        <f t="shared" si="2"/>
        <v>0</v>
      </c>
      <c r="J22" s="42"/>
    </row>
  </sheetData>
  <mergeCells count="20">
    <mergeCell ref="A1:B1"/>
    <mergeCell ref="A2:D2"/>
    <mergeCell ref="E2:J2"/>
    <mergeCell ref="D3:E3"/>
    <mergeCell ref="G3:I3"/>
    <mergeCell ref="K10:L10"/>
    <mergeCell ref="B11:C11"/>
    <mergeCell ref="K11:L11"/>
    <mergeCell ref="A12:C12"/>
    <mergeCell ref="D15:J15"/>
    <mergeCell ref="B10:C10"/>
    <mergeCell ref="E16:J16"/>
    <mergeCell ref="A3:A5"/>
    <mergeCell ref="B3:B5"/>
    <mergeCell ref="J3:J5"/>
    <mergeCell ref="C16:D17"/>
    <mergeCell ref="B6:C6"/>
    <mergeCell ref="B7:C7"/>
    <mergeCell ref="B8:C8"/>
    <mergeCell ref="B9:C9"/>
  </mergeCells>
  <phoneticPr fontId="43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xSplit="2" ySplit="1" topLeftCell="C2" activePane="bottomRight" state="frozen"/>
      <selection pane="topRight"/>
      <selection pane="bottomLeft"/>
      <selection pane="bottomRight" activeCell="D8" sqref="D8"/>
    </sheetView>
  </sheetViews>
  <sheetFormatPr defaultColWidth="9" defaultRowHeight="13.5"/>
  <cols>
    <col min="1" max="1" width="9" style="19"/>
    <col min="2" max="2" width="29.625" style="19" customWidth="1"/>
    <col min="3" max="3" width="25.5" style="19" customWidth="1"/>
    <col min="4" max="4" width="18.625" style="19" customWidth="1"/>
    <col min="5" max="16384" width="9" style="19"/>
  </cols>
  <sheetData>
    <row r="1" spans="1:5" ht="27" customHeight="1">
      <c r="A1" s="20" t="s">
        <v>19</v>
      </c>
      <c r="B1" s="20" t="s">
        <v>233</v>
      </c>
      <c r="C1" s="20" t="s">
        <v>234</v>
      </c>
      <c r="D1" s="20" t="s">
        <v>235</v>
      </c>
    </row>
    <row r="2" spans="1:5" ht="19.5" customHeight="1">
      <c r="A2" s="20">
        <v>1</v>
      </c>
      <c r="B2" s="21" t="s">
        <v>236</v>
      </c>
      <c r="C2" s="22" t="s">
        <v>237</v>
      </c>
      <c r="D2" s="23"/>
    </row>
    <row r="3" spans="1:5" ht="19.5" customHeight="1">
      <c r="A3" s="20">
        <v>2</v>
      </c>
      <c r="B3" s="21" t="s">
        <v>238</v>
      </c>
      <c r="C3" s="24" t="s">
        <v>239</v>
      </c>
      <c r="D3" s="23" t="s">
        <v>240</v>
      </c>
    </row>
    <row r="4" spans="1:5" ht="19.5" customHeight="1">
      <c r="A4" s="20">
        <v>3</v>
      </c>
      <c r="B4" s="21" t="s">
        <v>241</v>
      </c>
      <c r="C4" s="22" t="s">
        <v>242</v>
      </c>
      <c r="D4" s="23" t="s">
        <v>243</v>
      </c>
    </row>
    <row r="5" spans="1:5" ht="19.5" customHeight="1">
      <c r="A5" s="23">
        <v>4</v>
      </c>
      <c r="B5" s="21" t="s">
        <v>244</v>
      </c>
      <c r="C5" s="22" t="s">
        <v>237</v>
      </c>
      <c r="D5" s="23"/>
    </row>
    <row r="6" spans="1:5" ht="35.25" customHeight="1">
      <c r="A6" s="23">
        <v>5</v>
      </c>
      <c r="B6" s="21" t="s">
        <v>245</v>
      </c>
      <c r="C6" s="22"/>
      <c r="D6" s="23"/>
    </row>
    <row r="7" spans="1:5" ht="37.5" customHeight="1">
      <c r="A7" s="20">
        <v>6</v>
      </c>
      <c r="B7" s="20" t="s">
        <v>246</v>
      </c>
      <c r="C7" s="24" t="s">
        <v>247</v>
      </c>
      <c r="D7" s="23"/>
    </row>
    <row r="8" spans="1:5" ht="42.75" customHeight="1">
      <c r="A8" s="20">
        <v>7</v>
      </c>
      <c r="B8" s="21" t="s">
        <v>248</v>
      </c>
      <c r="C8" s="25"/>
      <c r="D8" s="23"/>
    </row>
    <row r="9" spans="1:5" ht="39" customHeight="1">
      <c r="A9" s="20">
        <v>8</v>
      </c>
      <c r="B9" s="20" t="s">
        <v>249</v>
      </c>
      <c r="C9" s="25"/>
      <c r="D9" s="23"/>
    </row>
    <row r="10" spans="1:5" ht="36" customHeight="1">
      <c r="A10" s="20">
        <v>9</v>
      </c>
      <c r="B10" s="20" t="s">
        <v>250</v>
      </c>
      <c r="C10" s="25"/>
      <c r="D10" s="23"/>
    </row>
    <row r="11" spans="1:5" ht="35.25" customHeight="1">
      <c r="A11" s="20">
        <v>10</v>
      </c>
      <c r="B11" s="20" t="s">
        <v>251</v>
      </c>
      <c r="C11" s="25"/>
      <c r="D11" s="23" t="s">
        <v>252</v>
      </c>
      <c r="E11" s="26"/>
    </row>
    <row r="12" spans="1:5" ht="19.5" customHeight="1">
      <c r="A12" s="20">
        <v>11</v>
      </c>
      <c r="B12" s="20" t="s">
        <v>253</v>
      </c>
      <c r="C12" s="25"/>
      <c r="D12" s="23"/>
    </row>
    <row r="13" spans="1:5" ht="19.5" customHeight="1">
      <c r="A13" s="20">
        <v>12</v>
      </c>
      <c r="B13" s="21" t="s">
        <v>254</v>
      </c>
      <c r="C13" s="27" t="s">
        <v>255</v>
      </c>
      <c r="D13" s="23"/>
    </row>
    <row r="14" spans="1:5">
      <c r="A14" s="20">
        <v>13</v>
      </c>
      <c r="B14" s="21" t="s">
        <v>256</v>
      </c>
      <c r="C14" s="25"/>
      <c r="D14" s="23"/>
    </row>
    <row r="15" spans="1:5">
      <c r="A15" s="20">
        <v>14</v>
      </c>
      <c r="B15" s="21" t="s">
        <v>257</v>
      </c>
      <c r="C15" s="25"/>
      <c r="D15" s="23"/>
    </row>
    <row r="16" spans="1:5">
      <c r="A16" s="20">
        <v>15</v>
      </c>
      <c r="B16" s="20" t="s">
        <v>138</v>
      </c>
      <c r="C16" s="20"/>
      <c r="D16" s="20"/>
    </row>
    <row r="17" spans="1:4" ht="16.5">
      <c r="A17" s="28"/>
      <c r="B17" s="29" t="s">
        <v>258</v>
      </c>
      <c r="C17" s="28"/>
      <c r="D17" s="28"/>
    </row>
  </sheetData>
  <phoneticPr fontId="4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78"/>
  <sheetViews>
    <sheetView workbookViewId="0">
      <selection activeCell="F10" sqref="F10"/>
    </sheetView>
  </sheetViews>
  <sheetFormatPr defaultColWidth="9" defaultRowHeight="13.5"/>
  <cols>
    <col min="1" max="2" width="9" style="2"/>
    <col min="3" max="4" width="15.75" style="2" customWidth="1"/>
    <col min="5" max="7" width="11.125" style="2" customWidth="1"/>
    <col min="8" max="8" width="12.875" style="3" customWidth="1"/>
    <col min="9" max="16384" width="9" style="2"/>
  </cols>
  <sheetData>
    <row r="1" spans="1:11" s="1" customFormat="1" ht="18.75" customHeight="1">
      <c r="F1" s="283" t="s">
        <v>259</v>
      </c>
      <c r="G1" s="283"/>
      <c r="H1" s="13"/>
    </row>
    <row r="2" spans="1:11" ht="18.75" customHeight="1">
      <c r="A2" s="282" t="s">
        <v>260</v>
      </c>
      <c r="B2" s="282"/>
      <c r="C2" s="284" t="s">
        <v>261</v>
      </c>
      <c r="D2" s="285"/>
      <c r="E2" s="285"/>
      <c r="F2" s="285"/>
      <c r="G2" s="286"/>
      <c r="H2" s="3" t="s">
        <v>262</v>
      </c>
      <c r="J2" s="14"/>
      <c r="K2" s="14"/>
    </row>
    <row r="3" spans="1:11" ht="26.25" customHeight="1">
      <c r="A3" s="282"/>
      <c r="B3" s="282"/>
      <c r="C3" s="4" t="s">
        <v>263</v>
      </c>
      <c r="D3" s="4" t="s">
        <v>264</v>
      </c>
      <c r="E3" s="216" t="s">
        <v>279</v>
      </c>
      <c r="F3" s="5"/>
      <c r="G3" s="5" t="s">
        <v>266</v>
      </c>
      <c r="H3" s="15">
        <f>销量!C8</f>
        <v>38.31</v>
      </c>
    </row>
    <row r="4" spans="1:11" ht="24" customHeight="1">
      <c r="A4" s="279" t="s">
        <v>267</v>
      </c>
      <c r="B4" s="279"/>
      <c r="C4" s="7"/>
      <c r="D4" s="8"/>
      <c r="E4" s="9">
        <v>0.10179000000000001</v>
      </c>
      <c r="F4" s="8"/>
      <c r="G4" s="10">
        <v>4.48E-2</v>
      </c>
      <c r="I4" s="16"/>
      <c r="J4" s="17"/>
      <c r="K4" s="17"/>
    </row>
    <row r="5" spans="1:11" ht="24" customHeight="1">
      <c r="A5" s="279" t="s">
        <v>268</v>
      </c>
      <c r="B5" s="6" t="s">
        <v>269</v>
      </c>
      <c r="C5" s="7"/>
      <c r="D5" s="8"/>
      <c r="E5" s="9">
        <v>0.2</v>
      </c>
      <c r="F5" s="10"/>
      <c r="G5" s="10">
        <v>4.0399999999999998E-2</v>
      </c>
      <c r="I5" s="18"/>
      <c r="J5" s="17"/>
      <c r="K5" s="17"/>
    </row>
    <row r="6" spans="1:11" ht="24" customHeight="1">
      <c r="A6" s="279"/>
      <c r="B6" s="6" t="s">
        <v>270</v>
      </c>
      <c r="C6" s="7"/>
      <c r="D6" s="8"/>
      <c r="E6" s="9">
        <v>4.0280000000000003E-2</v>
      </c>
      <c r="F6" s="8"/>
      <c r="G6" s="10">
        <v>1.66E-2</v>
      </c>
      <c r="I6" s="16"/>
      <c r="J6" s="17"/>
      <c r="K6" s="17"/>
    </row>
    <row r="7" spans="1:11" ht="24" customHeight="1">
      <c r="A7" s="284" t="s">
        <v>271</v>
      </c>
      <c r="B7" s="286"/>
      <c r="C7" s="11"/>
      <c r="D7" s="8"/>
      <c r="E7" s="217">
        <f>SUM(E4:E6)</f>
        <v>0.34206999999999999</v>
      </c>
      <c r="F7" s="8"/>
      <c r="G7" s="12">
        <f>SUM(G4:G6)</f>
        <v>0.1018</v>
      </c>
      <c r="I7" s="16"/>
      <c r="J7" s="17"/>
      <c r="K7" s="17"/>
    </row>
    <row r="8" spans="1:11" ht="24" customHeight="1">
      <c r="A8" s="279" t="s">
        <v>55</v>
      </c>
      <c r="B8" s="279"/>
      <c r="C8" s="7"/>
      <c r="D8" s="8">
        <f>$H$3*E8</f>
        <v>1.1243985000000001</v>
      </c>
      <c r="E8" s="9">
        <v>2.9350000000000001E-2</v>
      </c>
      <c r="F8" s="8"/>
      <c r="G8" s="10">
        <f>1.97%+0.75%</f>
        <v>2.7199999999999998E-2</v>
      </c>
      <c r="I8" s="18"/>
      <c r="J8" s="17"/>
      <c r="K8" s="17"/>
    </row>
    <row r="9" spans="1:11" ht="24" customHeight="1">
      <c r="A9" s="280" t="s">
        <v>272</v>
      </c>
      <c r="B9" s="6" t="s">
        <v>269</v>
      </c>
      <c r="C9" s="7"/>
      <c r="D9" s="8">
        <f>$H$3*E9</f>
        <v>0.82328190000000001</v>
      </c>
      <c r="E9" s="9">
        <v>2.1489999999999999E-2</v>
      </c>
      <c r="F9" s="8"/>
      <c r="G9" s="10">
        <v>5.3E-3</v>
      </c>
      <c r="I9" s="3"/>
      <c r="J9" s="17"/>
      <c r="K9" s="17"/>
    </row>
    <row r="10" spans="1:11" ht="24" customHeight="1">
      <c r="A10" s="281"/>
      <c r="B10" s="6" t="s">
        <v>270</v>
      </c>
      <c r="C10" s="7"/>
      <c r="D10" s="8">
        <f>$H$3*E10</f>
        <v>2.2265771999999999</v>
      </c>
      <c r="E10" s="9">
        <v>5.8119999999999998E-2</v>
      </c>
      <c r="F10" s="8"/>
      <c r="G10" s="10">
        <v>3.4099999999999998E-2</v>
      </c>
      <c r="I10" s="3"/>
      <c r="J10" s="17"/>
      <c r="K10" s="17"/>
    </row>
    <row r="11" spans="1:11" ht="24" customHeight="1">
      <c r="A11" s="279" t="s">
        <v>58</v>
      </c>
      <c r="B11" s="279"/>
      <c r="C11" s="7"/>
      <c r="D11" s="8">
        <f t="shared" ref="D11" si="0">$H$3*E11</f>
        <v>0.81600300000000003</v>
      </c>
      <c r="E11" s="10">
        <v>2.1299999999999999E-2</v>
      </c>
      <c r="F11" s="8"/>
      <c r="G11" s="10">
        <v>1.0999999999999999E-2</v>
      </c>
      <c r="I11" s="3"/>
      <c r="J11" s="17"/>
      <c r="K11" s="17"/>
    </row>
    <row r="15" spans="1:11">
      <c r="A15" s="1"/>
      <c r="B15" s="1"/>
      <c r="C15" s="1"/>
      <c r="D15" s="1"/>
      <c r="E15" s="1"/>
      <c r="F15" s="283" t="s">
        <v>259</v>
      </c>
      <c r="G15" s="283"/>
      <c r="H15" s="13"/>
    </row>
    <row r="16" spans="1:11">
      <c r="A16" s="282" t="s">
        <v>260</v>
      </c>
      <c r="B16" s="282"/>
      <c r="C16" s="284" t="s">
        <v>261</v>
      </c>
      <c r="D16" s="285"/>
      <c r="E16" s="285"/>
      <c r="F16" s="285"/>
      <c r="G16" s="286"/>
      <c r="H16" s="3" t="s">
        <v>262</v>
      </c>
    </row>
    <row r="17" spans="1:8" ht="27">
      <c r="A17" s="282"/>
      <c r="B17" s="282"/>
      <c r="C17" s="4" t="s">
        <v>263</v>
      </c>
      <c r="D17" s="4" t="s">
        <v>265</v>
      </c>
      <c r="E17" s="216" t="s">
        <v>279</v>
      </c>
      <c r="F17" s="5"/>
      <c r="G17" s="5" t="s">
        <v>266</v>
      </c>
      <c r="H17" s="15">
        <f>销量!D8</f>
        <v>38.31</v>
      </c>
    </row>
    <row r="18" spans="1:8">
      <c r="A18" s="279" t="s">
        <v>267</v>
      </c>
      <c r="B18" s="279"/>
      <c r="C18" s="7"/>
      <c r="D18" s="8"/>
      <c r="E18" s="9">
        <v>0.10179000000000001</v>
      </c>
      <c r="F18" s="8"/>
      <c r="G18" s="10">
        <v>4.48E-2</v>
      </c>
    </row>
    <row r="19" spans="1:8">
      <c r="A19" s="279" t="s">
        <v>268</v>
      </c>
      <c r="B19" s="6" t="s">
        <v>269</v>
      </c>
      <c r="C19" s="7"/>
      <c r="D19" s="8"/>
      <c r="E19" s="9">
        <v>0.2</v>
      </c>
      <c r="F19" s="8"/>
      <c r="G19" s="10">
        <v>4.0399999999999998E-2</v>
      </c>
    </row>
    <row r="20" spans="1:8">
      <c r="A20" s="279"/>
      <c r="B20" s="6" t="s">
        <v>270</v>
      </c>
      <c r="C20" s="7"/>
      <c r="D20" s="8"/>
      <c r="E20" s="9">
        <v>4.0280000000000003E-2</v>
      </c>
      <c r="F20" s="8"/>
      <c r="G20" s="10">
        <v>1.66E-2</v>
      </c>
    </row>
    <row r="21" spans="1:8">
      <c r="A21" s="284" t="s">
        <v>271</v>
      </c>
      <c r="B21" s="286"/>
      <c r="C21" s="11"/>
      <c r="D21" s="8"/>
      <c r="E21" s="217">
        <f>SUM(E18:E20)</f>
        <v>0.34206999999999999</v>
      </c>
      <c r="F21" s="8"/>
      <c r="G21" s="12">
        <f>SUM(G18:G20)</f>
        <v>0.1018</v>
      </c>
    </row>
    <row r="22" spans="1:8">
      <c r="A22" s="279" t="s">
        <v>55</v>
      </c>
      <c r="B22" s="279"/>
      <c r="C22" s="7"/>
      <c r="D22" s="8">
        <f>$H$17*E22</f>
        <v>1.1243985000000001</v>
      </c>
      <c r="E22" s="9">
        <v>2.9350000000000001E-2</v>
      </c>
      <c r="F22" s="8"/>
      <c r="G22" s="10">
        <f>1.97%+0.75%</f>
        <v>2.7199999999999998E-2</v>
      </c>
    </row>
    <row r="23" spans="1:8">
      <c r="A23" s="280" t="s">
        <v>272</v>
      </c>
      <c r="B23" s="6" t="s">
        <v>269</v>
      </c>
      <c r="C23" s="7"/>
      <c r="D23" s="8">
        <f>$H$17*E23</f>
        <v>0.82328190000000001</v>
      </c>
      <c r="E23" s="9">
        <v>2.1489999999999999E-2</v>
      </c>
      <c r="F23" s="8"/>
      <c r="G23" s="10">
        <v>5.3E-3</v>
      </c>
    </row>
    <row r="24" spans="1:8">
      <c r="A24" s="281"/>
      <c r="B24" s="6" t="s">
        <v>270</v>
      </c>
      <c r="C24" s="7"/>
      <c r="D24" s="8">
        <f>$H$17*E24</f>
        <v>2.2265771999999999</v>
      </c>
      <c r="E24" s="9">
        <v>5.8119999999999998E-2</v>
      </c>
      <c r="F24" s="8"/>
      <c r="G24" s="10">
        <v>3.4099999999999998E-2</v>
      </c>
    </row>
    <row r="25" spans="1:8">
      <c r="A25" s="279" t="s">
        <v>58</v>
      </c>
      <c r="B25" s="279"/>
      <c r="C25" s="7"/>
      <c r="D25" s="8">
        <f>$H$17*E25</f>
        <v>0.81600300000000003</v>
      </c>
      <c r="E25" s="10">
        <v>2.1299999999999999E-2</v>
      </c>
      <c r="F25" s="8"/>
      <c r="G25" s="10">
        <v>1.0999999999999999E-2</v>
      </c>
    </row>
    <row r="29" spans="1:8">
      <c r="A29" s="1"/>
      <c r="B29" s="1"/>
      <c r="C29" s="1"/>
      <c r="D29" s="1"/>
      <c r="E29" s="1"/>
      <c r="F29" s="283" t="s">
        <v>259</v>
      </c>
      <c r="G29" s="283"/>
      <c r="H29" s="13"/>
    </row>
    <row r="30" spans="1:8">
      <c r="A30" s="282" t="s">
        <v>260</v>
      </c>
      <c r="B30" s="282"/>
      <c r="C30" s="284" t="s">
        <v>261</v>
      </c>
      <c r="D30" s="285"/>
      <c r="E30" s="285"/>
      <c r="F30" s="285"/>
      <c r="G30" s="286"/>
      <c r="H30" s="3" t="s">
        <v>262</v>
      </c>
    </row>
    <row r="31" spans="1:8" ht="27">
      <c r="A31" s="282"/>
      <c r="B31" s="282"/>
      <c r="C31" s="4" t="s">
        <v>263</v>
      </c>
      <c r="D31" s="4" t="s">
        <v>265</v>
      </c>
      <c r="E31" s="216" t="s">
        <v>280</v>
      </c>
      <c r="F31" s="5"/>
      <c r="G31" s="5" t="s">
        <v>266</v>
      </c>
      <c r="H31" s="15">
        <f>销量!E8</f>
        <v>47.49</v>
      </c>
    </row>
    <row r="32" spans="1:8">
      <c r="A32" s="279" t="s">
        <v>267</v>
      </c>
      <c r="B32" s="279"/>
      <c r="C32" s="7"/>
      <c r="D32" s="8"/>
      <c r="E32" s="9">
        <v>0.10179000000000001</v>
      </c>
      <c r="F32" s="8"/>
      <c r="G32" s="10">
        <v>4.48E-2</v>
      </c>
    </row>
    <row r="33" spans="1:8">
      <c r="A33" s="279" t="s">
        <v>268</v>
      </c>
      <c r="B33" s="6" t="s">
        <v>269</v>
      </c>
      <c r="C33" s="7"/>
      <c r="D33" s="8"/>
      <c r="E33" s="9">
        <v>0.2</v>
      </c>
      <c r="F33" s="8"/>
      <c r="G33" s="10">
        <v>4.0399999999999998E-2</v>
      </c>
    </row>
    <row r="34" spans="1:8">
      <c r="A34" s="279"/>
      <c r="B34" s="6" t="s">
        <v>270</v>
      </c>
      <c r="C34" s="7"/>
      <c r="D34" s="8"/>
      <c r="E34" s="9">
        <v>4.0280000000000003E-2</v>
      </c>
      <c r="F34" s="8"/>
      <c r="G34" s="10">
        <v>1.66E-2</v>
      </c>
    </row>
    <row r="35" spans="1:8">
      <c r="A35" s="284" t="s">
        <v>271</v>
      </c>
      <c r="B35" s="286"/>
      <c r="C35" s="11"/>
      <c r="D35" s="8"/>
      <c r="E35" s="217">
        <f>SUM(E32:E34)</f>
        <v>0.34206999999999999</v>
      </c>
      <c r="F35" s="12"/>
      <c r="G35" s="12">
        <f>SUM(G32:G34)</f>
        <v>0.1018</v>
      </c>
    </row>
    <row r="36" spans="1:8">
      <c r="A36" s="279" t="s">
        <v>55</v>
      </c>
      <c r="B36" s="279"/>
      <c r="C36" s="7"/>
      <c r="D36" s="8">
        <f>$H$31*E36</f>
        <v>1.3938315000000001</v>
      </c>
      <c r="E36" s="9">
        <v>2.9350000000000001E-2</v>
      </c>
      <c r="F36" s="8"/>
      <c r="G36" s="10">
        <f>1.97%+0.75%</f>
        <v>2.7199999999999998E-2</v>
      </c>
    </row>
    <row r="37" spans="1:8">
      <c r="A37" s="280" t="s">
        <v>272</v>
      </c>
      <c r="B37" s="6" t="s">
        <v>269</v>
      </c>
      <c r="C37" s="7"/>
      <c r="D37" s="8">
        <f>$H$31*E37</f>
        <v>1.0205601</v>
      </c>
      <c r="E37" s="9">
        <v>2.1489999999999999E-2</v>
      </c>
      <c r="F37" s="8"/>
      <c r="G37" s="10">
        <v>5.3E-3</v>
      </c>
    </row>
    <row r="38" spans="1:8">
      <c r="A38" s="281"/>
      <c r="B38" s="6" t="s">
        <v>270</v>
      </c>
      <c r="C38" s="7"/>
      <c r="D38" s="8">
        <f>$H$31*E38</f>
        <v>2.7601187999999999</v>
      </c>
      <c r="E38" s="9">
        <v>5.8119999999999998E-2</v>
      </c>
      <c r="F38" s="8"/>
      <c r="G38" s="10">
        <v>3.4099999999999998E-2</v>
      </c>
    </row>
    <row r="39" spans="1:8">
      <c r="A39" s="279" t="s">
        <v>58</v>
      </c>
      <c r="B39" s="279"/>
      <c r="C39" s="7"/>
      <c r="D39" s="8">
        <f>$H$31*E39</f>
        <v>1.0115369999999999</v>
      </c>
      <c r="E39" s="10">
        <v>2.1299999999999999E-2</v>
      </c>
      <c r="F39" s="8"/>
      <c r="G39" s="10">
        <v>1.0999999999999999E-2</v>
      </c>
    </row>
    <row r="42" spans="1:8">
      <c r="A42" s="1"/>
      <c r="B42" s="1"/>
      <c r="C42" s="1"/>
      <c r="D42" s="1"/>
      <c r="E42" s="1"/>
      <c r="F42" s="283" t="s">
        <v>259</v>
      </c>
      <c r="G42" s="283"/>
      <c r="H42" s="13"/>
    </row>
    <row r="43" spans="1:8">
      <c r="A43" s="282" t="s">
        <v>260</v>
      </c>
      <c r="B43" s="282"/>
      <c r="C43" s="284" t="s">
        <v>261</v>
      </c>
      <c r="D43" s="285"/>
      <c r="E43" s="285"/>
      <c r="F43" s="285"/>
      <c r="G43" s="286"/>
      <c r="H43" s="3" t="s">
        <v>262</v>
      </c>
    </row>
    <row r="44" spans="1:8" ht="27">
      <c r="A44" s="282"/>
      <c r="B44" s="282"/>
      <c r="C44" s="4" t="s">
        <v>263</v>
      </c>
      <c r="D44" s="4" t="s">
        <v>265</v>
      </c>
      <c r="E44" s="216" t="s">
        <v>279</v>
      </c>
      <c r="F44" s="5"/>
      <c r="G44" s="5" t="s">
        <v>266</v>
      </c>
      <c r="H44" s="15">
        <f>销量!F8</f>
        <v>47.49</v>
      </c>
    </row>
    <row r="45" spans="1:8">
      <c r="A45" s="279" t="s">
        <v>267</v>
      </c>
      <c r="B45" s="279"/>
      <c r="C45" s="7"/>
      <c r="D45" s="8"/>
      <c r="E45" s="9">
        <v>0.10179000000000001</v>
      </c>
      <c r="F45" s="8"/>
      <c r="G45" s="10">
        <v>4.48E-2</v>
      </c>
    </row>
    <row r="46" spans="1:8">
      <c r="A46" s="279" t="s">
        <v>268</v>
      </c>
      <c r="B46" s="6" t="s">
        <v>269</v>
      </c>
      <c r="C46" s="7"/>
      <c r="D46" s="8"/>
      <c r="E46" s="9">
        <v>0.2</v>
      </c>
      <c r="F46" s="8"/>
      <c r="G46" s="10">
        <v>4.0399999999999998E-2</v>
      </c>
    </row>
    <row r="47" spans="1:8">
      <c r="A47" s="279"/>
      <c r="B47" s="6" t="s">
        <v>270</v>
      </c>
      <c r="C47" s="7"/>
      <c r="D47" s="8"/>
      <c r="E47" s="9">
        <v>4.0280000000000003E-2</v>
      </c>
      <c r="F47" s="8"/>
      <c r="G47" s="10">
        <v>1.66E-2</v>
      </c>
    </row>
    <row r="48" spans="1:8">
      <c r="A48" s="284" t="s">
        <v>271</v>
      </c>
      <c r="B48" s="286"/>
      <c r="C48" s="11"/>
      <c r="D48" s="8"/>
      <c r="E48" s="217">
        <f>SUM(E45:E47)</f>
        <v>0.34206999999999999</v>
      </c>
      <c r="F48" s="12"/>
      <c r="G48" s="12">
        <f>SUM(G45:G47)</f>
        <v>0.1018</v>
      </c>
    </row>
    <row r="49" spans="1:8">
      <c r="A49" s="279" t="s">
        <v>55</v>
      </c>
      <c r="B49" s="279"/>
      <c r="C49" s="7"/>
      <c r="D49" s="8">
        <f>$H$44*E49</f>
        <v>1.3938315000000001</v>
      </c>
      <c r="E49" s="9">
        <v>2.9350000000000001E-2</v>
      </c>
      <c r="F49" s="8"/>
      <c r="G49" s="10">
        <f>1.97%+0.75%</f>
        <v>2.7199999999999998E-2</v>
      </c>
    </row>
    <row r="50" spans="1:8">
      <c r="A50" s="280" t="s">
        <v>272</v>
      </c>
      <c r="B50" s="6" t="s">
        <v>269</v>
      </c>
      <c r="C50" s="7"/>
      <c r="D50" s="8">
        <f>$H$44*E50</f>
        <v>1.0205601</v>
      </c>
      <c r="E50" s="9">
        <v>2.1489999999999999E-2</v>
      </c>
      <c r="F50" s="8"/>
      <c r="G50" s="10">
        <v>5.3E-3</v>
      </c>
    </row>
    <row r="51" spans="1:8">
      <c r="A51" s="281"/>
      <c r="B51" s="6" t="s">
        <v>270</v>
      </c>
      <c r="C51" s="7"/>
      <c r="D51" s="8">
        <f>$H$44*E51</f>
        <v>2.7601187999999999</v>
      </c>
      <c r="E51" s="9">
        <v>5.8119999999999998E-2</v>
      </c>
      <c r="F51" s="8"/>
      <c r="G51" s="10">
        <v>3.4099999999999998E-2</v>
      </c>
    </row>
    <row r="52" spans="1:8">
      <c r="A52" s="279" t="s">
        <v>58</v>
      </c>
      <c r="B52" s="279"/>
      <c r="C52" s="7"/>
      <c r="D52" s="8">
        <f>$H$44*E52</f>
        <v>1.0115369999999999</v>
      </c>
      <c r="E52" s="10">
        <v>2.1299999999999999E-2</v>
      </c>
      <c r="F52" s="8"/>
      <c r="G52" s="10">
        <v>1.0999999999999999E-2</v>
      </c>
    </row>
    <row r="55" spans="1:8">
      <c r="A55" s="1"/>
      <c r="B55" s="1"/>
      <c r="C55" s="1"/>
      <c r="D55" s="1"/>
      <c r="E55" s="1"/>
      <c r="F55" s="283" t="s">
        <v>259</v>
      </c>
      <c r="G55" s="283"/>
      <c r="H55" s="13"/>
    </row>
    <row r="56" spans="1:8">
      <c r="A56" s="282" t="s">
        <v>260</v>
      </c>
      <c r="B56" s="282"/>
      <c r="C56" s="284" t="s">
        <v>261</v>
      </c>
      <c r="D56" s="285"/>
      <c r="E56" s="285"/>
      <c r="F56" s="285"/>
      <c r="G56" s="286"/>
      <c r="H56" s="3" t="s">
        <v>262</v>
      </c>
    </row>
    <row r="57" spans="1:8" ht="27">
      <c r="A57" s="282"/>
      <c r="B57" s="282"/>
      <c r="C57" s="4" t="s">
        <v>263</v>
      </c>
      <c r="D57" s="4" t="s">
        <v>265</v>
      </c>
      <c r="E57" s="216" t="s">
        <v>279</v>
      </c>
      <c r="F57" s="5"/>
      <c r="G57" s="5" t="s">
        <v>266</v>
      </c>
      <c r="H57" s="15">
        <f>销量!G8</f>
        <v>0</v>
      </c>
    </row>
    <row r="58" spans="1:8">
      <c r="A58" s="279" t="s">
        <v>267</v>
      </c>
      <c r="B58" s="279"/>
      <c r="C58" s="7"/>
      <c r="D58" s="8">
        <f>$H$57*E58</f>
        <v>0</v>
      </c>
      <c r="E58" s="9">
        <v>0.10179000000000001</v>
      </c>
      <c r="F58" s="8"/>
      <c r="G58" s="10">
        <v>4.48E-2</v>
      </c>
    </row>
    <row r="59" spans="1:8">
      <c r="A59" s="279" t="s">
        <v>268</v>
      </c>
      <c r="B59" s="6" t="s">
        <v>269</v>
      </c>
      <c r="C59" s="7"/>
      <c r="D59" s="8">
        <f t="shared" ref="D59:D65" si="1">$H$57*E59</f>
        <v>0</v>
      </c>
      <c r="E59" s="9">
        <v>0.2</v>
      </c>
      <c r="F59" s="8"/>
      <c r="G59" s="10">
        <v>4.0399999999999998E-2</v>
      </c>
    </row>
    <row r="60" spans="1:8">
      <c r="A60" s="279"/>
      <c r="B60" s="6" t="s">
        <v>270</v>
      </c>
      <c r="C60" s="7"/>
      <c r="D60" s="8">
        <f t="shared" si="1"/>
        <v>0</v>
      </c>
      <c r="E60" s="9">
        <v>4.0280000000000003E-2</v>
      </c>
      <c r="F60" s="8"/>
      <c r="G60" s="10">
        <v>1.66E-2</v>
      </c>
    </row>
    <row r="61" spans="1:8">
      <c r="A61" s="284" t="s">
        <v>271</v>
      </c>
      <c r="B61" s="286"/>
      <c r="C61" s="11"/>
      <c r="D61" s="8">
        <f t="shared" si="1"/>
        <v>0</v>
      </c>
      <c r="E61" s="217">
        <f>SUM(E58:E60)</f>
        <v>0.34206999999999999</v>
      </c>
      <c r="F61" s="12"/>
      <c r="G61" s="12">
        <f>SUM(G58:G60)</f>
        <v>0.1018</v>
      </c>
    </row>
    <row r="62" spans="1:8">
      <c r="A62" s="279" t="s">
        <v>55</v>
      </c>
      <c r="B62" s="279"/>
      <c r="C62" s="7"/>
      <c r="D62" s="8">
        <f t="shared" si="1"/>
        <v>0</v>
      </c>
      <c r="E62" s="9">
        <v>2.9350000000000001E-2</v>
      </c>
      <c r="F62" s="8"/>
      <c r="G62" s="10">
        <f>1.97%+0.75%</f>
        <v>2.7199999999999998E-2</v>
      </c>
    </row>
    <row r="63" spans="1:8">
      <c r="A63" s="280" t="s">
        <v>272</v>
      </c>
      <c r="B63" s="6" t="s">
        <v>269</v>
      </c>
      <c r="C63" s="7"/>
      <c r="D63" s="8">
        <f t="shared" si="1"/>
        <v>0</v>
      </c>
      <c r="E63" s="9">
        <v>2.1489999999999999E-2</v>
      </c>
      <c r="F63" s="8"/>
      <c r="G63" s="10">
        <v>5.3E-3</v>
      </c>
    </row>
    <row r="64" spans="1:8">
      <c r="A64" s="281"/>
      <c r="B64" s="6" t="s">
        <v>270</v>
      </c>
      <c r="C64" s="7"/>
      <c r="D64" s="8">
        <f>$H$57*H64</f>
        <v>0</v>
      </c>
      <c r="E64" s="9">
        <v>5.8119999999999998E-2</v>
      </c>
      <c r="F64" s="8"/>
      <c r="G64" s="10">
        <v>3.4099999999999998E-2</v>
      </c>
    </row>
    <row r="65" spans="1:8">
      <c r="A65" s="279" t="s">
        <v>58</v>
      </c>
      <c r="B65" s="279"/>
      <c r="C65" s="7"/>
      <c r="D65" s="8">
        <f t="shared" si="1"/>
        <v>0</v>
      </c>
      <c r="E65" s="10">
        <v>2.1299999999999999E-2</v>
      </c>
      <c r="F65" s="8"/>
      <c r="G65" s="10">
        <v>1.0999999999999999E-2</v>
      </c>
    </row>
    <row r="68" spans="1:8">
      <c r="A68" s="1"/>
      <c r="B68" s="1"/>
      <c r="C68" s="1"/>
      <c r="D68" s="1"/>
      <c r="E68" s="1"/>
      <c r="F68" s="283" t="s">
        <v>259</v>
      </c>
      <c r="G68" s="283"/>
      <c r="H68" s="13"/>
    </row>
    <row r="69" spans="1:8">
      <c r="A69" s="282" t="s">
        <v>260</v>
      </c>
      <c r="B69" s="282"/>
      <c r="C69" s="284" t="s">
        <v>261</v>
      </c>
      <c r="D69" s="285"/>
      <c r="E69" s="285"/>
      <c r="F69" s="285"/>
      <c r="G69" s="286"/>
      <c r="H69" s="3" t="s">
        <v>262</v>
      </c>
    </row>
    <row r="70" spans="1:8" ht="27">
      <c r="A70" s="282"/>
      <c r="B70" s="282"/>
      <c r="C70" s="4" t="s">
        <v>263</v>
      </c>
      <c r="D70" s="4" t="s">
        <v>265</v>
      </c>
      <c r="E70" s="216" t="s">
        <v>279</v>
      </c>
      <c r="F70" s="5"/>
      <c r="G70" s="5" t="s">
        <v>266</v>
      </c>
      <c r="H70" s="15">
        <f>销量!H8</f>
        <v>0</v>
      </c>
    </row>
    <row r="71" spans="1:8">
      <c r="A71" s="279" t="s">
        <v>267</v>
      </c>
      <c r="B71" s="279"/>
      <c r="C71" s="7"/>
      <c r="D71" s="8">
        <f>$H$70*E71</f>
        <v>0</v>
      </c>
      <c r="E71" s="9">
        <v>0.10179000000000001</v>
      </c>
      <c r="F71" s="8"/>
      <c r="G71" s="10">
        <v>4.48E-2</v>
      </c>
    </row>
    <row r="72" spans="1:8">
      <c r="A72" s="279" t="s">
        <v>268</v>
      </c>
      <c r="B72" s="6" t="s">
        <v>269</v>
      </c>
      <c r="C72" s="7"/>
      <c r="D72" s="8">
        <f t="shared" ref="D72:D78" si="2">$H$70*E72</f>
        <v>0</v>
      </c>
      <c r="E72" s="9">
        <v>0.2</v>
      </c>
      <c r="F72" s="8"/>
      <c r="G72" s="10">
        <v>4.0399999999999998E-2</v>
      </c>
    </row>
    <row r="73" spans="1:8">
      <c r="A73" s="279"/>
      <c r="B73" s="6" t="s">
        <v>270</v>
      </c>
      <c r="C73" s="7"/>
      <c r="D73" s="8">
        <f t="shared" si="2"/>
        <v>0</v>
      </c>
      <c r="E73" s="9">
        <v>4.0280000000000003E-2</v>
      </c>
      <c r="F73" s="8"/>
      <c r="G73" s="10">
        <v>1.66E-2</v>
      </c>
    </row>
    <row r="74" spans="1:8">
      <c r="A74" s="284" t="s">
        <v>271</v>
      </c>
      <c r="B74" s="286"/>
      <c r="C74" s="11"/>
      <c r="D74" s="8">
        <f t="shared" si="2"/>
        <v>0</v>
      </c>
      <c r="E74" s="217">
        <f>SUM(E71:E73)</f>
        <v>0.34206999999999999</v>
      </c>
      <c r="F74" s="12"/>
      <c r="G74" s="12">
        <f>SUM(G71:G73)</f>
        <v>0.1018</v>
      </c>
    </row>
    <row r="75" spans="1:8">
      <c r="A75" s="279" t="s">
        <v>55</v>
      </c>
      <c r="B75" s="279"/>
      <c r="C75" s="7"/>
      <c r="D75" s="8">
        <f t="shared" si="2"/>
        <v>0</v>
      </c>
      <c r="E75" s="9">
        <v>2.9350000000000001E-2</v>
      </c>
      <c r="F75" s="8"/>
      <c r="G75" s="10">
        <f>1.97%+0.75%</f>
        <v>2.7199999999999998E-2</v>
      </c>
    </row>
    <row r="76" spans="1:8">
      <c r="A76" s="280" t="s">
        <v>272</v>
      </c>
      <c r="B76" s="6" t="s">
        <v>269</v>
      </c>
      <c r="C76" s="7"/>
      <c r="D76" s="8">
        <f t="shared" si="2"/>
        <v>0</v>
      </c>
      <c r="E76" s="9">
        <v>2.1489999999999999E-2</v>
      </c>
      <c r="F76" s="8"/>
      <c r="G76" s="10">
        <v>5.3E-3</v>
      </c>
    </row>
    <row r="77" spans="1:8">
      <c r="A77" s="281"/>
      <c r="B77" s="6" t="s">
        <v>270</v>
      </c>
      <c r="C77" s="7"/>
      <c r="D77" s="8">
        <f>$H$70*H77</f>
        <v>0</v>
      </c>
      <c r="E77" s="9">
        <v>5.8119999999999998E-2</v>
      </c>
      <c r="F77" s="8"/>
      <c r="G77" s="10">
        <v>3.4099999999999998E-2</v>
      </c>
    </row>
    <row r="78" spans="1:8">
      <c r="A78" s="279" t="s">
        <v>58</v>
      </c>
      <c r="B78" s="279"/>
      <c r="C78" s="7"/>
      <c r="D78" s="8">
        <f t="shared" si="2"/>
        <v>0</v>
      </c>
      <c r="E78" s="10">
        <v>2.1299999999999999E-2</v>
      </c>
      <c r="F78" s="8"/>
      <c r="G78" s="10">
        <v>1.0999999999999999E-2</v>
      </c>
    </row>
  </sheetData>
  <mergeCells count="54">
    <mergeCell ref="F1:G1"/>
    <mergeCell ref="C2:G2"/>
    <mergeCell ref="A4:B4"/>
    <mergeCell ref="A7:B7"/>
    <mergeCell ref="A8:B8"/>
    <mergeCell ref="A2:B3"/>
    <mergeCell ref="A11:B11"/>
    <mergeCell ref="F15:G15"/>
    <mergeCell ref="C16:G16"/>
    <mergeCell ref="A18:B18"/>
    <mergeCell ref="A21:B21"/>
    <mergeCell ref="A22:B22"/>
    <mergeCell ref="A25:B25"/>
    <mergeCell ref="F29:G29"/>
    <mergeCell ref="C30:G30"/>
    <mergeCell ref="A32:B32"/>
    <mergeCell ref="A35:B35"/>
    <mergeCell ref="A36:B36"/>
    <mergeCell ref="A39:B39"/>
    <mergeCell ref="F42:G42"/>
    <mergeCell ref="C43:G43"/>
    <mergeCell ref="A45:B45"/>
    <mergeCell ref="A48:B48"/>
    <mergeCell ref="A49:B49"/>
    <mergeCell ref="A52:B52"/>
    <mergeCell ref="F55:G55"/>
    <mergeCell ref="C56:G56"/>
    <mergeCell ref="A58:B58"/>
    <mergeCell ref="A61:B61"/>
    <mergeCell ref="A62:B62"/>
    <mergeCell ref="A65:B65"/>
    <mergeCell ref="A56:B57"/>
    <mergeCell ref="F68:G68"/>
    <mergeCell ref="C69:G69"/>
    <mergeCell ref="A71:B71"/>
    <mergeCell ref="A74:B74"/>
    <mergeCell ref="A75:B75"/>
    <mergeCell ref="A69:B70"/>
    <mergeCell ref="A78:B78"/>
    <mergeCell ref="A5:A6"/>
    <mergeCell ref="A9:A10"/>
    <mergeCell ref="A19:A20"/>
    <mergeCell ref="A23:A24"/>
    <mergeCell ref="A33:A34"/>
    <mergeCell ref="A37:A38"/>
    <mergeCell ref="A46:A47"/>
    <mergeCell ref="A50:A51"/>
    <mergeCell ref="A59:A60"/>
    <mergeCell ref="A63:A64"/>
    <mergeCell ref="A72:A73"/>
    <mergeCell ref="A76:A77"/>
    <mergeCell ref="A16:B17"/>
    <mergeCell ref="A30:B31"/>
    <mergeCell ref="A43:B44"/>
  </mergeCells>
  <phoneticPr fontId="4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3"/>
  <sheetViews>
    <sheetView tabSelected="1" workbookViewId="0">
      <pane xSplit="3" ySplit="6" topLeftCell="D46" activePane="bottomRight" state="frozen"/>
      <selection pane="topRight"/>
      <selection pane="bottomLeft"/>
      <selection pane="bottomRight" activeCell="D55" sqref="D55"/>
    </sheetView>
  </sheetViews>
  <sheetFormatPr defaultColWidth="9" defaultRowHeight="16.5"/>
  <cols>
    <col min="1" max="1" width="5.125" style="177" customWidth="1"/>
    <col min="2" max="2" width="32.625" style="177" customWidth="1"/>
    <col min="3" max="3" width="14.5" style="178" customWidth="1"/>
    <col min="4" max="7" width="13" style="178" customWidth="1"/>
    <col min="8" max="8" width="15" style="178" customWidth="1"/>
    <col min="9" max="9" width="15.5" style="177" customWidth="1"/>
    <col min="10" max="35" width="9" style="177"/>
    <col min="36" max="36" width="4.375" style="177" customWidth="1"/>
    <col min="37" max="37" width="13.875" style="177" customWidth="1"/>
    <col min="38" max="16384" width="9" style="177"/>
  </cols>
  <sheetData>
    <row r="1" spans="1:38" ht="27" customHeight="1">
      <c r="A1" s="220" t="s">
        <v>278</v>
      </c>
      <c r="B1" s="220"/>
      <c r="C1" s="220"/>
      <c r="D1" s="220"/>
      <c r="E1" s="220"/>
      <c r="F1" s="220"/>
      <c r="G1" s="220"/>
      <c r="H1" s="220"/>
    </row>
    <row r="2" spans="1:38" ht="15.75" customHeight="1">
      <c r="A2" s="221" t="s">
        <v>19</v>
      </c>
      <c r="B2" s="179" t="s">
        <v>1</v>
      </c>
      <c r="C2" s="179" t="s">
        <v>20</v>
      </c>
      <c r="D2" s="179" t="s">
        <v>21</v>
      </c>
      <c r="E2" s="179" t="s">
        <v>22</v>
      </c>
      <c r="F2" s="179" t="s">
        <v>23</v>
      </c>
      <c r="G2" s="179" t="s">
        <v>24</v>
      </c>
      <c r="H2" s="116" t="s">
        <v>25</v>
      </c>
      <c r="AL2" s="177" t="s">
        <v>26</v>
      </c>
    </row>
    <row r="3" spans="1:38" s="113" customFormat="1" ht="15.75" customHeight="1">
      <c r="A3" s="222"/>
      <c r="B3" s="118" t="s">
        <v>3</v>
      </c>
      <c r="C3" s="180">
        <f>'2023年'!I6</f>
        <v>40000</v>
      </c>
      <c r="D3" s="180">
        <f>'2024年'!I6</f>
        <v>40000</v>
      </c>
      <c r="E3" s="180">
        <f>'2025年'!I6</f>
        <v>40000</v>
      </c>
      <c r="F3" s="180">
        <f>'2026年'!I6</f>
        <v>40000</v>
      </c>
      <c r="G3" s="180">
        <f>'2027年'!I6</f>
        <v>40000</v>
      </c>
      <c r="H3" s="180">
        <f>SUM(C3:G3)</f>
        <v>200000</v>
      </c>
      <c r="I3" s="131"/>
      <c r="AJ3" s="117" t="s">
        <v>19</v>
      </c>
      <c r="AK3" s="118" t="s">
        <v>3</v>
      </c>
      <c r="AL3" s="113" t="s">
        <v>27</v>
      </c>
    </row>
    <row r="4" spans="1:38" s="113" customFormat="1" ht="15.75" customHeight="1">
      <c r="A4" s="115">
        <v>1</v>
      </c>
      <c r="B4" s="118" t="s">
        <v>28</v>
      </c>
      <c r="C4" s="180">
        <f>'2023年'!I7</f>
        <v>1716000</v>
      </c>
      <c r="D4" s="180">
        <f>'2024年'!I7</f>
        <v>1716000</v>
      </c>
      <c r="E4" s="180">
        <f>'2025年'!I7</f>
        <v>1716000</v>
      </c>
      <c r="F4" s="180">
        <f>'2026年'!I7</f>
        <v>1716000</v>
      </c>
      <c r="G4" s="180">
        <f>'2027年'!I7</f>
        <v>1716000</v>
      </c>
      <c r="H4" s="180">
        <f t="shared" ref="H4:H11" si="0">SUM(C4:G4)</f>
        <v>8580000</v>
      </c>
      <c r="I4" s="131"/>
      <c r="AJ4" s="117" t="s">
        <v>29</v>
      </c>
      <c r="AK4" s="118" t="s">
        <v>28</v>
      </c>
      <c r="AL4" s="113" t="s">
        <v>27</v>
      </c>
    </row>
    <row r="5" spans="1:38" s="113" customFormat="1" ht="15.75" customHeight="1">
      <c r="A5" s="115">
        <v>2</v>
      </c>
      <c r="B5" s="115" t="s">
        <v>30</v>
      </c>
      <c r="C5" s="180">
        <f>'2023年'!I8</f>
        <v>0</v>
      </c>
      <c r="D5" s="180">
        <f>'2024年'!I8</f>
        <v>0</v>
      </c>
      <c r="E5" s="180">
        <f>'2025年'!I8</f>
        <v>0</v>
      </c>
      <c r="F5" s="180">
        <f>'2026年'!I8</f>
        <v>0</v>
      </c>
      <c r="G5" s="180">
        <f>'2027年'!I8</f>
        <v>0</v>
      </c>
      <c r="H5" s="180">
        <f t="shared" si="0"/>
        <v>0</v>
      </c>
      <c r="I5" s="131"/>
      <c r="AJ5" s="117" t="s">
        <v>31</v>
      </c>
      <c r="AK5" s="115" t="s">
        <v>32</v>
      </c>
      <c r="AL5" s="113" t="s">
        <v>27</v>
      </c>
    </row>
    <row r="6" spans="1:38" s="113" customFormat="1" ht="15.75" customHeight="1">
      <c r="A6" s="115">
        <v>3</v>
      </c>
      <c r="B6" s="118" t="s">
        <v>33</v>
      </c>
      <c r="C6" s="181">
        <f>+C4-C5</f>
        <v>1716000</v>
      </c>
      <c r="D6" s="181">
        <f>'2024年'!I9</f>
        <v>1716000</v>
      </c>
      <c r="E6" s="181">
        <f>'2025年'!I9</f>
        <v>1716000</v>
      </c>
      <c r="F6" s="181">
        <f>'2026年'!I9</f>
        <v>1716000</v>
      </c>
      <c r="G6" s="181">
        <f>'2027年'!I9</f>
        <v>1716000</v>
      </c>
      <c r="H6" s="180">
        <f t="shared" si="0"/>
        <v>8580000</v>
      </c>
      <c r="I6" s="131"/>
      <c r="AJ6" s="117" t="s">
        <v>34</v>
      </c>
      <c r="AK6" s="118" t="s">
        <v>33</v>
      </c>
      <c r="AL6" s="113" t="s">
        <v>35</v>
      </c>
    </row>
    <row r="7" spans="1:38" s="113" customFormat="1" ht="15.75" customHeight="1">
      <c r="A7" s="115">
        <v>4</v>
      </c>
      <c r="B7" s="117" t="s">
        <v>36</v>
      </c>
      <c r="C7" s="180">
        <f>'2023年'!I10</f>
        <v>1651200</v>
      </c>
      <c r="D7" s="180">
        <f>'2024年'!I10</f>
        <v>1651200</v>
      </c>
      <c r="E7" s="180">
        <f>'2025年'!I10</f>
        <v>1651200</v>
      </c>
      <c r="F7" s="180">
        <f>'2026年'!I10</f>
        <v>1651200</v>
      </c>
      <c r="G7" s="180">
        <f>'2027年'!I10</f>
        <v>1651200</v>
      </c>
      <c r="H7" s="180">
        <f t="shared" si="0"/>
        <v>8256000</v>
      </c>
      <c r="I7" s="131"/>
      <c r="AJ7" s="117" t="s">
        <v>37</v>
      </c>
      <c r="AK7" s="117" t="s">
        <v>36</v>
      </c>
      <c r="AL7" s="113" t="s">
        <v>38</v>
      </c>
    </row>
    <row r="8" spans="1:38" s="113" customFormat="1" ht="15.75" customHeight="1">
      <c r="A8" s="115">
        <v>5</v>
      </c>
      <c r="B8" s="117" t="s">
        <v>39</v>
      </c>
      <c r="C8" s="180">
        <f>'2023年'!I11</f>
        <v>0</v>
      </c>
      <c r="D8" s="180">
        <f>'2024年'!I11</f>
        <v>0</v>
      </c>
      <c r="E8" s="180">
        <f>'2025年'!I11</f>
        <v>0</v>
      </c>
      <c r="F8" s="180">
        <f>'2026年'!I11</f>
        <v>0</v>
      </c>
      <c r="G8" s="180">
        <f>'2027年'!I11</f>
        <v>0</v>
      </c>
      <c r="H8" s="180">
        <f t="shared" si="0"/>
        <v>0</v>
      </c>
      <c r="I8" s="131"/>
      <c r="AJ8" s="117" t="s">
        <v>40</v>
      </c>
      <c r="AK8" s="117" t="s">
        <v>39</v>
      </c>
    </row>
    <row r="9" spans="1:38" s="113" customFormat="1" ht="15.75" customHeight="1">
      <c r="A9" s="115">
        <v>6</v>
      </c>
      <c r="B9" s="117" t="s">
        <v>41</v>
      </c>
      <c r="C9" s="180">
        <f>'2023年'!I12</f>
        <v>0</v>
      </c>
      <c r="D9" s="180">
        <f>'2024年'!I12</f>
        <v>0</v>
      </c>
      <c r="E9" s="180">
        <f>'2025年'!I12</f>
        <v>0</v>
      </c>
      <c r="F9" s="180">
        <f>'2026年'!I12</f>
        <v>0</v>
      </c>
      <c r="G9" s="180">
        <f>'2027年'!I12</f>
        <v>0</v>
      </c>
      <c r="H9" s="180">
        <f t="shared" si="0"/>
        <v>0</v>
      </c>
      <c r="I9" s="131"/>
      <c r="AJ9" s="117" t="s">
        <v>42</v>
      </c>
      <c r="AK9" s="117" t="s">
        <v>41</v>
      </c>
    </row>
    <row r="10" spans="1:38" s="113" customFormat="1" ht="15.75" customHeight="1">
      <c r="A10" s="115">
        <v>7</v>
      </c>
      <c r="B10" s="182" t="s">
        <v>43</v>
      </c>
      <c r="C10" s="180">
        <f>'2023年'!I13</f>
        <v>99733.92</v>
      </c>
      <c r="D10" s="180">
        <f>'2024年'!I13</f>
        <v>99733.92</v>
      </c>
      <c r="E10" s="180">
        <f>'2025年'!I13</f>
        <v>99733.92</v>
      </c>
      <c r="F10" s="180">
        <f>'2026年'!I13</f>
        <v>99733.92</v>
      </c>
      <c r="G10" s="180">
        <f>'2027年'!I13</f>
        <v>99733.92</v>
      </c>
      <c r="H10" s="180">
        <f t="shared" si="0"/>
        <v>498669.6</v>
      </c>
      <c r="I10" s="131"/>
      <c r="AJ10" s="117" t="s">
        <v>44</v>
      </c>
      <c r="AK10" s="117" t="s">
        <v>43</v>
      </c>
      <c r="AL10" s="113" t="s">
        <v>27</v>
      </c>
    </row>
    <row r="11" spans="1:38" s="113" customFormat="1" ht="15.75" customHeight="1">
      <c r="A11" s="115">
        <v>8</v>
      </c>
      <c r="B11" s="183" t="s">
        <v>45</v>
      </c>
      <c r="C11" s="184">
        <f>'2023年'!I14</f>
        <v>99733.92</v>
      </c>
      <c r="D11" s="184">
        <f>'2024年'!I14</f>
        <v>99733.92</v>
      </c>
      <c r="E11" s="184">
        <f>'2025年'!I14</f>
        <v>99733.92</v>
      </c>
      <c r="F11" s="184">
        <f>'2026年'!I14</f>
        <v>99733.92</v>
      </c>
      <c r="G11" s="184">
        <f>'2027年'!I14</f>
        <v>99733.92</v>
      </c>
      <c r="H11" s="184">
        <f t="shared" si="0"/>
        <v>498669.6</v>
      </c>
      <c r="I11" s="131"/>
      <c r="AJ11" s="117" t="s">
        <v>46</v>
      </c>
      <c r="AK11" s="120" t="s">
        <v>45</v>
      </c>
    </row>
    <row r="12" spans="1:38" s="113" customFormat="1" ht="15.75" customHeight="1">
      <c r="A12" s="115">
        <v>9</v>
      </c>
      <c r="B12" s="185" t="s">
        <v>47</v>
      </c>
      <c r="C12" s="180">
        <f>'2023年'!I15</f>
        <v>-34933.919999999882</v>
      </c>
      <c r="D12" s="180">
        <f>'2024年'!I15</f>
        <v>-34933.919999999882</v>
      </c>
      <c r="E12" s="180">
        <f>'2025年'!I15</f>
        <v>-34933.919999999882</v>
      </c>
      <c r="F12" s="180">
        <f>'2026年'!I15</f>
        <v>-34933.919999999882</v>
      </c>
      <c r="G12" s="180">
        <f>'2027年'!I15</f>
        <v>-34933.919999999882</v>
      </c>
      <c r="H12" s="180">
        <f>H6-H7-H11</f>
        <v>-174669.59999999998</v>
      </c>
      <c r="I12" s="131"/>
      <c r="K12" s="177"/>
      <c r="L12" s="177"/>
      <c r="M12" s="177"/>
      <c r="N12" s="177"/>
      <c r="O12" s="177"/>
      <c r="P12" s="177"/>
      <c r="AJ12" s="117" t="s">
        <v>48</v>
      </c>
      <c r="AK12" s="120" t="s">
        <v>47</v>
      </c>
    </row>
    <row r="13" spans="1:38" ht="15.75" customHeight="1">
      <c r="A13" s="115">
        <v>10</v>
      </c>
      <c r="B13" s="186" t="s">
        <v>49</v>
      </c>
      <c r="C13" s="187">
        <f>+C12/C6</f>
        <v>-2.0357762237762169E-2</v>
      </c>
      <c r="D13" s="187">
        <f>'2024年'!I16</f>
        <v>-2.0357762237762169E-2</v>
      </c>
      <c r="E13" s="187">
        <f>'2025年'!I16</f>
        <v>-2.0357762237762169E-2</v>
      </c>
      <c r="F13" s="187">
        <f>'2026年'!I16</f>
        <v>-2.0357762237762169E-2</v>
      </c>
      <c r="G13" s="187">
        <f>'2027年'!I16</f>
        <v>-2.0357762237762169E-2</v>
      </c>
      <c r="H13" s="187">
        <f>+H12/H6</f>
        <v>-2.0357762237762235E-2</v>
      </c>
      <c r="I13" s="131"/>
      <c r="AJ13" s="186" t="s">
        <v>50</v>
      </c>
      <c r="AK13" s="186" t="s">
        <v>49</v>
      </c>
    </row>
    <row r="14" spans="1:38" ht="15.75" customHeight="1">
      <c r="A14" s="115">
        <v>11</v>
      </c>
      <c r="B14" s="186" t="s">
        <v>51</v>
      </c>
      <c r="C14" s="180">
        <f>'2023年'!I17</f>
        <v>83980</v>
      </c>
      <c r="D14" s="180">
        <f>'2024年'!I17</f>
        <v>83980</v>
      </c>
      <c r="E14" s="180">
        <f>'2025年'!I17</f>
        <v>83980</v>
      </c>
      <c r="F14" s="180">
        <f>'2026年'!I17</f>
        <v>83980</v>
      </c>
      <c r="G14" s="180">
        <f>'2027年'!I17</f>
        <v>83980</v>
      </c>
      <c r="H14" s="180">
        <f t="shared" ref="H14" si="1">SUM(C14:G14)</f>
        <v>419900</v>
      </c>
      <c r="I14" s="131"/>
      <c r="AJ14" s="186" t="s">
        <v>52</v>
      </c>
      <c r="AK14" s="186" t="s">
        <v>51</v>
      </c>
    </row>
    <row r="15" spans="1:38" ht="15.75" customHeight="1">
      <c r="A15" s="115"/>
      <c r="B15" s="186"/>
      <c r="C15" s="180"/>
      <c r="D15" s="180"/>
      <c r="E15" s="180"/>
      <c r="F15" s="180"/>
      <c r="G15" s="180"/>
      <c r="H15" s="180"/>
      <c r="I15" s="131"/>
      <c r="AJ15" s="186"/>
      <c r="AK15" s="186"/>
    </row>
    <row r="16" spans="1:38" ht="15.75" customHeight="1">
      <c r="A16" s="115">
        <v>12</v>
      </c>
      <c r="B16" s="186" t="s">
        <v>53</v>
      </c>
      <c r="C16" s="188">
        <f>'2023年'!I19</f>
        <v>36876.840000000004</v>
      </c>
      <c r="D16" s="188">
        <f>'2024年'!I19</f>
        <v>36876.840000000004</v>
      </c>
      <c r="E16" s="188">
        <f>'2025年'!I19</f>
        <v>36876.840000000004</v>
      </c>
      <c r="F16" s="188">
        <f>'2026年'!I19</f>
        <v>36876.840000000004</v>
      </c>
      <c r="G16" s="188">
        <f>'2027年'!I19</f>
        <v>36876.840000000004</v>
      </c>
      <c r="H16" s="180">
        <f t="shared" ref="H16" si="2">SUM(C16:E16)</f>
        <v>110630.52000000002</v>
      </c>
      <c r="I16" s="131"/>
      <c r="Q16" s="131"/>
      <c r="AJ16" s="186" t="s">
        <v>54</v>
      </c>
      <c r="AK16" s="186" t="s">
        <v>53</v>
      </c>
      <c r="AL16" s="177" t="s">
        <v>27</v>
      </c>
    </row>
    <row r="17" spans="1:38" ht="15.75" customHeight="1">
      <c r="A17" s="115">
        <v>13</v>
      </c>
      <c r="B17" s="186" t="s">
        <v>55</v>
      </c>
      <c r="C17" s="188">
        <f>'2023年'!I20</f>
        <v>50364.600000000006</v>
      </c>
      <c r="D17" s="188">
        <f>'2024年'!I20</f>
        <v>50364.600000000006</v>
      </c>
      <c r="E17" s="188">
        <f>'2025年'!I20</f>
        <v>50364.600000000006</v>
      </c>
      <c r="F17" s="188">
        <f>'2026年'!I20</f>
        <v>50364.600000000006</v>
      </c>
      <c r="G17" s="188">
        <f>'2027年'!I20</f>
        <v>50364.600000000006</v>
      </c>
      <c r="H17" s="180">
        <f t="shared" ref="H17:H20" si="3">SUM(C17:G17)</f>
        <v>251823.00000000003</v>
      </c>
      <c r="I17" s="131"/>
      <c r="AJ17" s="186" t="s">
        <v>56</v>
      </c>
      <c r="AK17" s="186" t="s">
        <v>55</v>
      </c>
    </row>
    <row r="18" spans="1:38" s="112" customFormat="1" ht="15.75" customHeight="1">
      <c r="A18" s="115">
        <v>14</v>
      </c>
      <c r="B18" s="125" t="s">
        <v>57</v>
      </c>
      <c r="C18" s="189">
        <f>'2023年'!I21</f>
        <v>0</v>
      </c>
      <c r="D18" s="189">
        <f>'2024年'!I21</f>
        <v>0</v>
      </c>
      <c r="E18" s="189">
        <f>'2025年'!I21</f>
        <v>0</v>
      </c>
      <c r="F18" s="189">
        <f>'2026年'!I21</f>
        <v>0</v>
      </c>
      <c r="G18" s="189">
        <f>'2027年'!I21</f>
        <v>0</v>
      </c>
      <c r="H18" s="180">
        <f t="shared" si="3"/>
        <v>0</v>
      </c>
      <c r="I18" s="131"/>
      <c r="AJ18" s="125"/>
      <c r="AK18" s="125"/>
    </row>
    <row r="19" spans="1:38" s="113" customFormat="1" ht="15.75" customHeight="1">
      <c r="A19" s="115">
        <v>15</v>
      </c>
      <c r="B19" s="117" t="s">
        <v>58</v>
      </c>
      <c r="C19" s="188">
        <f>'2023年'!I22</f>
        <v>36550.800000000003</v>
      </c>
      <c r="D19" s="188">
        <f>'2024年'!I22</f>
        <v>36550.800000000003</v>
      </c>
      <c r="E19" s="188">
        <f>'2025年'!I22</f>
        <v>36550.800000000003</v>
      </c>
      <c r="F19" s="188">
        <f>'2026年'!I22</f>
        <v>36550.800000000003</v>
      </c>
      <c r="G19" s="188">
        <f>'2027年'!I22</f>
        <v>36550.800000000003</v>
      </c>
      <c r="H19" s="180">
        <f t="shared" si="3"/>
        <v>182754</v>
      </c>
      <c r="I19" s="131"/>
      <c r="AJ19" s="117" t="s">
        <v>59</v>
      </c>
      <c r="AK19" s="117" t="s">
        <v>58</v>
      </c>
    </row>
    <row r="20" spans="1:38" s="175" customFormat="1" ht="15.75" customHeight="1">
      <c r="A20" s="115">
        <v>16</v>
      </c>
      <c r="B20" s="190" t="s">
        <v>60</v>
      </c>
      <c r="C20" s="184">
        <f t="shared" ref="C20" si="4">+C19+C18+C17+C16+C14</f>
        <v>207772.24000000002</v>
      </c>
      <c r="D20" s="184">
        <f>'2024年'!I23</f>
        <v>207772.24000000002</v>
      </c>
      <c r="E20" s="184">
        <f>'2025年'!I23</f>
        <v>207772.24000000002</v>
      </c>
      <c r="F20" s="184">
        <f>'2026年'!I23</f>
        <v>207772.24000000002</v>
      </c>
      <c r="G20" s="184">
        <f>'2027年'!I23</f>
        <v>207772.24000000002</v>
      </c>
      <c r="H20" s="184">
        <f t="shared" si="3"/>
        <v>1038861.2000000001</v>
      </c>
      <c r="I20" s="131"/>
      <c r="AJ20" s="204" t="s">
        <v>61</v>
      </c>
      <c r="AK20" s="205" t="s">
        <v>60</v>
      </c>
    </row>
    <row r="21" spans="1:38" ht="15.75" customHeight="1">
      <c r="A21" s="115">
        <v>17</v>
      </c>
      <c r="B21" s="186" t="s">
        <v>62</v>
      </c>
      <c r="C21" s="191">
        <f>+C12-C20</f>
        <v>-242706.15999999992</v>
      </c>
      <c r="D21" s="191">
        <f>'2024年'!I24</f>
        <v>-242706.15999999992</v>
      </c>
      <c r="E21" s="191">
        <f>'2025年'!I24</f>
        <v>-242706.15999999992</v>
      </c>
      <c r="F21" s="191">
        <f>'2026年'!I24</f>
        <v>-242706.15999999992</v>
      </c>
      <c r="G21" s="191">
        <f>'2027年'!I24</f>
        <v>-242706.15999999992</v>
      </c>
      <c r="H21" s="191">
        <f>+H12-H20</f>
        <v>-1213530.8</v>
      </c>
      <c r="I21" s="131"/>
      <c r="AJ21" s="186" t="s">
        <v>63</v>
      </c>
      <c r="AK21" s="186" t="s">
        <v>62</v>
      </c>
    </row>
    <row r="22" spans="1:38" ht="15.75" customHeight="1">
      <c r="A22" s="115">
        <v>18</v>
      </c>
      <c r="B22" s="186" t="s">
        <v>64</v>
      </c>
      <c r="C22" s="191">
        <f>IF(C21&lt;0,0,C21*0.25)</f>
        <v>0</v>
      </c>
      <c r="D22" s="191">
        <f>'2024年'!I25</f>
        <v>0</v>
      </c>
      <c r="E22" s="191">
        <f>'2025年'!I25</f>
        <v>0</v>
      </c>
      <c r="F22" s="191">
        <f>'2026年'!I25</f>
        <v>0</v>
      </c>
      <c r="G22" s="191">
        <f>'2027年'!I25</f>
        <v>0</v>
      </c>
      <c r="H22" s="191">
        <f>IF(H21&lt;0,0,H21*0.25)</f>
        <v>0</v>
      </c>
      <c r="I22" s="131"/>
      <c r="AJ22" s="186" t="s">
        <v>65</v>
      </c>
      <c r="AK22" s="186" t="s">
        <v>64</v>
      </c>
    </row>
    <row r="23" spans="1:38" ht="15.75" customHeight="1">
      <c r="A23" s="115">
        <v>19</v>
      </c>
      <c r="B23" s="186" t="s">
        <v>66</v>
      </c>
      <c r="C23" s="191">
        <f>C21-C22</f>
        <v>-242706.15999999992</v>
      </c>
      <c r="D23" s="191">
        <f>'2024年'!I26</f>
        <v>-242706.15999999986</v>
      </c>
      <c r="E23" s="191">
        <f>'2025年'!I26</f>
        <v>-242706.15999999986</v>
      </c>
      <c r="F23" s="191">
        <f>'2026年'!I26</f>
        <v>-242706.15999999986</v>
      </c>
      <c r="G23" s="191">
        <f>'2027年'!I26</f>
        <v>-242706.15999999986</v>
      </c>
      <c r="H23" s="191">
        <f>H21-H22</f>
        <v>-1213530.8</v>
      </c>
      <c r="I23" s="131"/>
      <c r="AJ23" s="186" t="s">
        <v>67</v>
      </c>
      <c r="AK23" s="186" t="s">
        <v>66</v>
      </c>
    </row>
    <row r="24" spans="1:38" ht="15.75" customHeight="1">
      <c r="A24" s="115">
        <v>20</v>
      </c>
      <c r="B24" s="186" t="s">
        <v>68</v>
      </c>
      <c r="C24" s="192">
        <f>(C23/C4)*100%</f>
        <v>-0.14143715617715613</v>
      </c>
      <c r="D24" s="192">
        <f>'2024年'!I27</f>
        <v>-0.1414371561771561</v>
      </c>
      <c r="E24" s="192">
        <f>'2025年'!I27</f>
        <v>-0.1414371561771561</v>
      </c>
      <c r="F24" s="192">
        <f>'2026年'!I27</f>
        <v>-0.1414371561771561</v>
      </c>
      <c r="G24" s="192">
        <f>'2027年'!I27</f>
        <v>-0.1414371561771561</v>
      </c>
      <c r="H24" s="192">
        <f>(H23/H4)*100%</f>
        <v>-0.14143715617715619</v>
      </c>
      <c r="I24" s="131"/>
      <c r="AJ24" s="206" t="s">
        <v>69</v>
      </c>
      <c r="AK24" s="206" t="s">
        <v>70</v>
      </c>
    </row>
    <row r="25" spans="1:38" s="176" customFormat="1" ht="15.75" customHeight="1">
      <c r="C25" s="193"/>
      <c r="D25" s="193"/>
      <c r="E25" s="193"/>
      <c r="F25" s="193"/>
      <c r="G25" s="193"/>
      <c r="H25" s="193"/>
      <c r="I25" s="203"/>
    </row>
    <row r="26" spans="1:38" s="176" customFormat="1" ht="15.75" customHeight="1">
      <c r="A26" s="176" t="s">
        <v>71</v>
      </c>
      <c r="C26" s="194"/>
      <c r="D26" s="194"/>
      <c r="E26" s="194"/>
      <c r="F26" s="194"/>
      <c r="G26" s="194"/>
      <c r="H26" s="194"/>
      <c r="I26" s="203"/>
      <c r="AJ26" s="176" t="s">
        <v>71</v>
      </c>
    </row>
    <row r="27" spans="1:38" ht="15.75" customHeight="1">
      <c r="A27" s="186" t="s">
        <v>19</v>
      </c>
      <c r="B27" s="195" t="s">
        <v>1</v>
      </c>
      <c r="C27" s="179" t="s">
        <v>72</v>
      </c>
      <c r="D27" s="179" t="s">
        <v>73</v>
      </c>
      <c r="E27" s="179" t="s">
        <v>74</v>
      </c>
      <c r="F27" s="179" t="s">
        <v>21</v>
      </c>
      <c r="G27" s="179" t="s">
        <v>22</v>
      </c>
      <c r="H27" s="116" t="s">
        <v>25</v>
      </c>
      <c r="AL27" s="177" t="s">
        <v>26</v>
      </c>
    </row>
    <row r="28" spans="1:38" s="113" customFormat="1" ht="15.75" customHeight="1">
      <c r="A28" s="117" t="s">
        <v>75</v>
      </c>
      <c r="B28" s="120" t="s">
        <v>76</v>
      </c>
      <c r="C28" s="124"/>
      <c r="D28" s="124"/>
      <c r="E28" s="124"/>
      <c r="F28" s="124"/>
      <c r="G28" s="124"/>
      <c r="H28" s="124"/>
      <c r="I28" s="131"/>
      <c r="AJ28" s="117" t="s">
        <v>77</v>
      </c>
      <c r="AK28" s="120" t="s">
        <v>76</v>
      </c>
    </row>
    <row r="29" spans="1:38" s="113" customFormat="1" ht="15.75" customHeight="1">
      <c r="A29" s="117" t="s">
        <v>29</v>
      </c>
      <c r="B29" s="117" t="s">
        <v>78</v>
      </c>
      <c r="C29" s="119">
        <f>+C6/C3</f>
        <v>42.9</v>
      </c>
      <c r="D29" s="119">
        <f t="shared" ref="D29:H29" si="5">+D6/D3</f>
        <v>42.9</v>
      </c>
      <c r="E29" s="119">
        <f t="shared" si="5"/>
        <v>42.9</v>
      </c>
      <c r="F29" s="119">
        <f t="shared" si="5"/>
        <v>42.9</v>
      </c>
      <c r="G29" s="119">
        <f t="shared" si="5"/>
        <v>42.9</v>
      </c>
      <c r="H29" s="119">
        <f t="shared" si="5"/>
        <v>42.9</v>
      </c>
      <c r="I29" s="131"/>
      <c r="AJ29" s="117" t="s">
        <v>29</v>
      </c>
      <c r="AK29" s="117" t="s">
        <v>78</v>
      </c>
    </row>
    <row r="30" spans="1:38" s="113" customFormat="1" ht="15.75" customHeight="1">
      <c r="A30" s="117" t="s">
        <v>31</v>
      </c>
      <c r="B30" s="117" t="s">
        <v>79</v>
      </c>
      <c r="C30" s="119">
        <f>+C7/C3</f>
        <v>41.28</v>
      </c>
      <c r="D30" s="119">
        <f t="shared" ref="D30:H30" si="6">+D7/D3</f>
        <v>41.28</v>
      </c>
      <c r="E30" s="119">
        <f t="shared" si="6"/>
        <v>41.28</v>
      </c>
      <c r="F30" s="119">
        <f t="shared" si="6"/>
        <v>41.28</v>
      </c>
      <c r="G30" s="119">
        <f t="shared" si="6"/>
        <v>41.28</v>
      </c>
      <c r="H30" s="119">
        <f t="shared" si="6"/>
        <v>41.28</v>
      </c>
      <c r="I30" s="131"/>
      <c r="AJ30" s="117" t="s">
        <v>31</v>
      </c>
      <c r="AK30" s="117" t="s">
        <v>79</v>
      </c>
    </row>
    <row r="31" spans="1:38" s="113" customFormat="1" ht="15.75" customHeight="1">
      <c r="A31" s="117" t="s">
        <v>80</v>
      </c>
      <c r="B31" s="117" t="s">
        <v>81</v>
      </c>
      <c r="C31" s="124">
        <f t="shared" ref="C31:H31" si="7">C29-C30</f>
        <v>1.6199999999999974</v>
      </c>
      <c r="D31" s="124">
        <f t="shared" si="7"/>
        <v>1.6199999999999974</v>
      </c>
      <c r="E31" s="124">
        <f t="shared" si="7"/>
        <v>1.6199999999999974</v>
      </c>
      <c r="F31" s="124">
        <f t="shared" si="7"/>
        <v>1.6199999999999974</v>
      </c>
      <c r="G31" s="124">
        <f t="shared" si="7"/>
        <v>1.6199999999999974</v>
      </c>
      <c r="H31" s="124">
        <f t="shared" si="7"/>
        <v>1.6199999999999974</v>
      </c>
      <c r="I31" s="131"/>
      <c r="AJ31" s="117" t="s">
        <v>80</v>
      </c>
      <c r="AK31" s="117" t="s">
        <v>81</v>
      </c>
    </row>
    <row r="32" spans="1:38" s="113" customFormat="1" ht="15.75" customHeight="1">
      <c r="A32" s="117">
        <v>3.1</v>
      </c>
      <c r="B32" s="117" t="s">
        <v>82</v>
      </c>
      <c r="C32" s="196">
        <f t="shared" ref="C32:H32" si="8">C31/C29</f>
        <v>3.7762237762237701E-2</v>
      </c>
      <c r="D32" s="196">
        <f t="shared" si="8"/>
        <v>3.7762237762237701E-2</v>
      </c>
      <c r="E32" s="196">
        <f t="shared" si="8"/>
        <v>3.7762237762237701E-2</v>
      </c>
      <c r="F32" s="196">
        <f t="shared" si="8"/>
        <v>3.7762237762237701E-2</v>
      </c>
      <c r="G32" s="196">
        <f t="shared" si="8"/>
        <v>3.7762237762237701E-2</v>
      </c>
      <c r="H32" s="196">
        <f t="shared" si="8"/>
        <v>3.7762237762237701E-2</v>
      </c>
      <c r="I32" s="131"/>
      <c r="AJ32" s="117"/>
      <c r="AK32" s="117"/>
    </row>
    <row r="33" spans="1:37" s="113" customFormat="1" ht="15.75" customHeight="1">
      <c r="A33" s="117" t="s">
        <v>77</v>
      </c>
      <c r="B33" s="120" t="s">
        <v>10</v>
      </c>
      <c r="C33" s="124"/>
      <c r="D33" s="124"/>
      <c r="E33" s="124"/>
      <c r="F33" s="124"/>
      <c r="G33" s="124"/>
      <c r="H33" s="124"/>
      <c r="I33" s="131"/>
      <c r="AJ33" s="117" t="s">
        <v>83</v>
      </c>
      <c r="AK33" s="120" t="s">
        <v>10</v>
      </c>
    </row>
    <row r="34" spans="1:37" s="113" customFormat="1" ht="15.75" customHeight="1">
      <c r="A34" s="117" t="s">
        <v>29</v>
      </c>
      <c r="B34" s="125" t="s">
        <v>84</v>
      </c>
      <c r="C34" s="119">
        <f>+C8/C3</f>
        <v>0</v>
      </c>
      <c r="D34" s="119">
        <f t="shared" ref="D34:H34" si="9">+D8/D3</f>
        <v>0</v>
      </c>
      <c r="E34" s="119">
        <f t="shared" si="9"/>
        <v>0</v>
      </c>
      <c r="F34" s="119">
        <f t="shared" si="9"/>
        <v>0</v>
      </c>
      <c r="G34" s="119">
        <f t="shared" si="9"/>
        <v>0</v>
      </c>
      <c r="H34" s="119">
        <f t="shared" si="9"/>
        <v>0</v>
      </c>
      <c r="I34" s="131"/>
      <c r="AJ34" s="117" t="s">
        <v>80</v>
      </c>
      <c r="AK34" s="117" t="s">
        <v>84</v>
      </c>
    </row>
    <row r="35" spans="1:37" s="113" customFormat="1" ht="15.75" customHeight="1">
      <c r="A35" s="117" t="s">
        <v>31</v>
      </c>
      <c r="B35" s="125" t="s">
        <v>85</v>
      </c>
      <c r="C35" s="119">
        <f>+C9/C3</f>
        <v>0</v>
      </c>
      <c r="D35" s="119">
        <f t="shared" ref="D35:H35" si="10">+D9/D3</f>
        <v>0</v>
      </c>
      <c r="E35" s="119">
        <f t="shared" si="10"/>
        <v>0</v>
      </c>
      <c r="F35" s="119">
        <f t="shared" si="10"/>
        <v>0</v>
      </c>
      <c r="G35" s="119">
        <f t="shared" si="10"/>
        <v>0</v>
      </c>
      <c r="H35" s="119">
        <f t="shared" si="10"/>
        <v>0</v>
      </c>
      <c r="I35" s="131"/>
      <c r="AJ35" s="117" t="s">
        <v>34</v>
      </c>
      <c r="AK35" s="117" t="s">
        <v>85</v>
      </c>
    </row>
    <row r="36" spans="1:37" s="113" customFormat="1" ht="15.75" customHeight="1">
      <c r="A36" s="117" t="s">
        <v>80</v>
      </c>
      <c r="B36" s="125" t="s">
        <v>86</v>
      </c>
      <c r="C36" s="119">
        <f>+C10/C3</f>
        <v>2.4933480000000001</v>
      </c>
      <c r="D36" s="119">
        <f t="shared" ref="D36:H36" si="11">+D10/D3</f>
        <v>2.4933480000000001</v>
      </c>
      <c r="E36" s="119">
        <f t="shared" si="11"/>
        <v>2.4933480000000001</v>
      </c>
      <c r="F36" s="119">
        <f t="shared" si="11"/>
        <v>2.4933480000000001</v>
      </c>
      <c r="G36" s="119">
        <f t="shared" si="11"/>
        <v>2.4933480000000001</v>
      </c>
      <c r="H36" s="119">
        <f t="shared" si="11"/>
        <v>2.4933479999999997</v>
      </c>
      <c r="I36" s="131"/>
      <c r="AJ36" s="117" t="s">
        <v>40</v>
      </c>
      <c r="AK36" s="117" t="s">
        <v>86</v>
      </c>
    </row>
    <row r="37" spans="1:37" s="113" customFormat="1" ht="15.75" customHeight="1">
      <c r="A37" s="117" t="s">
        <v>87</v>
      </c>
      <c r="B37" s="185" t="s">
        <v>88</v>
      </c>
      <c r="C37" s="119"/>
      <c r="D37" s="119"/>
      <c r="E37" s="119"/>
      <c r="F37" s="119"/>
      <c r="G37" s="119"/>
      <c r="H37" s="119"/>
      <c r="I37" s="131"/>
      <c r="AJ37" s="117" t="s">
        <v>87</v>
      </c>
      <c r="AK37" s="120" t="s">
        <v>88</v>
      </c>
    </row>
    <row r="38" spans="1:37" s="113" customFormat="1">
      <c r="A38" s="117" t="s">
        <v>29</v>
      </c>
      <c r="B38" s="125" t="s">
        <v>89</v>
      </c>
      <c r="C38" s="119">
        <f>+C12/C3</f>
        <v>-0.87334799999999702</v>
      </c>
      <c r="D38" s="119">
        <f t="shared" ref="D38:H38" si="12">+D12/D3</f>
        <v>-0.87334799999999702</v>
      </c>
      <c r="E38" s="119">
        <f t="shared" si="12"/>
        <v>-0.87334799999999702</v>
      </c>
      <c r="F38" s="119">
        <f t="shared" si="12"/>
        <v>-0.87334799999999702</v>
      </c>
      <c r="G38" s="119">
        <f t="shared" si="12"/>
        <v>-0.87334799999999702</v>
      </c>
      <c r="H38" s="119">
        <f t="shared" si="12"/>
        <v>-0.8733479999999999</v>
      </c>
      <c r="I38" s="131"/>
      <c r="AJ38" s="117" t="s">
        <v>29</v>
      </c>
      <c r="AK38" s="117" t="s">
        <v>90</v>
      </c>
    </row>
    <row r="39" spans="1:37" s="113" customFormat="1" ht="15.75" customHeight="1">
      <c r="A39" s="117" t="s">
        <v>31</v>
      </c>
      <c r="B39" s="125" t="s">
        <v>91</v>
      </c>
      <c r="C39" s="180">
        <f t="shared" ref="C39:G39" si="13">+C20/C38</f>
        <v>-237903.14971809718</v>
      </c>
      <c r="D39" s="180">
        <f t="shared" si="13"/>
        <v>-237903.14971809718</v>
      </c>
      <c r="E39" s="180">
        <f t="shared" si="13"/>
        <v>-237903.14971809718</v>
      </c>
      <c r="F39" s="180">
        <f t="shared" si="13"/>
        <v>-237903.14971809718</v>
      </c>
      <c r="G39" s="180">
        <f t="shared" si="13"/>
        <v>-237903.14971809718</v>
      </c>
      <c r="H39" s="197">
        <f t="shared" ref="H39" si="14">+H20/H38</f>
        <v>-1189515.7485904819</v>
      </c>
      <c r="I39" s="131"/>
      <c r="AJ39" s="117" t="s">
        <v>31</v>
      </c>
      <c r="AK39" s="117" t="s">
        <v>91</v>
      </c>
    </row>
    <row r="40" spans="1:37" s="113" customFormat="1" ht="15.75" customHeight="1">
      <c r="A40" s="117" t="s">
        <v>92</v>
      </c>
      <c r="B40" s="120" t="s">
        <v>93</v>
      </c>
      <c r="C40" s="124"/>
      <c r="D40" s="124"/>
      <c r="E40" s="124"/>
      <c r="F40" s="124"/>
      <c r="G40" s="124"/>
      <c r="H40" s="124"/>
      <c r="I40" s="131"/>
      <c r="AJ40" s="117" t="s">
        <v>92</v>
      </c>
      <c r="AK40" s="120" t="s">
        <v>93</v>
      </c>
    </row>
    <row r="41" spans="1:37" s="113" customFormat="1" ht="15.75" customHeight="1">
      <c r="A41" s="117" t="s">
        <v>29</v>
      </c>
      <c r="B41" s="117" t="s">
        <v>94</v>
      </c>
      <c r="C41" s="124">
        <f>+C14/C3</f>
        <v>2.0994999999999999</v>
      </c>
      <c r="D41" s="124">
        <f t="shared" ref="D41:H41" si="15">+D14/D3</f>
        <v>2.0994999999999999</v>
      </c>
      <c r="E41" s="124">
        <f t="shared" si="15"/>
        <v>2.0994999999999999</v>
      </c>
      <c r="F41" s="124">
        <f t="shared" si="15"/>
        <v>2.0994999999999999</v>
      </c>
      <c r="G41" s="124">
        <f t="shared" si="15"/>
        <v>2.0994999999999999</v>
      </c>
      <c r="H41" s="124">
        <f t="shared" si="15"/>
        <v>2.0994999999999999</v>
      </c>
      <c r="I41" s="131"/>
      <c r="AJ41" s="117" t="s">
        <v>29</v>
      </c>
      <c r="AK41" s="117" t="s">
        <v>94</v>
      </c>
    </row>
    <row r="42" spans="1:37" s="113" customFormat="1" ht="15.75" customHeight="1">
      <c r="A42" s="117" t="s">
        <v>31</v>
      </c>
      <c r="B42" s="117" t="s">
        <v>95</v>
      </c>
      <c r="C42" s="124">
        <f>+C16/C3</f>
        <v>0.9219210000000001</v>
      </c>
      <c r="D42" s="124">
        <f t="shared" ref="D42:H42" si="16">+D16/D3</f>
        <v>0.9219210000000001</v>
      </c>
      <c r="E42" s="124">
        <f t="shared" si="16"/>
        <v>0.9219210000000001</v>
      </c>
      <c r="F42" s="124">
        <f t="shared" si="16"/>
        <v>0.9219210000000001</v>
      </c>
      <c r="G42" s="124">
        <f t="shared" si="16"/>
        <v>0.9219210000000001</v>
      </c>
      <c r="H42" s="124">
        <f t="shared" si="16"/>
        <v>0.55315260000000011</v>
      </c>
      <c r="I42" s="131"/>
      <c r="AJ42" s="117" t="s">
        <v>31</v>
      </c>
      <c r="AK42" s="117" t="s">
        <v>95</v>
      </c>
    </row>
    <row r="43" spans="1:37" s="113" customFormat="1" ht="15.75" customHeight="1">
      <c r="A43" s="117" t="s">
        <v>80</v>
      </c>
      <c r="B43" s="117" t="s">
        <v>96</v>
      </c>
      <c r="C43" s="124">
        <f>+C17/C3</f>
        <v>1.2591150000000002</v>
      </c>
      <c r="D43" s="124">
        <f t="shared" ref="D43:H43" si="17">+D17/D3</f>
        <v>1.2591150000000002</v>
      </c>
      <c r="E43" s="124">
        <f t="shared" si="17"/>
        <v>1.2591150000000002</v>
      </c>
      <c r="F43" s="124">
        <f t="shared" si="17"/>
        <v>1.2591150000000002</v>
      </c>
      <c r="G43" s="124">
        <f t="shared" si="17"/>
        <v>1.2591150000000002</v>
      </c>
      <c r="H43" s="124">
        <f t="shared" si="17"/>
        <v>1.2591150000000002</v>
      </c>
      <c r="I43" s="131"/>
      <c r="AJ43" s="117" t="s">
        <v>80</v>
      </c>
      <c r="AK43" s="117" t="s">
        <v>96</v>
      </c>
    </row>
    <row r="44" spans="1:37" s="113" customFormat="1" ht="15.75" customHeight="1">
      <c r="A44" s="117" t="s">
        <v>34</v>
      </c>
      <c r="B44" s="117" t="s">
        <v>97</v>
      </c>
      <c r="C44" s="124"/>
      <c r="D44" s="124"/>
      <c r="E44" s="124"/>
      <c r="F44" s="124"/>
      <c r="G44" s="124"/>
      <c r="H44" s="124"/>
      <c r="I44" s="131"/>
      <c r="AJ44" s="117" t="s">
        <v>34</v>
      </c>
      <c r="AK44" s="117" t="s">
        <v>98</v>
      </c>
    </row>
    <row r="45" spans="1:37" s="113" customFormat="1" ht="15.75" customHeight="1">
      <c r="A45" s="117" t="s">
        <v>37</v>
      </c>
      <c r="B45" s="117" t="s">
        <v>99</v>
      </c>
      <c r="C45" s="124"/>
      <c r="D45" s="124"/>
      <c r="E45" s="124"/>
      <c r="F45" s="124"/>
      <c r="G45" s="124"/>
      <c r="H45" s="124"/>
      <c r="I45" s="131"/>
      <c r="AJ45" s="117" t="s">
        <v>37</v>
      </c>
      <c r="AK45" s="117" t="s">
        <v>99</v>
      </c>
    </row>
    <row r="46" spans="1:37" s="113" customFormat="1" ht="15.75" customHeight="1">
      <c r="A46" s="117" t="s">
        <v>100</v>
      </c>
      <c r="B46" s="120" t="s">
        <v>101</v>
      </c>
      <c r="C46" s="124"/>
      <c r="D46" s="124"/>
      <c r="E46" s="124"/>
      <c r="F46" s="124"/>
      <c r="G46" s="124"/>
      <c r="H46" s="124"/>
      <c r="I46" s="131"/>
      <c r="AJ46" s="117" t="s">
        <v>100</v>
      </c>
      <c r="AK46" s="120" t="s">
        <v>101</v>
      </c>
    </row>
    <row r="47" spans="1:37" s="113" customFormat="1" ht="15.75" customHeight="1">
      <c r="A47" s="117" t="s">
        <v>29</v>
      </c>
      <c r="B47" s="117" t="s">
        <v>102</v>
      </c>
      <c r="C47" s="198">
        <f>+(C10+C16)/C6</f>
        <v>7.961E-2</v>
      </c>
      <c r="D47" s="198">
        <f t="shared" ref="D47:H47" si="18">+(D10+D16)/D6</f>
        <v>7.961E-2</v>
      </c>
      <c r="E47" s="198">
        <f t="shared" si="18"/>
        <v>7.961E-2</v>
      </c>
      <c r="F47" s="198">
        <f t="shared" si="18"/>
        <v>7.961E-2</v>
      </c>
      <c r="G47" s="198">
        <f t="shared" si="18"/>
        <v>7.961E-2</v>
      </c>
      <c r="H47" s="198">
        <f t="shared" si="18"/>
        <v>7.1013999999999994E-2</v>
      </c>
      <c r="I47" s="131"/>
      <c r="AJ47" s="117" t="s">
        <v>29</v>
      </c>
      <c r="AK47" s="117" t="s">
        <v>102</v>
      </c>
    </row>
    <row r="48" spans="1:37" s="113" customFormat="1" ht="15.75" customHeight="1">
      <c r="A48" s="117" t="s">
        <v>31</v>
      </c>
      <c r="B48" s="117" t="s">
        <v>103</v>
      </c>
      <c r="C48" s="198">
        <f>+(C8+C9+C14)/C6</f>
        <v>4.8939393939393942E-2</v>
      </c>
      <c r="D48" s="198">
        <f t="shared" ref="D48:H48" si="19">+(D8+D9+D14)/D6</f>
        <v>4.8939393939393942E-2</v>
      </c>
      <c r="E48" s="198">
        <f t="shared" si="19"/>
        <v>4.8939393939393942E-2</v>
      </c>
      <c r="F48" s="198">
        <f t="shared" si="19"/>
        <v>4.8939393939393942E-2</v>
      </c>
      <c r="G48" s="198">
        <f t="shared" si="19"/>
        <v>4.8939393939393942E-2</v>
      </c>
      <c r="H48" s="198">
        <f t="shared" si="19"/>
        <v>4.8939393939393942E-2</v>
      </c>
      <c r="I48" s="131"/>
      <c r="AJ48" s="117" t="s">
        <v>31</v>
      </c>
      <c r="AK48" s="117" t="s">
        <v>103</v>
      </c>
    </row>
    <row r="49" spans="1:37" s="113" customFormat="1" ht="15.75" customHeight="1">
      <c r="A49" s="117" t="s">
        <v>80</v>
      </c>
      <c r="B49" s="117" t="s">
        <v>104</v>
      </c>
      <c r="C49" s="198">
        <f>+C17/C6</f>
        <v>2.9350000000000005E-2</v>
      </c>
      <c r="D49" s="198">
        <f t="shared" ref="D49:H49" si="20">+D17/D6</f>
        <v>2.9350000000000005E-2</v>
      </c>
      <c r="E49" s="198">
        <f t="shared" si="20"/>
        <v>2.9350000000000005E-2</v>
      </c>
      <c r="F49" s="198">
        <f t="shared" si="20"/>
        <v>2.9350000000000005E-2</v>
      </c>
      <c r="G49" s="198">
        <f t="shared" si="20"/>
        <v>2.9350000000000005E-2</v>
      </c>
      <c r="H49" s="198">
        <f t="shared" si="20"/>
        <v>2.9350000000000005E-2</v>
      </c>
      <c r="I49" s="131"/>
      <c r="AJ49" s="117" t="s">
        <v>80</v>
      </c>
      <c r="AK49" s="117" t="s">
        <v>104</v>
      </c>
    </row>
    <row r="50" spans="1:37" s="113" customFormat="1" ht="15.75" customHeight="1">
      <c r="A50" s="117" t="s">
        <v>34</v>
      </c>
      <c r="B50" s="117" t="s">
        <v>105</v>
      </c>
      <c r="C50" s="198">
        <f>+C18/C6</f>
        <v>0</v>
      </c>
      <c r="D50" s="198">
        <f t="shared" ref="D50:H50" si="21">+D18/D6</f>
        <v>0</v>
      </c>
      <c r="E50" s="198">
        <f t="shared" si="21"/>
        <v>0</v>
      </c>
      <c r="F50" s="198">
        <f t="shared" si="21"/>
        <v>0</v>
      </c>
      <c r="G50" s="198">
        <f t="shared" si="21"/>
        <v>0</v>
      </c>
      <c r="H50" s="198">
        <f t="shared" si="21"/>
        <v>0</v>
      </c>
      <c r="I50" s="131"/>
      <c r="AJ50" s="117" t="s">
        <v>34</v>
      </c>
      <c r="AK50" s="117" t="s">
        <v>105</v>
      </c>
    </row>
    <row r="51" spans="1:37" s="113" customFormat="1" ht="15.75" customHeight="1">
      <c r="A51" s="117" t="s">
        <v>37</v>
      </c>
      <c r="B51" s="117" t="s">
        <v>106</v>
      </c>
      <c r="C51" s="198">
        <f>+C19/C6</f>
        <v>2.1300000000000003E-2</v>
      </c>
      <c r="D51" s="198">
        <f t="shared" ref="D51:H51" si="22">+D19/D6</f>
        <v>2.1300000000000003E-2</v>
      </c>
      <c r="E51" s="198">
        <f t="shared" si="22"/>
        <v>2.1300000000000003E-2</v>
      </c>
      <c r="F51" s="198">
        <f t="shared" si="22"/>
        <v>2.1300000000000003E-2</v>
      </c>
      <c r="G51" s="198">
        <f t="shared" si="22"/>
        <v>2.1300000000000003E-2</v>
      </c>
      <c r="H51" s="198">
        <f t="shared" si="22"/>
        <v>2.1299999999999999E-2</v>
      </c>
      <c r="I51" s="131"/>
      <c r="AJ51" s="117" t="s">
        <v>37</v>
      </c>
      <c r="AK51" s="117" t="s">
        <v>106</v>
      </c>
    </row>
    <row r="52" spans="1:37" s="113" customFormat="1" ht="15.75" customHeight="1">
      <c r="A52" s="117" t="s">
        <v>40</v>
      </c>
      <c r="B52" s="117" t="s">
        <v>107</v>
      </c>
      <c r="C52" s="198">
        <f>+C23/C6</f>
        <v>-0.14143715617715613</v>
      </c>
      <c r="D52" s="198">
        <f t="shared" ref="D52:H52" si="23">+D23/D6</f>
        <v>-0.1414371561771561</v>
      </c>
      <c r="E52" s="198">
        <f t="shared" si="23"/>
        <v>-0.1414371561771561</v>
      </c>
      <c r="F52" s="198">
        <f t="shared" si="23"/>
        <v>-0.1414371561771561</v>
      </c>
      <c r="G52" s="198">
        <f t="shared" si="23"/>
        <v>-0.1414371561771561</v>
      </c>
      <c r="H52" s="198">
        <f t="shared" si="23"/>
        <v>-0.14143715617715619</v>
      </c>
      <c r="I52" s="131"/>
      <c r="AJ52" s="117" t="s">
        <v>40</v>
      </c>
      <c r="AK52" s="117" t="s">
        <v>108</v>
      </c>
    </row>
    <row r="53" spans="1:37" s="113" customFormat="1" ht="15.75" customHeight="1">
      <c r="A53" s="117" t="s">
        <v>109</v>
      </c>
      <c r="B53" s="120" t="s">
        <v>110</v>
      </c>
      <c r="C53" s="124">
        <f>+C21/C3</f>
        <v>-6.0676539999999983</v>
      </c>
      <c r="D53" s="124">
        <f t="shared" ref="D53:H53" si="24">+D21/D3</f>
        <v>-6.0676539999999983</v>
      </c>
      <c r="E53" s="124">
        <f t="shared" si="24"/>
        <v>-6.0676539999999983</v>
      </c>
      <c r="F53" s="124">
        <f t="shared" si="24"/>
        <v>-6.0676539999999983</v>
      </c>
      <c r="G53" s="124">
        <f t="shared" si="24"/>
        <v>-6.0676539999999983</v>
      </c>
      <c r="H53" s="124">
        <f t="shared" si="24"/>
        <v>-6.0676540000000001</v>
      </c>
      <c r="I53" s="131"/>
      <c r="AJ53" s="117" t="s">
        <v>109</v>
      </c>
      <c r="AK53" s="120" t="s">
        <v>110</v>
      </c>
    </row>
    <row r="54" spans="1:37" s="113" customFormat="1" ht="15.75" customHeight="1">
      <c r="A54" s="117" t="s">
        <v>111</v>
      </c>
      <c r="B54" s="199" t="s">
        <v>112</v>
      </c>
      <c r="C54" s="124"/>
      <c r="D54" s="124"/>
      <c r="E54" s="124"/>
      <c r="F54" s="124"/>
      <c r="G54" s="124"/>
      <c r="H54" s="124"/>
      <c r="I54" s="131"/>
      <c r="AJ54" s="117"/>
      <c r="AK54" s="120"/>
    </row>
    <row r="55" spans="1:37" s="113" customFormat="1" ht="15.75" customHeight="1">
      <c r="A55" s="117" t="s">
        <v>29</v>
      </c>
      <c r="B55" s="117" t="s">
        <v>113</v>
      </c>
      <c r="C55" s="124">
        <f>C56+C57</f>
        <v>442000</v>
      </c>
      <c r="D55" s="124"/>
      <c r="E55" s="124"/>
      <c r="F55" s="124"/>
      <c r="G55" s="124"/>
      <c r="H55" s="124"/>
      <c r="I55" s="131"/>
    </row>
    <row r="56" spans="1:37" s="113" customFormat="1" ht="15.75" customHeight="1">
      <c r="A56" s="117">
        <v>1.1000000000000001</v>
      </c>
      <c r="B56" s="200" t="s">
        <v>114</v>
      </c>
      <c r="C56" s="124">
        <f>项目投资!B27</f>
        <v>0</v>
      </c>
      <c r="D56" s="124"/>
      <c r="E56" s="124"/>
      <c r="F56" s="124"/>
      <c r="G56" s="124"/>
      <c r="H56" s="124"/>
      <c r="I56" s="131"/>
    </row>
    <row r="57" spans="1:37" s="113" customFormat="1" ht="15.75" customHeight="1">
      <c r="A57" s="117">
        <v>1.2</v>
      </c>
      <c r="B57" s="117" t="s">
        <v>115</v>
      </c>
      <c r="C57" s="124">
        <f>项目投资!B26</f>
        <v>442000</v>
      </c>
      <c r="D57" s="124"/>
      <c r="E57" s="124"/>
      <c r="F57" s="124"/>
      <c r="G57" s="124"/>
      <c r="H57" s="124"/>
      <c r="I57" s="131"/>
    </row>
    <row r="58" spans="1:37" ht="15.75" customHeight="1">
      <c r="A58" s="186" t="s">
        <v>31</v>
      </c>
      <c r="B58" s="186" t="s">
        <v>116</v>
      </c>
      <c r="C58" s="201">
        <f t="shared" ref="C58:G58" si="25">C59+C60</f>
        <v>-158726.15999999992</v>
      </c>
      <c r="D58" s="201">
        <f t="shared" si="25"/>
        <v>-158726.15999999986</v>
      </c>
      <c r="E58" s="201">
        <f t="shared" si="25"/>
        <v>-158726.15999999986</v>
      </c>
      <c r="F58" s="201">
        <f t="shared" si="25"/>
        <v>-158726.15999999986</v>
      </c>
      <c r="G58" s="201">
        <f t="shared" si="25"/>
        <v>-158726.15999999986</v>
      </c>
      <c r="H58" s="201">
        <f t="shared" ref="H58" si="26">H59+H60</f>
        <v>-793630.8</v>
      </c>
      <c r="I58" s="131"/>
    </row>
    <row r="59" spans="1:37" ht="15.75" customHeight="1">
      <c r="A59" s="186" t="s">
        <v>80</v>
      </c>
      <c r="B59" s="186" t="s">
        <v>117</v>
      </c>
      <c r="C59" s="201">
        <f t="shared" ref="C59:G59" si="27">C23</f>
        <v>-242706.15999999992</v>
      </c>
      <c r="D59" s="201">
        <f t="shared" si="27"/>
        <v>-242706.15999999986</v>
      </c>
      <c r="E59" s="201">
        <f t="shared" si="27"/>
        <v>-242706.15999999986</v>
      </c>
      <c r="F59" s="201">
        <f t="shared" si="27"/>
        <v>-242706.15999999986</v>
      </c>
      <c r="G59" s="201">
        <f t="shared" si="27"/>
        <v>-242706.15999999986</v>
      </c>
      <c r="H59" s="201">
        <f t="shared" ref="H59" si="28">H23</f>
        <v>-1213530.8</v>
      </c>
      <c r="I59" s="131"/>
    </row>
    <row r="60" spans="1:37" ht="15.75" customHeight="1">
      <c r="A60" s="186" t="s">
        <v>34</v>
      </c>
      <c r="B60" s="186" t="s">
        <v>118</v>
      </c>
      <c r="C60" s="201">
        <f>'2023年'!I18</f>
        <v>83980</v>
      </c>
      <c r="D60" s="201">
        <f>'2024年'!I18</f>
        <v>83980</v>
      </c>
      <c r="E60" s="201">
        <f>'2025年'!I18</f>
        <v>83980</v>
      </c>
      <c r="F60" s="201">
        <f>'2026年'!I18</f>
        <v>83980</v>
      </c>
      <c r="G60" s="201">
        <f>'2027年'!I18</f>
        <v>83980</v>
      </c>
      <c r="H60" s="201">
        <f>项目投资!I26</f>
        <v>419900</v>
      </c>
      <c r="I60" s="131"/>
    </row>
    <row r="61" spans="1:37" ht="15.75" customHeight="1">
      <c r="A61" s="186" t="s">
        <v>37</v>
      </c>
      <c r="B61" s="186" t="s">
        <v>119</v>
      </c>
      <c r="C61" s="202"/>
      <c r="D61" s="202"/>
      <c r="E61" s="202"/>
      <c r="F61" s="202"/>
      <c r="G61" s="202"/>
      <c r="H61" s="201"/>
      <c r="I61" s="131"/>
    </row>
    <row r="63" spans="1:37">
      <c r="B63"/>
    </row>
  </sheetData>
  <mergeCells count="2">
    <mergeCell ref="A1:H1"/>
    <mergeCell ref="A2:A3"/>
  </mergeCells>
  <phoneticPr fontId="43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40" customWidth="1"/>
    <col min="2" max="2" width="28.5" style="140" customWidth="1"/>
    <col min="3" max="4" width="9.125" style="140"/>
    <col min="5" max="5" width="13.875" style="140" customWidth="1"/>
    <col min="6" max="12" width="16.125" style="140" customWidth="1"/>
    <col min="13" max="13" width="10.625" style="140" customWidth="1"/>
    <col min="14" max="254" width="9.125" style="140"/>
    <col min="255" max="255" width="8" style="140" customWidth="1"/>
    <col min="256" max="256" width="28.5" style="140" customWidth="1"/>
    <col min="257" max="268" width="9.125" style="140"/>
    <col min="269" max="269" width="10.625" style="140" customWidth="1"/>
    <col min="270" max="510" width="9.125" style="140"/>
    <col min="511" max="511" width="8" style="140" customWidth="1"/>
    <col min="512" max="512" width="28.5" style="140" customWidth="1"/>
    <col min="513" max="524" width="9.125" style="140"/>
    <col min="525" max="525" width="10.625" style="140" customWidth="1"/>
    <col min="526" max="766" width="9.125" style="140"/>
    <col min="767" max="767" width="8" style="140" customWidth="1"/>
    <col min="768" max="768" width="28.5" style="140" customWidth="1"/>
    <col min="769" max="780" width="9.125" style="140"/>
    <col min="781" max="781" width="10.625" style="140" customWidth="1"/>
    <col min="782" max="1022" width="9.125" style="140"/>
    <col min="1023" max="1023" width="8" style="140" customWidth="1"/>
    <col min="1024" max="1024" width="28.5" style="140" customWidth="1"/>
    <col min="1025" max="1036" width="9.125" style="140"/>
    <col min="1037" max="1037" width="10.625" style="140" customWidth="1"/>
    <col min="1038" max="1278" width="9.125" style="140"/>
    <col min="1279" max="1279" width="8" style="140" customWidth="1"/>
    <col min="1280" max="1280" width="28.5" style="140" customWidth="1"/>
    <col min="1281" max="1292" width="9.125" style="140"/>
    <col min="1293" max="1293" width="10.625" style="140" customWidth="1"/>
    <col min="1294" max="1534" width="9.125" style="140"/>
    <col min="1535" max="1535" width="8" style="140" customWidth="1"/>
    <col min="1536" max="1536" width="28.5" style="140" customWidth="1"/>
    <col min="1537" max="1548" width="9.125" style="140"/>
    <col min="1549" max="1549" width="10.625" style="140" customWidth="1"/>
    <col min="1550" max="1790" width="9.125" style="140"/>
    <col min="1791" max="1791" width="8" style="140" customWidth="1"/>
    <col min="1792" max="1792" width="28.5" style="140" customWidth="1"/>
    <col min="1793" max="1804" width="9.125" style="140"/>
    <col min="1805" max="1805" width="10.625" style="140" customWidth="1"/>
    <col min="1806" max="2046" width="9.125" style="140"/>
    <col min="2047" max="2047" width="8" style="140" customWidth="1"/>
    <col min="2048" max="2048" width="28.5" style="140" customWidth="1"/>
    <col min="2049" max="2060" width="9.125" style="140"/>
    <col min="2061" max="2061" width="10.625" style="140" customWidth="1"/>
    <col min="2062" max="2302" width="9.125" style="140"/>
    <col min="2303" max="2303" width="8" style="140" customWidth="1"/>
    <col min="2304" max="2304" width="28.5" style="140" customWidth="1"/>
    <col min="2305" max="2316" width="9.125" style="140"/>
    <col min="2317" max="2317" width="10.625" style="140" customWidth="1"/>
    <col min="2318" max="2558" width="9.125" style="140"/>
    <col min="2559" max="2559" width="8" style="140" customWidth="1"/>
    <col min="2560" max="2560" width="28.5" style="140" customWidth="1"/>
    <col min="2561" max="2572" width="9.125" style="140"/>
    <col min="2573" max="2573" width="10.625" style="140" customWidth="1"/>
    <col min="2574" max="2814" width="9.125" style="140"/>
    <col min="2815" max="2815" width="8" style="140" customWidth="1"/>
    <col min="2816" max="2816" width="28.5" style="140" customWidth="1"/>
    <col min="2817" max="2828" width="9.125" style="140"/>
    <col min="2829" max="2829" width="10.625" style="140" customWidth="1"/>
    <col min="2830" max="3070" width="9.125" style="140"/>
    <col min="3071" max="3071" width="8" style="140" customWidth="1"/>
    <col min="3072" max="3072" width="28.5" style="140" customWidth="1"/>
    <col min="3073" max="3084" width="9.125" style="140"/>
    <col min="3085" max="3085" width="10.625" style="140" customWidth="1"/>
    <col min="3086" max="3326" width="9.125" style="140"/>
    <col min="3327" max="3327" width="8" style="140" customWidth="1"/>
    <col min="3328" max="3328" width="28.5" style="140" customWidth="1"/>
    <col min="3329" max="3340" width="9.125" style="140"/>
    <col min="3341" max="3341" width="10.625" style="140" customWidth="1"/>
    <col min="3342" max="3582" width="9.125" style="140"/>
    <col min="3583" max="3583" width="8" style="140" customWidth="1"/>
    <col min="3584" max="3584" width="28.5" style="140" customWidth="1"/>
    <col min="3585" max="3596" width="9.125" style="140"/>
    <col min="3597" max="3597" width="10.625" style="140" customWidth="1"/>
    <col min="3598" max="3838" width="9.125" style="140"/>
    <col min="3839" max="3839" width="8" style="140" customWidth="1"/>
    <col min="3840" max="3840" width="28.5" style="140" customWidth="1"/>
    <col min="3841" max="3852" width="9.125" style="140"/>
    <col min="3853" max="3853" width="10.625" style="140" customWidth="1"/>
    <col min="3854" max="4094" width="9.125" style="140"/>
    <col min="4095" max="4095" width="8" style="140" customWidth="1"/>
    <col min="4096" max="4096" width="28.5" style="140" customWidth="1"/>
    <col min="4097" max="4108" width="9.125" style="140"/>
    <col min="4109" max="4109" width="10.625" style="140" customWidth="1"/>
    <col min="4110" max="4350" width="9.125" style="140"/>
    <col min="4351" max="4351" width="8" style="140" customWidth="1"/>
    <col min="4352" max="4352" width="28.5" style="140" customWidth="1"/>
    <col min="4353" max="4364" width="9.125" style="140"/>
    <col min="4365" max="4365" width="10.625" style="140" customWidth="1"/>
    <col min="4366" max="4606" width="9.125" style="140"/>
    <col min="4607" max="4607" width="8" style="140" customWidth="1"/>
    <col min="4608" max="4608" width="28.5" style="140" customWidth="1"/>
    <col min="4609" max="4620" width="9.125" style="140"/>
    <col min="4621" max="4621" width="10.625" style="140" customWidth="1"/>
    <col min="4622" max="4862" width="9.125" style="140"/>
    <col min="4863" max="4863" width="8" style="140" customWidth="1"/>
    <col min="4864" max="4864" width="28.5" style="140" customWidth="1"/>
    <col min="4865" max="4876" width="9.125" style="140"/>
    <col min="4877" max="4877" width="10.625" style="140" customWidth="1"/>
    <col min="4878" max="5118" width="9.125" style="140"/>
    <col min="5119" max="5119" width="8" style="140" customWidth="1"/>
    <col min="5120" max="5120" width="28.5" style="140" customWidth="1"/>
    <col min="5121" max="5132" width="9.125" style="140"/>
    <col min="5133" max="5133" width="10.625" style="140" customWidth="1"/>
    <col min="5134" max="5374" width="9.125" style="140"/>
    <col min="5375" max="5375" width="8" style="140" customWidth="1"/>
    <col min="5376" max="5376" width="28.5" style="140" customWidth="1"/>
    <col min="5377" max="5388" width="9.125" style="140"/>
    <col min="5389" max="5389" width="10.625" style="140" customWidth="1"/>
    <col min="5390" max="5630" width="9.125" style="140"/>
    <col min="5631" max="5631" width="8" style="140" customWidth="1"/>
    <col min="5632" max="5632" width="28.5" style="140" customWidth="1"/>
    <col min="5633" max="5644" width="9.125" style="140"/>
    <col min="5645" max="5645" width="10.625" style="140" customWidth="1"/>
    <col min="5646" max="5886" width="9.125" style="140"/>
    <col min="5887" max="5887" width="8" style="140" customWidth="1"/>
    <col min="5888" max="5888" width="28.5" style="140" customWidth="1"/>
    <col min="5889" max="5900" width="9.125" style="140"/>
    <col min="5901" max="5901" width="10.625" style="140" customWidth="1"/>
    <col min="5902" max="6142" width="9.125" style="140"/>
    <col min="6143" max="6143" width="8" style="140" customWidth="1"/>
    <col min="6144" max="6144" width="28.5" style="140" customWidth="1"/>
    <col min="6145" max="6156" width="9.125" style="140"/>
    <col min="6157" max="6157" width="10.625" style="140" customWidth="1"/>
    <col min="6158" max="6398" width="9.125" style="140"/>
    <col min="6399" max="6399" width="8" style="140" customWidth="1"/>
    <col min="6400" max="6400" width="28.5" style="140" customWidth="1"/>
    <col min="6401" max="6412" width="9.125" style="140"/>
    <col min="6413" max="6413" width="10.625" style="140" customWidth="1"/>
    <col min="6414" max="6654" width="9.125" style="140"/>
    <col min="6655" max="6655" width="8" style="140" customWidth="1"/>
    <col min="6656" max="6656" width="28.5" style="140" customWidth="1"/>
    <col min="6657" max="6668" width="9.125" style="140"/>
    <col min="6669" max="6669" width="10.625" style="140" customWidth="1"/>
    <col min="6670" max="6910" width="9.125" style="140"/>
    <col min="6911" max="6911" width="8" style="140" customWidth="1"/>
    <col min="6912" max="6912" width="28.5" style="140" customWidth="1"/>
    <col min="6913" max="6924" width="9.125" style="140"/>
    <col min="6925" max="6925" width="10.625" style="140" customWidth="1"/>
    <col min="6926" max="7166" width="9.125" style="140"/>
    <col min="7167" max="7167" width="8" style="140" customWidth="1"/>
    <col min="7168" max="7168" width="28.5" style="140" customWidth="1"/>
    <col min="7169" max="7180" width="9.125" style="140"/>
    <col min="7181" max="7181" width="10.625" style="140" customWidth="1"/>
    <col min="7182" max="7422" width="9.125" style="140"/>
    <col min="7423" max="7423" width="8" style="140" customWidth="1"/>
    <col min="7424" max="7424" width="28.5" style="140" customWidth="1"/>
    <col min="7425" max="7436" width="9.125" style="140"/>
    <col min="7437" max="7437" width="10.625" style="140" customWidth="1"/>
    <col min="7438" max="7678" width="9.125" style="140"/>
    <col min="7679" max="7679" width="8" style="140" customWidth="1"/>
    <col min="7680" max="7680" width="28.5" style="140" customWidth="1"/>
    <col min="7681" max="7692" width="9.125" style="140"/>
    <col min="7693" max="7693" width="10.625" style="140" customWidth="1"/>
    <col min="7694" max="7934" width="9.125" style="140"/>
    <col min="7935" max="7935" width="8" style="140" customWidth="1"/>
    <col min="7936" max="7936" width="28.5" style="140" customWidth="1"/>
    <col min="7937" max="7948" width="9.125" style="140"/>
    <col min="7949" max="7949" width="10.625" style="140" customWidth="1"/>
    <col min="7950" max="8190" width="9.125" style="140"/>
    <col min="8191" max="8191" width="8" style="140" customWidth="1"/>
    <col min="8192" max="8192" width="28.5" style="140" customWidth="1"/>
    <col min="8193" max="8204" width="9.125" style="140"/>
    <col min="8205" max="8205" width="10.625" style="140" customWidth="1"/>
    <col min="8206" max="8446" width="9.125" style="140"/>
    <col min="8447" max="8447" width="8" style="140" customWidth="1"/>
    <col min="8448" max="8448" width="28.5" style="140" customWidth="1"/>
    <col min="8449" max="8460" width="9.125" style="140"/>
    <col min="8461" max="8461" width="10.625" style="140" customWidth="1"/>
    <col min="8462" max="8702" width="9.125" style="140"/>
    <col min="8703" max="8703" width="8" style="140" customWidth="1"/>
    <col min="8704" max="8704" width="28.5" style="140" customWidth="1"/>
    <col min="8705" max="8716" width="9.125" style="140"/>
    <col min="8717" max="8717" width="10.625" style="140" customWidth="1"/>
    <col min="8718" max="8958" width="9.125" style="140"/>
    <col min="8959" max="8959" width="8" style="140" customWidth="1"/>
    <col min="8960" max="8960" width="28.5" style="140" customWidth="1"/>
    <col min="8961" max="8972" width="9.125" style="140"/>
    <col min="8973" max="8973" width="10.625" style="140" customWidth="1"/>
    <col min="8974" max="9214" width="9.125" style="140"/>
    <col min="9215" max="9215" width="8" style="140" customWidth="1"/>
    <col min="9216" max="9216" width="28.5" style="140" customWidth="1"/>
    <col min="9217" max="9228" width="9.125" style="140"/>
    <col min="9229" max="9229" width="10.625" style="140" customWidth="1"/>
    <col min="9230" max="9470" width="9.125" style="140"/>
    <col min="9471" max="9471" width="8" style="140" customWidth="1"/>
    <col min="9472" max="9472" width="28.5" style="140" customWidth="1"/>
    <col min="9473" max="9484" width="9.125" style="140"/>
    <col min="9485" max="9485" width="10.625" style="140" customWidth="1"/>
    <col min="9486" max="9726" width="9.125" style="140"/>
    <col min="9727" max="9727" width="8" style="140" customWidth="1"/>
    <col min="9728" max="9728" width="28.5" style="140" customWidth="1"/>
    <col min="9729" max="9740" width="9.125" style="140"/>
    <col min="9741" max="9741" width="10.625" style="140" customWidth="1"/>
    <col min="9742" max="9982" width="9.125" style="140"/>
    <col min="9983" max="9983" width="8" style="140" customWidth="1"/>
    <col min="9984" max="9984" width="28.5" style="140" customWidth="1"/>
    <col min="9985" max="9996" width="9.125" style="140"/>
    <col min="9997" max="9997" width="10.625" style="140" customWidth="1"/>
    <col min="9998" max="10238" width="9.125" style="140"/>
    <col min="10239" max="10239" width="8" style="140" customWidth="1"/>
    <col min="10240" max="10240" width="28.5" style="140" customWidth="1"/>
    <col min="10241" max="10252" width="9.125" style="140"/>
    <col min="10253" max="10253" width="10.625" style="140" customWidth="1"/>
    <col min="10254" max="10494" width="9.125" style="140"/>
    <col min="10495" max="10495" width="8" style="140" customWidth="1"/>
    <col min="10496" max="10496" width="28.5" style="140" customWidth="1"/>
    <col min="10497" max="10508" width="9.125" style="140"/>
    <col min="10509" max="10509" width="10.625" style="140" customWidth="1"/>
    <col min="10510" max="10750" width="9.125" style="140"/>
    <col min="10751" max="10751" width="8" style="140" customWidth="1"/>
    <col min="10752" max="10752" width="28.5" style="140" customWidth="1"/>
    <col min="10753" max="10764" width="9.125" style="140"/>
    <col min="10765" max="10765" width="10.625" style="140" customWidth="1"/>
    <col min="10766" max="11006" width="9.125" style="140"/>
    <col min="11007" max="11007" width="8" style="140" customWidth="1"/>
    <col min="11008" max="11008" width="28.5" style="140" customWidth="1"/>
    <col min="11009" max="11020" width="9.125" style="140"/>
    <col min="11021" max="11021" width="10.625" style="140" customWidth="1"/>
    <col min="11022" max="11262" width="9.125" style="140"/>
    <col min="11263" max="11263" width="8" style="140" customWidth="1"/>
    <col min="11264" max="11264" width="28.5" style="140" customWidth="1"/>
    <col min="11265" max="11276" width="9.125" style="140"/>
    <col min="11277" max="11277" width="10.625" style="140" customWidth="1"/>
    <col min="11278" max="11518" width="9.125" style="140"/>
    <col min="11519" max="11519" width="8" style="140" customWidth="1"/>
    <col min="11520" max="11520" width="28.5" style="140" customWidth="1"/>
    <col min="11521" max="11532" width="9.125" style="140"/>
    <col min="11533" max="11533" width="10.625" style="140" customWidth="1"/>
    <col min="11534" max="11774" width="9.125" style="140"/>
    <col min="11775" max="11775" width="8" style="140" customWidth="1"/>
    <col min="11776" max="11776" width="28.5" style="140" customWidth="1"/>
    <col min="11777" max="11788" width="9.125" style="140"/>
    <col min="11789" max="11789" width="10.625" style="140" customWidth="1"/>
    <col min="11790" max="12030" width="9.125" style="140"/>
    <col min="12031" max="12031" width="8" style="140" customWidth="1"/>
    <col min="12032" max="12032" width="28.5" style="140" customWidth="1"/>
    <col min="12033" max="12044" width="9.125" style="140"/>
    <col min="12045" max="12045" width="10.625" style="140" customWidth="1"/>
    <col min="12046" max="12286" width="9.125" style="140"/>
    <col min="12287" max="12287" width="8" style="140" customWidth="1"/>
    <col min="12288" max="12288" width="28.5" style="140" customWidth="1"/>
    <col min="12289" max="12300" width="9.125" style="140"/>
    <col min="12301" max="12301" width="10.625" style="140" customWidth="1"/>
    <col min="12302" max="12542" width="9.125" style="140"/>
    <col min="12543" max="12543" width="8" style="140" customWidth="1"/>
    <col min="12544" max="12544" width="28.5" style="140" customWidth="1"/>
    <col min="12545" max="12556" width="9.125" style="140"/>
    <col min="12557" max="12557" width="10.625" style="140" customWidth="1"/>
    <col min="12558" max="12798" width="9.125" style="140"/>
    <col min="12799" max="12799" width="8" style="140" customWidth="1"/>
    <col min="12800" max="12800" width="28.5" style="140" customWidth="1"/>
    <col min="12801" max="12812" width="9.125" style="140"/>
    <col min="12813" max="12813" width="10.625" style="140" customWidth="1"/>
    <col min="12814" max="13054" width="9.125" style="140"/>
    <col min="13055" max="13055" width="8" style="140" customWidth="1"/>
    <col min="13056" max="13056" width="28.5" style="140" customWidth="1"/>
    <col min="13057" max="13068" width="9.125" style="140"/>
    <col min="13069" max="13069" width="10.625" style="140" customWidth="1"/>
    <col min="13070" max="13310" width="9.125" style="140"/>
    <col min="13311" max="13311" width="8" style="140" customWidth="1"/>
    <col min="13312" max="13312" width="28.5" style="140" customWidth="1"/>
    <col min="13313" max="13324" width="9.125" style="140"/>
    <col min="13325" max="13325" width="10.625" style="140" customWidth="1"/>
    <col min="13326" max="13566" width="9.125" style="140"/>
    <col min="13567" max="13567" width="8" style="140" customWidth="1"/>
    <col min="13568" max="13568" width="28.5" style="140" customWidth="1"/>
    <col min="13569" max="13580" width="9.125" style="140"/>
    <col min="13581" max="13581" width="10.625" style="140" customWidth="1"/>
    <col min="13582" max="13822" width="9.125" style="140"/>
    <col min="13823" max="13823" width="8" style="140" customWidth="1"/>
    <col min="13824" max="13824" width="28.5" style="140" customWidth="1"/>
    <col min="13825" max="13836" width="9.125" style="140"/>
    <col min="13837" max="13837" width="10.625" style="140" customWidth="1"/>
    <col min="13838" max="14078" width="9.125" style="140"/>
    <col min="14079" max="14079" width="8" style="140" customWidth="1"/>
    <col min="14080" max="14080" width="28.5" style="140" customWidth="1"/>
    <col min="14081" max="14092" width="9.125" style="140"/>
    <col min="14093" max="14093" width="10.625" style="140" customWidth="1"/>
    <col min="14094" max="14334" width="9.125" style="140"/>
    <col min="14335" max="14335" width="8" style="140" customWidth="1"/>
    <col min="14336" max="14336" width="28.5" style="140" customWidth="1"/>
    <col min="14337" max="14348" width="9.125" style="140"/>
    <col min="14349" max="14349" width="10.625" style="140" customWidth="1"/>
    <col min="14350" max="14590" width="9.125" style="140"/>
    <col min="14591" max="14591" width="8" style="140" customWidth="1"/>
    <col min="14592" max="14592" width="28.5" style="140" customWidth="1"/>
    <col min="14593" max="14604" width="9.125" style="140"/>
    <col min="14605" max="14605" width="10.625" style="140" customWidth="1"/>
    <col min="14606" max="14846" width="9.125" style="140"/>
    <col min="14847" max="14847" width="8" style="140" customWidth="1"/>
    <col min="14848" max="14848" width="28.5" style="140" customWidth="1"/>
    <col min="14849" max="14860" width="9.125" style="140"/>
    <col min="14861" max="14861" width="10.625" style="140" customWidth="1"/>
    <col min="14862" max="15102" width="9.125" style="140"/>
    <col min="15103" max="15103" width="8" style="140" customWidth="1"/>
    <col min="15104" max="15104" width="28.5" style="140" customWidth="1"/>
    <col min="15105" max="15116" width="9.125" style="140"/>
    <col min="15117" max="15117" width="10.625" style="140" customWidth="1"/>
    <col min="15118" max="15358" width="9.125" style="140"/>
    <col min="15359" max="15359" width="8" style="140" customWidth="1"/>
    <col min="15360" max="15360" width="28.5" style="140" customWidth="1"/>
    <col min="15361" max="15372" width="9.125" style="140"/>
    <col min="15373" max="15373" width="10.625" style="140" customWidth="1"/>
    <col min="15374" max="15614" width="9.125" style="140"/>
    <col min="15615" max="15615" width="8" style="140" customWidth="1"/>
    <col min="15616" max="15616" width="28.5" style="140" customWidth="1"/>
    <col min="15617" max="15628" width="9.125" style="140"/>
    <col min="15629" max="15629" width="10.625" style="140" customWidth="1"/>
    <col min="15630" max="15870" width="9.125" style="140"/>
    <col min="15871" max="15871" width="8" style="140" customWidth="1"/>
    <col min="15872" max="15872" width="28.5" style="140" customWidth="1"/>
    <col min="15873" max="15884" width="9.125" style="140"/>
    <col min="15885" max="15885" width="10.625" style="140" customWidth="1"/>
    <col min="15886" max="16126" width="9.125" style="140"/>
    <col min="16127" max="16127" width="8" style="140" customWidth="1"/>
    <col min="16128" max="16128" width="28.5" style="140" customWidth="1"/>
    <col min="16129" max="16140" width="9.125" style="140"/>
    <col min="16141" max="16141" width="10.625" style="140" customWidth="1"/>
    <col min="16142" max="16384" width="9.125" style="140"/>
  </cols>
  <sheetData>
    <row r="1" spans="1:13" ht="18.75">
      <c r="A1" s="141" t="s">
        <v>120</v>
      </c>
      <c r="B1" s="142"/>
      <c r="C1" s="143"/>
      <c r="D1" s="143"/>
      <c r="E1" s="142"/>
      <c r="F1" s="143"/>
      <c r="G1" s="143"/>
      <c r="H1" s="142"/>
      <c r="I1" s="143"/>
      <c r="J1" s="143"/>
      <c r="K1" s="143"/>
      <c r="L1" s="143"/>
      <c r="M1" s="143"/>
    </row>
    <row r="2" spans="1:13" ht="12">
      <c r="A2" s="140" t="s">
        <v>121</v>
      </c>
      <c r="B2" s="144"/>
    </row>
    <row r="3" spans="1:13" ht="16.899999999999999" customHeight="1">
      <c r="A3" s="145" t="s">
        <v>19</v>
      </c>
      <c r="B3" s="145" t="s">
        <v>122</v>
      </c>
      <c r="C3" s="223" t="s">
        <v>123</v>
      </c>
      <c r="D3" s="223"/>
      <c r="E3" s="223"/>
      <c r="F3" s="147"/>
      <c r="G3" s="148"/>
      <c r="H3" s="149"/>
      <c r="I3" s="149"/>
      <c r="J3" s="149" t="s">
        <v>124</v>
      </c>
      <c r="K3" s="149"/>
      <c r="L3" s="149"/>
      <c r="M3" s="170"/>
    </row>
    <row r="4" spans="1:13" ht="16.149999999999999" customHeight="1">
      <c r="A4" s="150"/>
      <c r="B4" s="150" t="s">
        <v>125</v>
      </c>
      <c r="C4" s="146">
        <v>2017</v>
      </c>
      <c r="D4" s="146">
        <f t="shared" ref="D4:L4" si="0">C4+1</f>
        <v>2018</v>
      </c>
      <c r="E4" s="146">
        <f t="shared" si="0"/>
        <v>2019</v>
      </c>
      <c r="F4" s="146">
        <f t="shared" si="0"/>
        <v>2020</v>
      </c>
      <c r="G4" s="146">
        <f t="shared" si="0"/>
        <v>2021</v>
      </c>
      <c r="H4" s="151">
        <f t="shared" si="0"/>
        <v>2022</v>
      </c>
      <c r="I4" s="151">
        <f t="shared" si="0"/>
        <v>2023</v>
      </c>
      <c r="J4" s="151">
        <f t="shared" si="0"/>
        <v>2024</v>
      </c>
      <c r="K4" s="151">
        <f t="shared" si="0"/>
        <v>2025</v>
      </c>
      <c r="L4" s="151">
        <f t="shared" si="0"/>
        <v>2026</v>
      </c>
      <c r="M4" s="171" t="s">
        <v>126</v>
      </c>
    </row>
    <row r="5" spans="1:13" ht="15.6" customHeight="1">
      <c r="A5" s="152">
        <v>1</v>
      </c>
      <c r="B5" s="153" t="s">
        <v>127</v>
      </c>
      <c r="C5" s="154">
        <f>SUM(C6:C9)</f>
        <v>0</v>
      </c>
      <c r="D5" s="154">
        <f t="shared" ref="D5:L5" si="1">SUM(D6:D9)</f>
        <v>0</v>
      </c>
      <c r="E5" s="154" t="e">
        <f t="shared" si="1"/>
        <v>#REF!</v>
      </c>
      <c r="F5" s="154">
        <f t="shared" si="1"/>
        <v>1716000</v>
      </c>
      <c r="G5" s="154">
        <f t="shared" si="1"/>
        <v>1716000</v>
      </c>
      <c r="H5" s="154">
        <f t="shared" si="1"/>
        <v>1716000</v>
      </c>
      <c r="I5" s="154" t="e">
        <f t="shared" si="1"/>
        <v>#REF!</v>
      </c>
      <c r="J5" s="154" t="e">
        <f t="shared" si="1"/>
        <v>#REF!</v>
      </c>
      <c r="K5" s="154" t="e">
        <f t="shared" si="1"/>
        <v>#REF!</v>
      </c>
      <c r="L5" s="154">
        <f t="shared" si="1"/>
        <v>8580000</v>
      </c>
      <c r="M5" s="158" t="e">
        <f t="shared" ref="M5:M17" si="2">SUM(C5:L5)</f>
        <v>#REF!</v>
      </c>
    </row>
    <row r="6" spans="1:13" ht="15.6" customHeight="1">
      <c r="A6" s="152">
        <v>1.1000000000000001</v>
      </c>
      <c r="B6" s="155" t="s">
        <v>128</v>
      </c>
      <c r="C6" s="156"/>
      <c r="D6" s="156"/>
      <c r="E6" s="156" t="e">
        <f>损益表!#REF!</f>
        <v>#REF!</v>
      </c>
      <c r="F6" s="156">
        <f>损益表!C4</f>
        <v>1716000</v>
      </c>
      <c r="G6" s="156">
        <f>损益表!D4</f>
        <v>1716000</v>
      </c>
      <c r="H6" s="156">
        <f>损益表!E4</f>
        <v>1716000</v>
      </c>
      <c r="I6" s="156" t="e">
        <f>损益表!#REF!</f>
        <v>#REF!</v>
      </c>
      <c r="J6" s="156" t="e">
        <f>损益表!#REF!</f>
        <v>#REF!</v>
      </c>
      <c r="K6" s="156" t="e">
        <f>损益表!#REF!</f>
        <v>#REF!</v>
      </c>
      <c r="L6" s="156">
        <f>损益表!H4</f>
        <v>8580000</v>
      </c>
      <c r="M6" s="158" t="e">
        <f t="shared" si="2"/>
        <v>#REF!</v>
      </c>
    </row>
    <row r="7" spans="1:13" ht="15.6" customHeight="1">
      <c r="A7" s="152">
        <v>1.2</v>
      </c>
      <c r="B7" s="155" t="s">
        <v>129</v>
      </c>
      <c r="C7" s="156"/>
      <c r="D7" s="156"/>
      <c r="E7" s="156">
        <f>[1]折、摊!G18</f>
        <v>0</v>
      </c>
      <c r="F7" s="156">
        <f>[1]折、摊!H18</f>
        <v>0</v>
      </c>
      <c r="G7" s="156">
        <f>[1]折、摊!I18</f>
        <v>0</v>
      </c>
      <c r="H7" s="156">
        <f>[1]折、摊!J18</f>
        <v>0</v>
      </c>
      <c r="I7" s="156">
        <f>[1]折、摊!K18</f>
        <v>0</v>
      </c>
      <c r="J7" s="156">
        <f>[1]折、摊!L18</f>
        <v>0</v>
      </c>
      <c r="K7" s="156">
        <f>[1]折、摊!M18</f>
        <v>0</v>
      </c>
      <c r="L7" s="156">
        <f>[1]折、摊!N18</f>
        <v>0</v>
      </c>
      <c r="M7" s="158">
        <f t="shared" si="2"/>
        <v>0</v>
      </c>
    </row>
    <row r="8" spans="1:13" ht="15.6" customHeight="1">
      <c r="A8" s="152">
        <v>1.3</v>
      </c>
      <c r="B8" s="155" t="s">
        <v>130</v>
      </c>
      <c r="C8" s="156" t="s">
        <v>131</v>
      </c>
      <c r="D8" s="156" t="s">
        <v>131</v>
      </c>
      <c r="E8" s="156" t="s">
        <v>131</v>
      </c>
      <c r="F8" s="156" t="s">
        <v>131</v>
      </c>
      <c r="G8" s="156" t="s">
        <v>131</v>
      </c>
      <c r="H8" s="156" t="s">
        <v>131</v>
      </c>
      <c r="I8" s="156" t="s">
        <v>131</v>
      </c>
      <c r="J8" s="156" t="s">
        <v>131</v>
      </c>
      <c r="K8" s="156" t="s">
        <v>131</v>
      </c>
      <c r="L8" s="156"/>
      <c r="M8" s="158">
        <f t="shared" si="2"/>
        <v>0</v>
      </c>
    </row>
    <row r="9" spans="1:13" s="139" customFormat="1" ht="15.6" customHeight="1">
      <c r="A9" s="157">
        <v>1.4</v>
      </c>
      <c r="B9" s="158" t="s">
        <v>132</v>
      </c>
      <c r="C9" s="156" t="s">
        <v>131</v>
      </c>
      <c r="D9" s="156" t="s">
        <v>131</v>
      </c>
      <c r="E9" s="156" t="s">
        <v>131</v>
      </c>
      <c r="F9" s="156" t="s">
        <v>131</v>
      </c>
      <c r="G9" s="156" t="s">
        <v>131</v>
      </c>
      <c r="H9" s="156" t="s">
        <v>131</v>
      </c>
      <c r="I9" s="156" t="s">
        <v>131</v>
      </c>
      <c r="J9" s="156" t="s">
        <v>131</v>
      </c>
      <c r="K9" s="156" t="s">
        <v>131</v>
      </c>
      <c r="L9" s="156" t="s">
        <v>131</v>
      </c>
      <c r="M9" s="158">
        <f t="shared" si="2"/>
        <v>0</v>
      </c>
    </row>
    <row r="10" spans="1:13" ht="15.6" customHeight="1">
      <c r="A10" s="157">
        <v>2</v>
      </c>
      <c r="B10" s="153" t="s">
        <v>133</v>
      </c>
      <c r="C10" s="154">
        <f t="shared" ref="C10:L10" si="3">SUM(C11:C16)</f>
        <v>0</v>
      </c>
      <c r="D10" s="154">
        <f t="shared" si="3"/>
        <v>0</v>
      </c>
      <c r="E10" s="154">
        <f t="shared" si="3"/>
        <v>0</v>
      </c>
      <c r="F10" s="154">
        <f t="shared" si="3"/>
        <v>0</v>
      </c>
      <c r="G10" s="154">
        <f t="shared" si="3"/>
        <v>0</v>
      </c>
      <c r="H10" s="154">
        <f t="shared" si="3"/>
        <v>0</v>
      </c>
      <c r="I10" s="154">
        <f t="shared" si="3"/>
        <v>0</v>
      </c>
      <c r="J10" s="154">
        <f t="shared" si="3"/>
        <v>0</v>
      </c>
      <c r="K10" s="154">
        <f t="shared" si="3"/>
        <v>0</v>
      </c>
      <c r="L10" s="154">
        <f t="shared" si="3"/>
        <v>0</v>
      </c>
      <c r="M10" s="158">
        <f t="shared" si="2"/>
        <v>0</v>
      </c>
    </row>
    <row r="11" spans="1:13" ht="15" customHeight="1">
      <c r="A11" s="152">
        <v>2.1</v>
      </c>
      <c r="B11" s="152" t="s">
        <v>134</v>
      </c>
      <c r="C11" s="156">
        <f>([1]计划!C6-[1]计划!C7)</f>
        <v>0</v>
      </c>
      <c r="D11" s="156">
        <f>([1]计划!D6-[1]计划!D7)</f>
        <v>0</v>
      </c>
      <c r="E11" s="156">
        <f>([1]计划!E6-[1]计划!E7)</f>
        <v>0</v>
      </c>
      <c r="F11" s="156">
        <f>([1]计划!F6-[1]计划!F7)</f>
        <v>0</v>
      </c>
      <c r="G11" s="156">
        <f>([1]计划!G6-[1]计划!G7)</f>
        <v>0</v>
      </c>
      <c r="H11" s="156">
        <f>([1]计划!H6-[1]计划!H7)</f>
        <v>0</v>
      </c>
      <c r="I11" s="156">
        <f>([1]计划!I6-[1]计划!I7)</f>
        <v>0</v>
      </c>
      <c r="J11" s="156">
        <f>([1]计划!J6-[1]计划!J7)</f>
        <v>0</v>
      </c>
      <c r="K11" s="156">
        <f>([1]计划!K6-[1]计划!K7)</f>
        <v>0</v>
      </c>
      <c r="L11" s="156">
        <f>([1]计划!L6-[1]计划!L7)</f>
        <v>0</v>
      </c>
      <c r="M11" s="158">
        <f t="shared" si="2"/>
        <v>0</v>
      </c>
    </row>
    <row r="12" spans="1:13" s="139" customFormat="1" ht="15" customHeight="1">
      <c r="A12" s="152">
        <v>2.2000000000000002</v>
      </c>
      <c r="B12" s="158" t="s">
        <v>135</v>
      </c>
      <c r="C12" s="156">
        <f>[1]计划!C8</f>
        <v>0</v>
      </c>
      <c r="D12" s="156">
        <f>[1]计划!D8</f>
        <v>0</v>
      </c>
      <c r="E12" s="156">
        <f>[1]计划!E8</f>
        <v>0</v>
      </c>
      <c r="F12" s="156">
        <f>[1]计划!F8</f>
        <v>0</v>
      </c>
      <c r="G12" s="156">
        <f>[1]计划!G8</f>
        <v>0</v>
      </c>
      <c r="H12" s="156">
        <f>[1]计划!H8</f>
        <v>0</v>
      </c>
      <c r="I12" s="156">
        <f>[1]计划!I8</f>
        <v>0</v>
      </c>
      <c r="J12" s="156">
        <f>[1]计划!J8</f>
        <v>0</v>
      </c>
      <c r="K12" s="156">
        <f>[1]计划!K8</f>
        <v>0</v>
      </c>
      <c r="L12" s="156">
        <f>[1]计划!L8</f>
        <v>0</v>
      </c>
      <c r="M12" s="158">
        <f t="shared" si="2"/>
        <v>0</v>
      </c>
    </row>
    <row r="13" spans="1:13" ht="15" customHeight="1">
      <c r="A13" s="152">
        <v>2.2999999999999998</v>
      </c>
      <c r="B13" s="155" t="s">
        <v>136</v>
      </c>
      <c r="C13" s="156">
        <f>[1]总成本!C22</f>
        <v>0</v>
      </c>
      <c r="D13" s="156">
        <f>[1]总成本!D22</f>
        <v>0</v>
      </c>
      <c r="E13" s="156">
        <f>[1]总成本!E22</f>
        <v>0</v>
      </c>
      <c r="F13" s="156">
        <f>[1]总成本!F22</f>
        <v>0</v>
      </c>
      <c r="G13" s="156">
        <f>[1]总成本!G22</f>
        <v>0</v>
      </c>
      <c r="H13" s="156">
        <f>[1]总成本!H22</f>
        <v>0</v>
      </c>
      <c r="I13" s="156">
        <f>[1]总成本!I22</f>
        <v>0</v>
      </c>
      <c r="J13" s="156">
        <f>[1]总成本!J22</f>
        <v>0</v>
      </c>
      <c r="K13" s="156">
        <f>[1]总成本!K22</f>
        <v>0</v>
      </c>
      <c r="L13" s="156">
        <f>[1]总成本!L22</f>
        <v>0</v>
      </c>
      <c r="M13" s="158">
        <f t="shared" si="2"/>
        <v>0</v>
      </c>
    </row>
    <row r="14" spans="1:13" ht="15" customHeight="1">
      <c r="A14" s="152">
        <v>2.4</v>
      </c>
      <c r="B14" s="155" t="s">
        <v>137</v>
      </c>
      <c r="C14" s="156">
        <f>[1]价格!D15</f>
        <v>0</v>
      </c>
      <c r="D14" s="156">
        <f>[1]价格!E15</f>
        <v>0</v>
      </c>
      <c r="E14" s="156">
        <f>[1]价格!F15</f>
        <v>0</v>
      </c>
      <c r="F14" s="156">
        <f>[1]价格!G15</f>
        <v>0</v>
      </c>
      <c r="G14" s="156">
        <f>[1]价格!H15</f>
        <v>0</v>
      </c>
      <c r="H14" s="156">
        <f>[1]价格!I15</f>
        <v>0</v>
      </c>
      <c r="I14" s="156">
        <f>[1]价格!J15</f>
        <v>0</v>
      </c>
      <c r="J14" s="156">
        <f>[1]价格!K15</f>
        <v>0</v>
      </c>
      <c r="K14" s="156">
        <f>[1]价格!L15</f>
        <v>0</v>
      </c>
      <c r="L14" s="156">
        <f>[1]价格!M15</f>
        <v>0</v>
      </c>
      <c r="M14" s="158">
        <f t="shared" si="2"/>
        <v>0</v>
      </c>
    </row>
    <row r="15" spans="1:13" ht="15" customHeight="1">
      <c r="A15" s="152">
        <v>2.5</v>
      </c>
      <c r="B15" s="155" t="s">
        <v>64</v>
      </c>
      <c r="C15" s="156">
        <f>[1]利润!C13</f>
        <v>0</v>
      </c>
      <c r="D15" s="156">
        <f>[1]利润!D13</f>
        <v>0</v>
      </c>
      <c r="E15" s="156">
        <f>[1]利润!E13</f>
        <v>0</v>
      </c>
      <c r="F15" s="156">
        <f>[1]利润!F13</f>
        <v>0</v>
      </c>
      <c r="G15" s="156">
        <f>[1]利润!G13</f>
        <v>0</v>
      </c>
      <c r="H15" s="156">
        <f>[1]利润!H13</f>
        <v>0</v>
      </c>
      <c r="I15" s="156">
        <f>[1]利润!I13</f>
        <v>0</v>
      </c>
      <c r="J15" s="156">
        <f>[1]利润!J13</f>
        <v>0</v>
      </c>
      <c r="K15" s="156">
        <f>[1]利润!K13</f>
        <v>0</v>
      </c>
      <c r="L15" s="156">
        <f>[1]利润!L13</f>
        <v>0</v>
      </c>
      <c r="M15" s="158">
        <f t="shared" si="2"/>
        <v>0</v>
      </c>
    </row>
    <row r="16" spans="1:13" ht="15" customHeight="1">
      <c r="A16" s="152">
        <v>2.6</v>
      </c>
      <c r="B16" s="155" t="s">
        <v>138</v>
      </c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8">
        <f t="shared" si="2"/>
        <v>0</v>
      </c>
    </row>
    <row r="17" spans="1:18" ht="12">
      <c r="A17" s="152">
        <v>3</v>
      </c>
      <c r="B17" s="153" t="s">
        <v>139</v>
      </c>
      <c r="C17" s="154">
        <f t="shared" ref="C17:L17" si="4">C5-C10</f>
        <v>0</v>
      </c>
      <c r="D17" s="154">
        <f t="shared" si="4"/>
        <v>0</v>
      </c>
      <c r="E17" s="154" t="e">
        <f t="shared" si="4"/>
        <v>#REF!</v>
      </c>
      <c r="F17" s="154">
        <f t="shared" si="4"/>
        <v>1716000</v>
      </c>
      <c r="G17" s="154">
        <f t="shared" si="4"/>
        <v>1716000</v>
      </c>
      <c r="H17" s="154">
        <f t="shared" si="4"/>
        <v>1716000</v>
      </c>
      <c r="I17" s="154" t="e">
        <f t="shared" si="4"/>
        <v>#REF!</v>
      </c>
      <c r="J17" s="154" t="e">
        <f t="shared" si="4"/>
        <v>#REF!</v>
      </c>
      <c r="K17" s="154" t="e">
        <f t="shared" si="4"/>
        <v>#REF!</v>
      </c>
      <c r="L17" s="154">
        <f t="shared" si="4"/>
        <v>8580000</v>
      </c>
      <c r="M17" s="158" t="e">
        <f t="shared" si="2"/>
        <v>#REF!</v>
      </c>
    </row>
    <row r="18" spans="1:18" ht="12">
      <c r="A18" s="159">
        <v>4</v>
      </c>
      <c r="B18" s="155" t="s">
        <v>140</v>
      </c>
      <c r="C18" s="156">
        <f>C17</f>
        <v>0</v>
      </c>
      <c r="D18" s="156">
        <f t="shared" ref="D18:L18" si="5">C18+D17</f>
        <v>0</v>
      </c>
      <c r="E18" s="156" t="e">
        <f t="shared" si="5"/>
        <v>#REF!</v>
      </c>
      <c r="F18" s="156" t="e">
        <f t="shared" si="5"/>
        <v>#REF!</v>
      </c>
      <c r="G18" s="156" t="e">
        <f t="shared" si="5"/>
        <v>#REF!</v>
      </c>
      <c r="H18" s="156" t="e">
        <f t="shared" si="5"/>
        <v>#REF!</v>
      </c>
      <c r="I18" s="156" t="e">
        <f t="shared" si="5"/>
        <v>#REF!</v>
      </c>
      <c r="J18" s="156" t="e">
        <f t="shared" si="5"/>
        <v>#REF!</v>
      </c>
      <c r="K18" s="156" t="e">
        <f t="shared" si="5"/>
        <v>#REF!</v>
      </c>
      <c r="L18" s="156" t="e">
        <f t="shared" si="5"/>
        <v>#REF!</v>
      </c>
      <c r="M18" s="155" t="s">
        <v>131</v>
      </c>
    </row>
    <row r="19" spans="1:18" s="139" customFormat="1" ht="12">
      <c r="A19" s="159">
        <v>5</v>
      </c>
      <c r="B19" s="155" t="s">
        <v>141</v>
      </c>
      <c r="C19" s="156">
        <f t="shared" ref="C19:L19" si="6">C17+C15</f>
        <v>0</v>
      </c>
      <c r="D19" s="156">
        <f t="shared" si="6"/>
        <v>0</v>
      </c>
      <c r="E19" s="156" t="e">
        <f t="shared" si="6"/>
        <v>#REF!</v>
      </c>
      <c r="F19" s="156">
        <f t="shared" si="6"/>
        <v>1716000</v>
      </c>
      <c r="G19" s="156">
        <f t="shared" si="6"/>
        <v>1716000</v>
      </c>
      <c r="H19" s="156">
        <f t="shared" si="6"/>
        <v>1716000</v>
      </c>
      <c r="I19" s="156" t="e">
        <f t="shared" si="6"/>
        <v>#REF!</v>
      </c>
      <c r="J19" s="156" t="e">
        <f t="shared" si="6"/>
        <v>#REF!</v>
      </c>
      <c r="K19" s="156" t="e">
        <f t="shared" si="6"/>
        <v>#REF!</v>
      </c>
      <c r="L19" s="156">
        <f t="shared" si="6"/>
        <v>8580000</v>
      </c>
      <c r="M19" s="158" t="e">
        <f>SUM(C19:L19)</f>
        <v>#REF!</v>
      </c>
    </row>
    <row r="20" spans="1:18" s="139" customFormat="1" ht="12">
      <c r="A20" s="152">
        <v>6</v>
      </c>
      <c r="B20" s="155" t="s">
        <v>142</v>
      </c>
      <c r="C20" s="156">
        <f>C19</f>
        <v>0</v>
      </c>
      <c r="D20" s="156">
        <f t="shared" ref="D20:L20" si="7">C20+D19</f>
        <v>0</v>
      </c>
      <c r="E20" s="156" t="e">
        <f t="shared" si="7"/>
        <v>#REF!</v>
      </c>
      <c r="F20" s="156" t="e">
        <f t="shared" si="7"/>
        <v>#REF!</v>
      </c>
      <c r="G20" s="156" t="e">
        <f t="shared" si="7"/>
        <v>#REF!</v>
      </c>
      <c r="H20" s="156" t="e">
        <f t="shared" si="7"/>
        <v>#REF!</v>
      </c>
      <c r="I20" s="156" t="e">
        <f t="shared" si="7"/>
        <v>#REF!</v>
      </c>
      <c r="J20" s="156" t="e">
        <f t="shared" si="7"/>
        <v>#REF!</v>
      </c>
      <c r="K20" s="156" t="e">
        <f t="shared" si="7"/>
        <v>#REF!</v>
      </c>
      <c r="L20" s="156" t="e">
        <f t="shared" si="7"/>
        <v>#REF!</v>
      </c>
      <c r="M20" s="155" t="s">
        <v>131</v>
      </c>
    </row>
    <row r="21" spans="1:18" ht="12">
      <c r="A21" s="160"/>
      <c r="B21" s="161" t="s">
        <v>143</v>
      </c>
      <c r="C21" s="161"/>
      <c r="D21" s="161"/>
      <c r="E21" s="161" t="s">
        <v>144</v>
      </c>
      <c r="F21" s="161"/>
      <c r="G21" s="161"/>
      <c r="H21" s="161"/>
      <c r="I21" s="161" t="s">
        <v>145</v>
      </c>
      <c r="J21" s="161"/>
      <c r="K21" s="161"/>
      <c r="L21" s="161"/>
      <c r="M21" s="172"/>
    </row>
    <row r="22" spans="1:18" ht="12">
      <c r="A22" s="162"/>
      <c r="B22" s="163" t="s">
        <v>146</v>
      </c>
      <c r="C22" s="163"/>
      <c r="D22" s="164" t="s">
        <v>147</v>
      </c>
      <c r="E22" s="165" t="e">
        <f>IRR(C17:L17,0.15)</f>
        <v>#VALUE!</v>
      </c>
      <c r="F22" s="163"/>
      <c r="G22" s="163"/>
      <c r="H22" s="163"/>
      <c r="I22" s="165" t="e">
        <f>IRR(C19:L19,0.15)</f>
        <v>#VALUE!</v>
      </c>
      <c r="J22" s="163"/>
      <c r="K22" s="163"/>
      <c r="L22" s="163"/>
      <c r="M22" s="173"/>
    </row>
    <row r="23" spans="1:18" ht="12">
      <c r="A23" s="162"/>
      <c r="B23" s="163" t="s">
        <v>148</v>
      </c>
      <c r="C23" s="163"/>
      <c r="D23" s="163"/>
      <c r="E23" s="166" t="e">
        <f>NPV(0.12,C17:L17)</f>
        <v>#REF!</v>
      </c>
      <c r="F23" s="163"/>
      <c r="G23" s="163"/>
      <c r="H23" s="163"/>
      <c r="I23" s="166" t="e">
        <f>NPV(0.12,C19:L19)</f>
        <v>#REF!</v>
      </c>
      <c r="J23" s="163"/>
      <c r="K23" s="163"/>
      <c r="L23" s="163"/>
      <c r="M23" s="173"/>
      <c r="R23" s="140">
        <f>30.9-29.82</f>
        <v>1.0799999999999983</v>
      </c>
    </row>
    <row r="24" spans="1:18" ht="12">
      <c r="A24" s="167"/>
      <c r="B24" s="168" t="s">
        <v>149</v>
      </c>
      <c r="C24" s="168"/>
      <c r="D24" s="168"/>
      <c r="E24" s="169" t="e">
        <f>6-H18/I17</f>
        <v>#REF!</v>
      </c>
      <c r="F24" s="168"/>
      <c r="G24" s="168"/>
      <c r="H24" s="168"/>
      <c r="I24" s="169" t="e">
        <f>6-H20/I19</f>
        <v>#REF!</v>
      </c>
      <c r="J24" s="168"/>
      <c r="K24" s="168"/>
      <c r="L24" s="168"/>
      <c r="M24" s="174"/>
    </row>
  </sheetData>
  <mergeCells count="1">
    <mergeCell ref="C3:E3"/>
  </mergeCells>
  <phoneticPr fontId="4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D16" sqref="D16"/>
    </sheetView>
  </sheetViews>
  <sheetFormatPr defaultColWidth="9" defaultRowHeight="16.5"/>
  <cols>
    <col min="1" max="1" width="5.125" style="113" customWidth="1"/>
    <col min="2" max="2" width="17.5" style="113" customWidth="1"/>
    <col min="3" max="8" width="13.25" style="114" customWidth="1"/>
    <col min="9" max="9" width="18.75" style="114" customWidth="1"/>
    <col min="10" max="10" width="12.375" style="113" customWidth="1"/>
    <col min="11" max="11" width="10.125" style="113" customWidth="1"/>
    <col min="12" max="18" width="9" style="113" customWidth="1"/>
    <col min="19" max="35" width="9" style="113"/>
    <col min="36" max="36" width="4.375" style="113" customWidth="1"/>
    <col min="37" max="37" width="13.875" style="113" customWidth="1"/>
    <col min="38" max="16384" width="9" style="113"/>
  </cols>
  <sheetData>
    <row r="1" spans="1:38">
      <c r="A1" s="224" t="s">
        <v>150</v>
      </c>
      <c r="B1" s="224"/>
      <c r="C1" s="228" t="s">
        <v>151</v>
      </c>
      <c r="D1" s="229"/>
      <c r="E1" s="229"/>
      <c r="F1" s="229"/>
      <c r="G1" s="229"/>
      <c r="H1" s="229"/>
      <c r="I1" s="230"/>
    </row>
    <row r="2" spans="1:38">
      <c r="A2" s="224" t="s">
        <v>152</v>
      </c>
      <c r="B2" s="224"/>
      <c r="C2" s="231" t="s">
        <v>276</v>
      </c>
      <c r="D2" s="231"/>
      <c r="E2" s="231"/>
      <c r="F2" s="231"/>
      <c r="G2" s="231"/>
      <c r="H2" s="231"/>
      <c r="I2" s="231"/>
    </row>
    <row r="3" spans="1:38">
      <c r="A3" s="224" t="s">
        <v>153</v>
      </c>
      <c r="B3" s="224"/>
      <c r="C3" s="34" t="str">
        <f>销量!C5</f>
        <v>左后门上饰条总成</v>
      </c>
      <c r="D3" s="34" t="str">
        <f>销量!D5</f>
        <v>右后门上饰条总成</v>
      </c>
      <c r="E3" s="34" t="str">
        <f>销量!E5</f>
        <v>左前门上饰条总成</v>
      </c>
      <c r="F3" s="34" t="str">
        <f>销量!F5</f>
        <v>右前门上饰条总成</v>
      </c>
      <c r="G3" s="34">
        <f>销量!G5</f>
        <v>0</v>
      </c>
      <c r="H3" s="34">
        <f>销量!H5</f>
        <v>0</v>
      </c>
      <c r="I3" s="225" t="s">
        <v>25</v>
      </c>
    </row>
    <row r="4" spans="1:38">
      <c r="A4" s="224" t="s">
        <v>154</v>
      </c>
      <c r="B4" s="224"/>
      <c r="C4" s="34" t="str">
        <f>销量!C6</f>
        <v>B00041333</v>
      </c>
      <c r="D4" s="34" t="str">
        <f>销量!D6</f>
        <v>B00041343</v>
      </c>
      <c r="E4" s="34" t="str">
        <f>销量!E6</f>
        <v>B00041331</v>
      </c>
      <c r="F4" s="34" t="str">
        <f>销量!F6</f>
        <v>B00041332</v>
      </c>
      <c r="G4" s="34">
        <f>销量!G6</f>
        <v>0</v>
      </c>
      <c r="H4" s="34">
        <f>销量!H6</f>
        <v>0</v>
      </c>
      <c r="I4" s="226"/>
    </row>
    <row r="5" spans="1:38">
      <c r="A5" s="224" t="s">
        <v>155</v>
      </c>
      <c r="B5" s="224"/>
      <c r="C5" s="116"/>
      <c r="D5" s="116"/>
      <c r="E5" s="116"/>
      <c r="F5" s="116"/>
      <c r="G5" s="116"/>
      <c r="H5" s="116"/>
      <c r="I5" s="227"/>
      <c r="AL5" s="113" t="s">
        <v>26</v>
      </c>
    </row>
    <row r="6" spans="1:38" ht="17.25">
      <c r="A6" s="117" t="s">
        <v>19</v>
      </c>
      <c r="B6" s="118" t="s">
        <v>156</v>
      </c>
      <c r="C6" s="56">
        <f>销量!C9</f>
        <v>10000</v>
      </c>
      <c r="D6" s="56">
        <f>销量!D9</f>
        <v>10000</v>
      </c>
      <c r="E6" s="56">
        <f>销量!E9</f>
        <v>10000</v>
      </c>
      <c r="F6" s="56">
        <f>销量!F9</f>
        <v>10000</v>
      </c>
      <c r="G6" s="56">
        <f>销量!G9</f>
        <v>0</v>
      </c>
      <c r="H6" s="56">
        <f>销量!H9</f>
        <v>0</v>
      </c>
      <c r="I6" s="119">
        <f>SUM(C6:H6)</f>
        <v>40000</v>
      </c>
      <c r="T6" s="118" t="s">
        <v>3</v>
      </c>
      <c r="AJ6" s="117" t="s">
        <v>19</v>
      </c>
      <c r="AK6" s="118" t="s">
        <v>3</v>
      </c>
      <c r="AL6" s="113" t="s">
        <v>27</v>
      </c>
    </row>
    <row r="7" spans="1:38">
      <c r="A7" s="115">
        <v>1</v>
      </c>
      <c r="B7" s="118" t="s">
        <v>28</v>
      </c>
      <c r="C7" s="119">
        <f>C6*销量!C8</f>
        <v>383100</v>
      </c>
      <c r="D7" s="119">
        <f>D6*销量!D8</f>
        <v>383100</v>
      </c>
      <c r="E7" s="119">
        <f>E6*销量!E8</f>
        <v>474900</v>
      </c>
      <c r="F7" s="119">
        <f>F6*销量!F8</f>
        <v>474900</v>
      </c>
      <c r="G7" s="119">
        <f>G6*销量!G8</f>
        <v>0</v>
      </c>
      <c r="H7" s="119">
        <f>H6*销量!H8</f>
        <v>0</v>
      </c>
      <c r="I7" s="119">
        <f>SUM(C7:H7)</f>
        <v>1716000</v>
      </c>
      <c r="J7" s="114"/>
      <c r="T7" s="118" t="s">
        <v>28</v>
      </c>
      <c r="AJ7" s="117" t="s">
        <v>29</v>
      </c>
      <c r="AK7" s="118" t="s">
        <v>28</v>
      </c>
      <c r="AL7" s="113" t="s">
        <v>27</v>
      </c>
    </row>
    <row r="8" spans="1:38">
      <c r="A8" s="115">
        <v>2</v>
      </c>
      <c r="B8" s="115" t="s">
        <v>30</v>
      </c>
      <c r="C8" s="119">
        <f>C7*(1-销量!$L$7)</f>
        <v>0</v>
      </c>
      <c r="D8" s="119">
        <f>D7*(1-销量!$L$7)</f>
        <v>0</v>
      </c>
      <c r="E8" s="119">
        <f>E7*(1-销量!$L$7)</f>
        <v>0</v>
      </c>
      <c r="F8" s="119">
        <f>F7*(1-销量!$L$7)</f>
        <v>0</v>
      </c>
      <c r="G8" s="119"/>
      <c r="H8" s="119"/>
      <c r="I8" s="119">
        <f>SUM(C8:H8)</f>
        <v>0</v>
      </c>
      <c r="J8" s="131"/>
      <c r="T8" s="115" t="s">
        <v>32</v>
      </c>
      <c r="AJ8" s="117" t="s">
        <v>31</v>
      </c>
      <c r="AK8" s="115" t="s">
        <v>32</v>
      </c>
      <c r="AL8" s="113" t="s">
        <v>27</v>
      </c>
    </row>
    <row r="9" spans="1:38">
      <c r="A9" s="115">
        <v>3</v>
      </c>
      <c r="B9" s="118" t="s">
        <v>33</v>
      </c>
      <c r="C9" s="119">
        <f>+C7-C8</f>
        <v>383100</v>
      </c>
      <c r="D9" s="119">
        <f t="shared" ref="D9:H9" si="0">+D7-D8</f>
        <v>383100</v>
      </c>
      <c r="E9" s="119">
        <f t="shared" si="0"/>
        <v>474900</v>
      </c>
      <c r="F9" s="119">
        <f t="shared" si="0"/>
        <v>474900</v>
      </c>
      <c r="G9" s="119">
        <f t="shared" si="0"/>
        <v>0</v>
      </c>
      <c r="H9" s="119">
        <f t="shared" si="0"/>
        <v>0</v>
      </c>
      <c r="I9" s="119">
        <f>SUM(C9:H9)</f>
        <v>1716000</v>
      </c>
      <c r="T9" s="118" t="s">
        <v>33</v>
      </c>
      <c r="AJ9" s="117" t="s">
        <v>34</v>
      </c>
      <c r="AK9" s="118" t="s">
        <v>33</v>
      </c>
      <c r="AL9" s="113" t="s">
        <v>35</v>
      </c>
    </row>
    <row r="10" spans="1:38">
      <c r="A10" s="115">
        <v>4</v>
      </c>
      <c r="B10" s="117" t="s">
        <v>36</v>
      </c>
      <c r="C10" s="119">
        <f>C6*材料成本!E18</f>
        <v>382299.99999999994</v>
      </c>
      <c r="D10" s="119">
        <f>D6*材料成本!E19</f>
        <v>382299.99999999994</v>
      </c>
      <c r="E10" s="119">
        <f>E6*材料成本!E20</f>
        <v>443300</v>
      </c>
      <c r="F10" s="119">
        <f>F6*材料成本!E21</f>
        <v>443300</v>
      </c>
      <c r="G10" s="119">
        <f>G6*材料成本!E22</f>
        <v>0</v>
      </c>
      <c r="H10" s="119"/>
      <c r="I10" s="119">
        <f>SUM(C10:H10)</f>
        <v>1651200</v>
      </c>
      <c r="T10" s="117" t="s">
        <v>36</v>
      </c>
      <c r="AJ10" s="117" t="s">
        <v>37</v>
      </c>
      <c r="AK10" s="117" t="s">
        <v>36</v>
      </c>
      <c r="AL10" s="113" t="s">
        <v>38</v>
      </c>
    </row>
    <row r="11" spans="1:38">
      <c r="A11" s="115">
        <v>5</v>
      </c>
      <c r="B11" s="117" t="s">
        <v>39</v>
      </c>
      <c r="C11" s="119">
        <f>+C6*C36</f>
        <v>0</v>
      </c>
      <c r="D11" s="119">
        <f t="shared" ref="D11:H11" si="1">+D6*D36</f>
        <v>0</v>
      </c>
      <c r="E11" s="119">
        <f t="shared" si="1"/>
        <v>0</v>
      </c>
      <c r="F11" s="119">
        <f t="shared" si="1"/>
        <v>0</v>
      </c>
      <c r="G11" s="119">
        <f t="shared" si="1"/>
        <v>0</v>
      </c>
      <c r="H11" s="119">
        <f t="shared" si="1"/>
        <v>0</v>
      </c>
      <c r="I11" s="119">
        <f t="shared" ref="I11:I15" si="2">SUM(C11:H11)</f>
        <v>0</v>
      </c>
      <c r="T11" s="117" t="s">
        <v>39</v>
      </c>
      <c r="AJ11" s="117" t="s">
        <v>40</v>
      </c>
      <c r="AK11" s="117" t="s">
        <v>39</v>
      </c>
    </row>
    <row r="12" spans="1:38">
      <c r="A12" s="115">
        <v>6</v>
      </c>
      <c r="B12" s="117" t="s">
        <v>41</v>
      </c>
      <c r="C12" s="119">
        <f>+C6*C37</f>
        <v>0</v>
      </c>
      <c r="D12" s="119">
        <f t="shared" ref="D12:H12" si="3">+D6*D37</f>
        <v>0</v>
      </c>
      <c r="E12" s="119">
        <f t="shared" si="3"/>
        <v>0</v>
      </c>
      <c r="F12" s="119">
        <f t="shared" si="3"/>
        <v>0</v>
      </c>
      <c r="G12" s="119">
        <f t="shared" si="3"/>
        <v>0</v>
      </c>
      <c r="H12" s="119">
        <f t="shared" si="3"/>
        <v>0</v>
      </c>
      <c r="I12" s="119">
        <f t="shared" si="2"/>
        <v>0</v>
      </c>
      <c r="T12" s="117" t="s">
        <v>41</v>
      </c>
      <c r="AJ12" s="117" t="s">
        <v>42</v>
      </c>
      <c r="AK12" s="117" t="s">
        <v>41</v>
      </c>
    </row>
    <row r="13" spans="1:38">
      <c r="A13" s="115">
        <v>7</v>
      </c>
      <c r="B13" s="117" t="s">
        <v>43</v>
      </c>
      <c r="C13" s="119">
        <f>+C6*C38</f>
        <v>22265.772000000001</v>
      </c>
      <c r="D13" s="119">
        <f t="shared" ref="D13:H13" si="4">+D6*D38</f>
        <v>22265.772000000001</v>
      </c>
      <c r="E13" s="119">
        <f t="shared" si="4"/>
        <v>27601.187999999998</v>
      </c>
      <c r="F13" s="119">
        <f t="shared" si="4"/>
        <v>27601.187999999998</v>
      </c>
      <c r="G13" s="119">
        <f t="shared" si="4"/>
        <v>0</v>
      </c>
      <c r="H13" s="119">
        <f t="shared" si="4"/>
        <v>0</v>
      </c>
      <c r="I13" s="119">
        <f t="shared" si="2"/>
        <v>99733.92</v>
      </c>
      <c r="T13" s="117" t="s">
        <v>43</v>
      </c>
      <c r="AJ13" s="117" t="s">
        <v>44</v>
      </c>
      <c r="AK13" s="117" t="s">
        <v>43</v>
      </c>
      <c r="AL13" s="113" t="s">
        <v>27</v>
      </c>
    </row>
    <row r="14" spans="1:38">
      <c r="A14" s="115">
        <v>8</v>
      </c>
      <c r="B14" s="120" t="s">
        <v>45</v>
      </c>
      <c r="C14" s="119">
        <f>SUM(C11:C13)</f>
        <v>22265.772000000001</v>
      </c>
      <c r="D14" s="119">
        <f t="shared" ref="D14:H14" si="5">SUM(D11:D13)</f>
        <v>22265.772000000001</v>
      </c>
      <c r="E14" s="119">
        <f t="shared" si="5"/>
        <v>27601.187999999998</v>
      </c>
      <c r="F14" s="119">
        <f t="shared" si="5"/>
        <v>27601.187999999998</v>
      </c>
      <c r="G14" s="119">
        <f t="shared" si="5"/>
        <v>0</v>
      </c>
      <c r="H14" s="119">
        <f t="shared" si="5"/>
        <v>0</v>
      </c>
      <c r="I14" s="119">
        <f t="shared" si="2"/>
        <v>99733.92</v>
      </c>
      <c r="T14" s="120" t="s">
        <v>45</v>
      </c>
      <c r="AJ14" s="117" t="s">
        <v>46</v>
      </c>
      <c r="AK14" s="120" t="s">
        <v>45</v>
      </c>
    </row>
    <row r="15" spans="1:38">
      <c r="A15" s="115">
        <v>9</v>
      </c>
      <c r="B15" s="120" t="s">
        <v>47</v>
      </c>
      <c r="C15" s="119">
        <f>+C9-C10-C14</f>
        <v>-21465.771999999943</v>
      </c>
      <c r="D15" s="119">
        <f t="shared" ref="D15:H15" si="6">+D9-D10-D14</f>
        <v>-21465.771999999943</v>
      </c>
      <c r="E15" s="119">
        <f t="shared" si="6"/>
        <v>3998.8120000000017</v>
      </c>
      <c r="F15" s="119">
        <f t="shared" si="6"/>
        <v>3998.8120000000017</v>
      </c>
      <c r="G15" s="119">
        <f t="shared" si="6"/>
        <v>0</v>
      </c>
      <c r="H15" s="119">
        <f t="shared" si="6"/>
        <v>0</v>
      </c>
      <c r="I15" s="119">
        <f t="shared" si="2"/>
        <v>-34933.919999999882</v>
      </c>
      <c r="T15" s="120" t="s">
        <v>47</v>
      </c>
      <c r="AJ15" s="117" t="s">
        <v>48</v>
      </c>
      <c r="AK15" s="120" t="s">
        <v>47</v>
      </c>
    </row>
    <row r="16" spans="1:38">
      <c r="A16" s="115">
        <v>10</v>
      </c>
      <c r="B16" s="117" t="s">
        <v>49</v>
      </c>
      <c r="C16" s="121">
        <f>+C15/C9</f>
        <v>-5.6031772383189619E-2</v>
      </c>
      <c r="D16" s="121">
        <f t="shared" ref="D16:H16" si="7">+D15/D9</f>
        <v>-5.6031772383189619E-2</v>
      </c>
      <c r="E16" s="121">
        <f t="shared" si="7"/>
        <v>8.4203242787955403E-3</v>
      </c>
      <c r="F16" s="121">
        <f t="shared" si="7"/>
        <v>8.4203242787955403E-3</v>
      </c>
      <c r="G16" s="121" t="e">
        <f t="shared" si="7"/>
        <v>#DIV/0!</v>
      </c>
      <c r="H16" s="121" t="e">
        <f t="shared" si="7"/>
        <v>#DIV/0!</v>
      </c>
      <c r="I16" s="121">
        <f t="shared" ref="I16" si="8">+I15/I9</f>
        <v>-2.0357762237762169E-2</v>
      </c>
      <c r="T16" s="117" t="s">
        <v>49</v>
      </c>
      <c r="AJ16" s="117" t="s">
        <v>50</v>
      </c>
      <c r="AK16" s="117" t="s">
        <v>49</v>
      </c>
    </row>
    <row r="17" spans="1:38">
      <c r="A17" s="115">
        <v>11</v>
      </c>
      <c r="B17" s="117" t="s">
        <v>51</v>
      </c>
      <c r="C17" s="119">
        <f>C6*C43+C18</f>
        <v>20995</v>
      </c>
      <c r="D17" s="119">
        <f t="shared" ref="D17:H17" si="9">D6*D43+D18</f>
        <v>20995</v>
      </c>
      <c r="E17" s="119">
        <f t="shared" si="9"/>
        <v>20995</v>
      </c>
      <c r="F17" s="119">
        <f t="shared" si="9"/>
        <v>20995</v>
      </c>
      <c r="G17" s="119">
        <f t="shared" si="9"/>
        <v>0</v>
      </c>
      <c r="H17" s="119">
        <f t="shared" si="9"/>
        <v>0</v>
      </c>
      <c r="I17" s="119">
        <f>SUM(C17:H17)</f>
        <v>83980</v>
      </c>
      <c r="J17" s="135"/>
      <c r="K17" s="136"/>
      <c r="L17" s="136"/>
      <c r="T17" s="117" t="s">
        <v>51</v>
      </c>
      <c r="AJ17" s="117" t="s">
        <v>52</v>
      </c>
      <c r="AK17" s="117" t="s">
        <v>51</v>
      </c>
    </row>
    <row r="18" spans="1:38" s="111" customFormat="1">
      <c r="A18" s="115">
        <v>12</v>
      </c>
      <c r="B18" s="122" t="s">
        <v>157</v>
      </c>
      <c r="C18" s="123">
        <f>$I$18/$I$6*C6</f>
        <v>20995</v>
      </c>
      <c r="D18" s="123">
        <f t="shared" ref="D18:H18" si="10">$I$18/$I$6*D6</f>
        <v>20995</v>
      </c>
      <c r="E18" s="123">
        <f t="shared" si="10"/>
        <v>20995</v>
      </c>
      <c r="F18" s="123">
        <f t="shared" si="10"/>
        <v>20995</v>
      </c>
      <c r="G18" s="123">
        <f t="shared" si="10"/>
        <v>0</v>
      </c>
      <c r="H18" s="123">
        <f t="shared" si="10"/>
        <v>0</v>
      </c>
      <c r="I18" s="123">
        <f>项目投资!D26</f>
        <v>83980</v>
      </c>
      <c r="J18" s="137" t="s">
        <v>158</v>
      </c>
      <c r="K18" s="137"/>
      <c r="L18" s="137"/>
    </row>
    <row r="19" spans="1:38">
      <c r="A19" s="115">
        <v>13</v>
      </c>
      <c r="B19" s="117" t="s">
        <v>53</v>
      </c>
      <c r="C19" s="119">
        <f>C6*C44</f>
        <v>8232.8189999999995</v>
      </c>
      <c r="D19" s="119">
        <f t="shared" ref="D19:H19" si="11">D6*D44</f>
        <v>8232.8189999999995</v>
      </c>
      <c r="E19" s="119">
        <f t="shared" si="11"/>
        <v>10205.601000000001</v>
      </c>
      <c r="F19" s="119">
        <f t="shared" si="11"/>
        <v>10205.601000000001</v>
      </c>
      <c r="G19" s="119">
        <f t="shared" si="11"/>
        <v>0</v>
      </c>
      <c r="H19" s="119">
        <f t="shared" si="11"/>
        <v>0</v>
      </c>
      <c r="I19" s="119">
        <f>SUM(C19:H19)</f>
        <v>36876.840000000004</v>
      </c>
      <c r="J19" s="138"/>
      <c r="K19" s="136"/>
      <c r="L19" s="136"/>
      <c r="T19" s="117" t="s">
        <v>53</v>
      </c>
      <c r="AJ19" s="117" t="s">
        <v>54</v>
      </c>
      <c r="AK19" s="117" t="s">
        <v>53</v>
      </c>
      <c r="AL19" s="113" t="s">
        <v>27</v>
      </c>
    </row>
    <row r="20" spans="1:38">
      <c r="A20" s="115">
        <v>14</v>
      </c>
      <c r="B20" s="117" t="s">
        <v>55</v>
      </c>
      <c r="C20" s="119">
        <f>C6*C45</f>
        <v>11243.985000000001</v>
      </c>
      <c r="D20" s="119">
        <f t="shared" ref="D20:H20" si="12">D6*D45</f>
        <v>11243.985000000001</v>
      </c>
      <c r="E20" s="119">
        <f t="shared" si="12"/>
        <v>13938.315000000001</v>
      </c>
      <c r="F20" s="119">
        <f t="shared" si="12"/>
        <v>13938.315000000001</v>
      </c>
      <c r="G20" s="119">
        <f t="shared" si="12"/>
        <v>0</v>
      </c>
      <c r="H20" s="119">
        <f t="shared" si="12"/>
        <v>0</v>
      </c>
      <c r="I20" s="119">
        <f>SUM(C20:H20)</f>
        <v>50364.600000000006</v>
      </c>
      <c r="T20" s="117" t="s">
        <v>55</v>
      </c>
      <c r="AJ20" s="117" t="s">
        <v>56</v>
      </c>
      <c r="AK20" s="117" t="s">
        <v>55</v>
      </c>
    </row>
    <row r="21" spans="1:38">
      <c r="A21" s="115">
        <v>15</v>
      </c>
      <c r="B21" s="117" t="s">
        <v>57</v>
      </c>
      <c r="C21" s="124">
        <f>$I$21/$I$6*C6</f>
        <v>0</v>
      </c>
      <c r="D21" s="124">
        <f t="shared" ref="D21:H21" si="13">$I$21/$I$6*D6</f>
        <v>0</v>
      </c>
      <c r="E21" s="124">
        <f t="shared" si="13"/>
        <v>0</v>
      </c>
      <c r="F21" s="124">
        <f t="shared" si="13"/>
        <v>0</v>
      </c>
      <c r="G21" s="124">
        <f t="shared" si="13"/>
        <v>0</v>
      </c>
      <c r="H21" s="124">
        <f t="shared" si="13"/>
        <v>0</v>
      </c>
      <c r="I21" s="119">
        <f>项目投资!D27</f>
        <v>0</v>
      </c>
      <c r="T21" s="117" t="s">
        <v>57</v>
      </c>
      <c r="AJ21" s="117"/>
      <c r="AK21" s="117"/>
    </row>
    <row r="22" spans="1:38">
      <c r="A22" s="115">
        <v>16</v>
      </c>
      <c r="B22" s="117" t="s">
        <v>58</v>
      </c>
      <c r="C22" s="119">
        <f>C6*C47</f>
        <v>8160.0300000000007</v>
      </c>
      <c r="D22" s="119">
        <f t="shared" ref="D22:H22" si="14">D6*D47</f>
        <v>8160.0300000000007</v>
      </c>
      <c r="E22" s="119">
        <f t="shared" si="14"/>
        <v>10115.369999999999</v>
      </c>
      <c r="F22" s="119">
        <f t="shared" si="14"/>
        <v>10115.369999999999</v>
      </c>
      <c r="G22" s="119">
        <f t="shared" si="14"/>
        <v>0</v>
      </c>
      <c r="H22" s="119">
        <f t="shared" si="14"/>
        <v>0</v>
      </c>
      <c r="I22" s="119">
        <f>SUM(C22:H22)</f>
        <v>36550.800000000003</v>
      </c>
      <c r="T22" s="117" t="s">
        <v>58</v>
      </c>
      <c r="AJ22" s="117" t="s">
        <v>59</v>
      </c>
      <c r="AK22" s="117" t="s">
        <v>58</v>
      </c>
    </row>
    <row r="23" spans="1:38">
      <c r="A23" s="115">
        <v>17</v>
      </c>
      <c r="B23" s="120" t="s">
        <v>60</v>
      </c>
      <c r="C23" s="124">
        <f>+C22+C21+C20+C19+C17</f>
        <v>48631.834000000003</v>
      </c>
      <c r="D23" s="124">
        <f t="shared" ref="D23:H23" si="15">+D22+D21+D20+D19+D17</f>
        <v>48631.834000000003</v>
      </c>
      <c r="E23" s="124">
        <f t="shared" si="15"/>
        <v>55254.286</v>
      </c>
      <c r="F23" s="124">
        <f t="shared" si="15"/>
        <v>55254.286</v>
      </c>
      <c r="G23" s="124">
        <f t="shared" si="15"/>
        <v>0</v>
      </c>
      <c r="H23" s="124">
        <f t="shared" si="15"/>
        <v>0</v>
      </c>
      <c r="I23" s="124">
        <f t="shared" ref="I23" si="16">+I22+I21+I20+I19+I17</f>
        <v>207772.24000000002</v>
      </c>
      <c r="T23" s="120" t="s">
        <v>60</v>
      </c>
      <c r="AJ23" s="117" t="s">
        <v>61</v>
      </c>
      <c r="AK23" s="120" t="s">
        <v>60</v>
      </c>
    </row>
    <row r="24" spans="1:38">
      <c r="A24" s="115">
        <v>18</v>
      </c>
      <c r="B24" s="125" t="s">
        <v>62</v>
      </c>
      <c r="C24" s="124">
        <f>+C15-C23</f>
        <v>-70097.605999999942</v>
      </c>
      <c r="D24" s="124">
        <f t="shared" ref="D24:H24" si="17">+D15-D23</f>
        <v>-70097.605999999942</v>
      </c>
      <c r="E24" s="124">
        <f t="shared" si="17"/>
        <v>-51255.474000000002</v>
      </c>
      <c r="F24" s="124">
        <f t="shared" si="17"/>
        <v>-51255.474000000002</v>
      </c>
      <c r="G24" s="124">
        <f t="shared" si="17"/>
        <v>0</v>
      </c>
      <c r="H24" s="124">
        <f t="shared" si="17"/>
        <v>0</v>
      </c>
      <c r="I24" s="124">
        <f t="shared" ref="I24" si="18">+I15-I23</f>
        <v>-242706.15999999992</v>
      </c>
      <c r="K24" s="133"/>
      <c r="T24" s="117" t="s">
        <v>62</v>
      </c>
      <c r="AJ24" s="117" t="s">
        <v>63</v>
      </c>
      <c r="AK24" s="117" t="s">
        <v>62</v>
      </c>
    </row>
    <row r="25" spans="1:38">
      <c r="A25" s="115">
        <v>19</v>
      </c>
      <c r="B25" s="117" t="s">
        <v>159</v>
      </c>
      <c r="C25" s="124">
        <f>IF(C24&lt;0,0,C24*0.25)</f>
        <v>0</v>
      </c>
      <c r="D25" s="124">
        <f>IF(D24&lt;0,0,D24*0.15)</f>
        <v>0</v>
      </c>
      <c r="E25" s="124">
        <f t="shared" ref="E25:I25" si="19">IF(E24&lt;0,0,E24*0.25)</f>
        <v>0</v>
      </c>
      <c r="F25" s="124">
        <f>IF(F24&lt;0,0,F24*0.15)</f>
        <v>0</v>
      </c>
      <c r="G25" s="124">
        <f t="shared" si="19"/>
        <v>0</v>
      </c>
      <c r="H25" s="124">
        <f t="shared" si="19"/>
        <v>0</v>
      </c>
      <c r="I25" s="124">
        <f t="shared" si="19"/>
        <v>0</v>
      </c>
      <c r="J25" s="2"/>
      <c r="K25" s="2"/>
      <c r="L25" s="2"/>
      <c r="T25" s="117" t="s">
        <v>64</v>
      </c>
      <c r="AJ25" s="117" t="s">
        <v>65</v>
      </c>
      <c r="AK25" s="117" t="s">
        <v>64</v>
      </c>
    </row>
    <row r="26" spans="1:38">
      <c r="A26" s="115">
        <v>20</v>
      </c>
      <c r="B26" s="117" t="s">
        <v>66</v>
      </c>
      <c r="C26" s="124">
        <f t="shared" ref="C26:H26" si="20">C24-C25</f>
        <v>-70097.605999999942</v>
      </c>
      <c r="D26" s="124">
        <f t="shared" si="20"/>
        <v>-70097.605999999942</v>
      </c>
      <c r="E26" s="124">
        <f t="shared" si="20"/>
        <v>-51255.474000000002</v>
      </c>
      <c r="F26" s="124">
        <f t="shared" si="20"/>
        <v>-51255.474000000002</v>
      </c>
      <c r="G26" s="124">
        <f t="shared" si="20"/>
        <v>0</v>
      </c>
      <c r="H26" s="124">
        <f t="shared" si="20"/>
        <v>0</v>
      </c>
      <c r="I26" s="119">
        <f>SUM(C26:H26)</f>
        <v>-242706.15999999986</v>
      </c>
      <c r="J26" s="2"/>
      <c r="K26" s="2"/>
      <c r="L26" s="2"/>
      <c r="T26" s="117" t="s">
        <v>66</v>
      </c>
      <c r="AJ26" s="117" t="s">
        <v>67</v>
      </c>
      <c r="AK26" s="117" t="s">
        <v>66</v>
      </c>
    </row>
    <row r="27" spans="1:38">
      <c r="A27" s="115">
        <v>21</v>
      </c>
      <c r="B27" s="117" t="s">
        <v>70</v>
      </c>
      <c r="C27" s="126">
        <f t="shared" ref="C27:I27" si="21">C26/C7</f>
        <v>-0.18297469590185314</v>
      </c>
      <c r="D27" s="126">
        <f t="shared" ref="D27:H27" si="22">D26/D7</f>
        <v>-0.18297469590185314</v>
      </c>
      <c r="E27" s="126">
        <f t="shared" si="22"/>
        <v>-0.10792898294377765</v>
      </c>
      <c r="F27" s="126">
        <f t="shared" si="22"/>
        <v>-0.10792898294377765</v>
      </c>
      <c r="G27" s="126" t="e">
        <f t="shared" si="22"/>
        <v>#DIV/0!</v>
      </c>
      <c r="H27" s="126" t="e">
        <f t="shared" si="22"/>
        <v>#DIV/0!</v>
      </c>
      <c r="I27" s="126">
        <f t="shared" si="21"/>
        <v>-0.1414371561771561</v>
      </c>
      <c r="J27" s="2"/>
      <c r="K27" s="2"/>
      <c r="L27" s="2"/>
      <c r="T27" s="117" t="s">
        <v>70</v>
      </c>
      <c r="AJ27" s="117" t="s">
        <v>69</v>
      </c>
      <c r="AK27" s="117" t="s">
        <v>70</v>
      </c>
    </row>
    <row r="28" spans="1:38">
      <c r="J28" s="2"/>
      <c r="K28" s="2"/>
      <c r="L28" s="2"/>
      <c r="T28" s="117"/>
    </row>
    <row r="29" spans="1:38">
      <c r="A29" s="113" t="s">
        <v>71</v>
      </c>
      <c r="I29" s="114" t="s">
        <v>160</v>
      </c>
      <c r="J29" s="2"/>
      <c r="K29" s="2"/>
      <c r="L29" s="2"/>
      <c r="T29" s="117"/>
      <c r="AJ29" s="113" t="s">
        <v>71</v>
      </c>
    </row>
    <row r="30" spans="1:38">
      <c r="A30" s="117" t="s">
        <v>75</v>
      </c>
      <c r="B30" s="120" t="s">
        <v>76</v>
      </c>
      <c r="C30" s="124"/>
      <c r="D30" s="124"/>
      <c r="E30" s="124"/>
      <c r="F30" s="124"/>
      <c r="G30" s="124"/>
      <c r="H30" s="124"/>
      <c r="I30" s="124"/>
      <c r="J30" s="2"/>
      <c r="K30" s="2"/>
      <c r="L30" s="2"/>
      <c r="N30" s="2"/>
      <c r="T30" s="120" t="s">
        <v>76</v>
      </c>
      <c r="AJ30" s="117" t="s">
        <v>77</v>
      </c>
      <c r="AK30" s="120" t="s">
        <v>76</v>
      </c>
    </row>
    <row r="31" spans="1:38">
      <c r="A31" s="115">
        <v>1</v>
      </c>
      <c r="B31" s="122" t="s">
        <v>78</v>
      </c>
      <c r="C31" s="127">
        <f>销量!C8</f>
        <v>38.31</v>
      </c>
      <c r="D31" s="127">
        <f>销量!D8</f>
        <v>38.31</v>
      </c>
      <c r="E31" s="127">
        <f>销量!E8</f>
        <v>47.49</v>
      </c>
      <c r="F31" s="127">
        <f>销量!F8</f>
        <v>47.49</v>
      </c>
      <c r="G31" s="127">
        <f>销量!G8</f>
        <v>0</v>
      </c>
      <c r="H31" s="127">
        <f>销量!H8</f>
        <v>0</v>
      </c>
      <c r="I31" s="124"/>
      <c r="J31" s="2"/>
      <c r="K31" s="2"/>
      <c r="L31" s="2"/>
      <c r="N31" s="2"/>
      <c r="T31" s="117" t="s">
        <v>78</v>
      </c>
      <c r="AJ31" s="117" t="s">
        <v>29</v>
      </c>
      <c r="AK31" s="117" t="s">
        <v>78</v>
      </c>
    </row>
    <row r="32" spans="1:38">
      <c r="A32" s="115">
        <v>2</v>
      </c>
      <c r="B32" s="117" t="s">
        <v>161</v>
      </c>
      <c r="C32" s="119">
        <f>C31*1</f>
        <v>38.31</v>
      </c>
      <c r="D32" s="119">
        <f t="shared" ref="D32:H32" si="23">D31*1</f>
        <v>38.31</v>
      </c>
      <c r="E32" s="119">
        <f t="shared" si="23"/>
        <v>47.49</v>
      </c>
      <c r="F32" s="119">
        <f t="shared" si="23"/>
        <v>47.49</v>
      </c>
      <c r="G32" s="119">
        <f t="shared" si="23"/>
        <v>0</v>
      </c>
      <c r="H32" s="119">
        <f t="shared" si="23"/>
        <v>0</v>
      </c>
      <c r="I32" s="124"/>
      <c r="J32" s="2"/>
      <c r="K32" s="2"/>
      <c r="L32" s="2"/>
      <c r="M32" s="2"/>
      <c r="N32" s="2"/>
      <c r="O32" s="2"/>
      <c r="P32" s="2"/>
      <c r="AJ32" s="117"/>
      <c r="AK32" s="117"/>
    </row>
    <row r="33" spans="1:37">
      <c r="A33" s="115">
        <v>3</v>
      </c>
      <c r="B33" s="122" t="s">
        <v>79</v>
      </c>
      <c r="C33" s="119">
        <f>材料成本!E18</f>
        <v>38.229999999999997</v>
      </c>
      <c r="D33" s="119">
        <f>材料成本!E19</f>
        <v>38.229999999999997</v>
      </c>
      <c r="E33" s="119">
        <f>材料成本!E20</f>
        <v>44.33</v>
      </c>
      <c r="F33" s="119">
        <f>材料成本!E21</f>
        <v>44.33</v>
      </c>
      <c r="G33" s="119">
        <f>材料成本!E22</f>
        <v>0</v>
      </c>
      <c r="H33" s="119"/>
      <c r="I33" s="124"/>
      <c r="K33" s="2"/>
      <c r="L33" s="2"/>
      <c r="M33" s="2"/>
      <c r="N33" s="2"/>
      <c r="O33" s="2"/>
      <c r="P33" s="2"/>
      <c r="T33" s="117" t="s">
        <v>79</v>
      </c>
      <c r="AJ33" s="117" t="s">
        <v>31</v>
      </c>
      <c r="AK33" s="117" t="s">
        <v>79</v>
      </c>
    </row>
    <row r="34" spans="1:37" ht="17.25" customHeight="1">
      <c r="A34" s="115">
        <v>4</v>
      </c>
      <c r="B34" s="117" t="s">
        <v>81</v>
      </c>
      <c r="C34" s="128">
        <f>C32-C33</f>
        <v>8.00000000000054E-2</v>
      </c>
      <c r="D34" s="128">
        <f t="shared" ref="D34:H34" si="24">D32-D33</f>
        <v>8.00000000000054E-2</v>
      </c>
      <c r="E34" s="128">
        <f t="shared" si="24"/>
        <v>3.1600000000000037</v>
      </c>
      <c r="F34" s="128">
        <f t="shared" si="24"/>
        <v>3.1600000000000037</v>
      </c>
      <c r="G34" s="128">
        <f t="shared" si="24"/>
        <v>0</v>
      </c>
      <c r="H34" s="128">
        <f t="shared" si="24"/>
        <v>0</v>
      </c>
      <c r="I34" s="124"/>
      <c r="K34" s="2"/>
      <c r="L34" s="2"/>
      <c r="M34" s="2"/>
      <c r="N34" s="2"/>
      <c r="O34" s="2"/>
      <c r="P34" s="2"/>
      <c r="T34" s="117" t="s">
        <v>81</v>
      </c>
      <c r="AJ34" s="117" t="s">
        <v>80</v>
      </c>
      <c r="AK34" s="117" t="s">
        <v>81</v>
      </c>
    </row>
    <row r="35" spans="1:37">
      <c r="A35" s="117" t="s">
        <v>77</v>
      </c>
      <c r="B35" s="120" t="s">
        <v>10</v>
      </c>
      <c r="C35" s="124"/>
      <c r="D35" s="124"/>
      <c r="E35" s="124"/>
      <c r="F35" s="124"/>
      <c r="G35" s="124"/>
      <c r="H35" s="124"/>
      <c r="I35" s="124"/>
      <c r="J35" s="2"/>
      <c r="K35" s="2"/>
      <c r="L35" s="2"/>
      <c r="M35" s="2"/>
      <c r="N35" s="2"/>
      <c r="O35" s="2"/>
      <c r="P35" s="2"/>
      <c r="Q35" s="2"/>
      <c r="R35" s="2"/>
      <c r="S35" s="2"/>
      <c r="T35" s="120" t="s">
        <v>10</v>
      </c>
      <c r="AJ35" s="117" t="s">
        <v>83</v>
      </c>
      <c r="AK35" s="120" t="s">
        <v>10</v>
      </c>
    </row>
    <row r="36" spans="1:37">
      <c r="A36" s="115">
        <v>1</v>
      </c>
      <c r="B36" s="117" t="s">
        <v>84</v>
      </c>
      <c r="C36" s="123">
        <f>标准成本!D4</f>
        <v>0</v>
      </c>
      <c r="D36" s="123">
        <f>标准成本!D18</f>
        <v>0</v>
      </c>
      <c r="E36" s="123">
        <f>标准成本!D32</f>
        <v>0</v>
      </c>
      <c r="F36" s="123">
        <f>标准成本!D45</f>
        <v>0</v>
      </c>
      <c r="G36" s="123">
        <f>标准成本!D58</f>
        <v>0</v>
      </c>
      <c r="H36" s="123">
        <f>标准成本!D71</f>
        <v>0</v>
      </c>
      <c r="I36" s="127"/>
      <c r="J36" s="2"/>
      <c r="K36" s="2"/>
      <c r="L36" s="2"/>
      <c r="M36" s="2"/>
      <c r="N36" s="2"/>
      <c r="O36" s="2"/>
      <c r="P36" s="2"/>
      <c r="Q36" s="2"/>
      <c r="R36" s="2"/>
      <c r="S36" s="2"/>
      <c r="T36" s="117" t="s">
        <v>84</v>
      </c>
      <c r="AJ36" s="117" t="s">
        <v>80</v>
      </c>
      <c r="AK36" s="117" t="s">
        <v>84</v>
      </c>
    </row>
    <row r="37" spans="1:37">
      <c r="A37" s="115">
        <v>2</v>
      </c>
      <c r="B37" s="117" t="s">
        <v>85</v>
      </c>
      <c r="C37" s="123">
        <f>标准成本!D6</f>
        <v>0</v>
      </c>
      <c r="D37" s="123">
        <f>标准成本!D20</f>
        <v>0</v>
      </c>
      <c r="E37" s="123">
        <f>标准成本!D34</f>
        <v>0</v>
      </c>
      <c r="F37" s="123">
        <f>标准成本!D47</f>
        <v>0</v>
      </c>
      <c r="G37" s="123">
        <f>标准成本!D60</f>
        <v>0</v>
      </c>
      <c r="H37" s="123">
        <f>标准成本!D73</f>
        <v>0</v>
      </c>
      <c r="I37" s="127"/>
      <c r="J37" s="2"/>
      <c r="K37" s="2"/>
      <c r="L37" s="2"/>
      <c r="M37" s="2"/>
      <c r="N37" s="2"/>
      <c r="O37" s="2"/>
      <c r="P37" s="2"/>
      <c r="Q37" s="2"/>
      <c r="R37" s="2"/>
      <c r="S37" s="2"/>
      <c r="T37" s="117" t="s">
        <v>85</v>
      </c>
      <c r="AJ37" s="117" t="s">
        <v>34</v>
      </c>
      <c r="AK37" s="117" t="s">
        <v>85</v>
      </c>
    </row>
    <row r="38" spans="1:37">
      <c r="A38" s="115">
        <v>3</v>
      </c>
      <c r="B38" s="117" t="s">
        <v>86</v>
      </c>
      <c r="C38" s="123">
        <f>标准成本!D10</f>
        <v>2.2265771999999999</v>
      </c>
      <c r="D38" s="123">
        <f>标准成本!D24</f>
        <v>2.2265771999999999</v>
      </c>
      <c r="E38" s="123">
        <f>标准成本!D38</f>
        <v>2.7601187999999999</v>
      </c>
      <c r="F38" s="123">
        <f>标准成本!D51</f>
        <v>2.7601187999999999</v>
      </c>
      <c r="G38" s="123">
        <f>标准成本!D64</f>
        <v>0</v>
      </c>
      <c r="H38" s="123">
        <f>标准成本!D77</f>
        <v>0</v>
      </c>
      <c r="I38" s="127"/>
      <c r="J38" s="2"/>
      <c r="K38" s="2"/>
      <c r="L38" s="2"/>
      <c r="M38" s="2"/>
      <c r="N38" s="2"/>
      <c r="O38" s="2"/>
      <c r="P38" s="2"/>
      <c r="Q38" s="2"/>
      <c r="R38" s="2"/>
      <c r="S38" s="2"/>
      <c r="T38" s="117" t="s">
        <v>86</v>
      </c>
      <c r="AJ38" s="117" t="s">
        <v>40</v>
      </c>
      <c r="AK38" s="117" t="s">
        <v>86</v>
      </c>
    </row>
    <row r="39" spans="1:37">
      <c r="A39" s="117" t="s">
        <v>83</v>
      </c>
      <c r="B39" s="120" t="s">
        <v>88</v>
      </c>
      <c r="C39" s="124"/>
      <c r="D39" s="124"/>
      <c r="E39" s="124"/>
      <c r="F39" s="124"/>
      <c r="G39" s="124"/>
      <c r="H39" s="124"/>
      <c r="I39" s="124"/>
      <c r="T39" s="120" t="s">
        <v>88</v>
      </c>
      <c r="AJ39" s="117" t="s">
        <v>87</v>
      </c>
      <c r="AK39" s="120" t="s">
        <v>88</v>
      </c>
    </row>
    <row r="40" spans="1:37">
      <c r="A40" s="115">
        <v>1</v>
      </c>
      <c r="B40" s="117" t="s">
        <v>90</v>
      </c>
      <c r="C40" s="124">
        <f>C34-C36-C37-C38</f>
        <v>-2.1465771999999945</v>
      </c>
      <c r="D40" s="124">
        <f t="shared" ref="D40:H40" si="25">D34-D36-D37-D38</f>
        <v>-2.1465771999999945</v>
      </c>
      <c r="E40" s="124">
        <f t="shared" si="25"/>
        <v>0.39988120000000382</v>
      </c>
      <c r="F40" s="124">
        <f t="shared" si="25"/>
        <v>0.39988120000000382</v>
      </c>
      <c r="G40" s="124">
        <f t="shared" si="25"/>
        <v>0</v>
      </c>
      <c r="H40" s="124">
        <f t="shared" si="25"/>
        <v>0</v>
      </c>
      <c r="I40" s="124"/>
      <c r="T40" s="117" t="s">
        <v>90</v>
      </c>
      <c r="AJ40" s="117" t="s">
        <v>29</v>
      </c>
      <c r="AK40" s="117" t="s">
        <v>90</v>
      </c>
    </row>
    <row r="41" spans="1:37">
      <c r="A41" s="115">
        <v>2</v>
      </c>
      <c r="B41" s="117" t="s">
        <v>91</v>
      </c>
      <c r="C41" s="124"/>
      <c r="D41" s="124"/>
      <c r="E41" s="124"/>
      <c r="F41" s="124"/>
      <c r="G41" s="124"/>
      <c r="H41" s="124"/>
      <c r="I41" s="124"/>
      <c r="T41" s="117" t="s">
        <v>91</v>
      </c>
      <c r="AJ41" s="117" t="s">
        <v>31</v>
      </c>
      <c r="AK41" s="117" t="s">
        <v>91</v>
      </c>
    </row>
    <row r="42" spans="1:37">
      <c r="A42" s="117" t="s">
        <v>87</v>
      </c>
      <c r="B42" s="120" t="s">
        <v>93</v>
      </c>
      <c r="C42" s="124"/>
      <c r="D42" s="124"/>
      <c r="E42" s="124"/>
      <c r="F42" s="124"/>
      <c r="G42" s="124"/>
      <c r="H42" s="124"/>
      <c r="I42" s="124"/>
      <c r="T42" s="120" t="s">
        <v>93</v>
      </c>
      <c r="AJ42" s="117" t="s">
        <v>92</v>
      </c>
      <c r="AK42" s="120" t="s">
        <v>93</v>
      </c>
    </row>
    <row r="43" spans="1:37">
      <c r="A43" s="115">
        <v>1</v>
      </c>
      <c r="B43" s="125" t="s">
        <v>94</v>
      </c>
      <c r="C43" s="123">
        <f>标准成本!D5</f>
        <v>0</v>
      </c>
      <c r="D43" s="123">
        <f>标准成本!D19</f>
        <v>0</v>
      </c>
      <c r="E43" s="123">
        <f>标准成本!D33</f>
        <v>0</v>
      </c>
      <c r="F43" s="123">
        <f>标准成本!D46</f>
        <v>0</v>
      </c>
      <c r="G43" s="123">
        <f>标准成本!D59</f>
        <v>0</v>
      </c>
      <c r="H43" s="123"/>
      <c r="I43" s="124"/>
      <c r="T43" s="117" t="s">
        <v>94</v>
      </c>
      <c r="AJ43" s="117" t="s">
        <v>29</v>
      </c>
      <c r="AK43" s="117" t="s">
        <v>94</v>
      </c>
    </row>
    <row r="44" spans="1:37">
      <c r="A44" s="115">
        <v>2</v>
      </c>
      <c r="B44" s="125" t="s">
        <v>95</v>
      </c>
      <c r="C44" s="123">
        <f>标准成本!D9</f>
        <v>0.82328190000000001</v>
      </c>
      <c r="D44" s="123">
        <f>标准成本!D23</f>
        <v>0.82328190000000001</v>
      </c>
      <c r="E44" s="123">
        <f>标准成本!D37</f>
        <v>1.0205601</v>
      </c>
      <c r="F44" s="123">
        <f>标准成本!D50</f>
        <v>1.0205601</v>
      </c>
      <c r="G44" s="123">
        <f>标准成本!D63</f>
        <v>0</v>
      </c>
      <c r="H44" s="123"/>
      <c r="I44" s="124"/>
      <c r="T44" s="117" t="s">
        <v>95</v>
      </c>
      <c r="AJ44" s="117" t="s">
        <v>31</v>
      </c>
      <c r="AK44" s="117" t="s">
        <v>95</v>
      </c>
    </row>
    <row r="45" spans="1:37">
      <c r="A45" s="115">
        <v>3</v>
      </c>
      <c r="B45" s="125" t="s">
        <v>96</v>
      </c>
      <c r="C45" s="123">
        <f>标准成本!D8</f>
        <v>1.1243985000000001</v>
      </c>
      <c r="D45" s="123">
        <f>标准成本!D22</f>
        <v>1.1243985000000001</v>
      </c>
      <c r="E45" s="123">
        <f>标准成本!D36</f>
        <v>1.3938315000000001</v>
      </c>
      <c r="F45" s="123">
        <f>标准成本!D49</f>
        <v>1.3938315000000001</v>
      </c>
      <c r="G45" s="123">
        <f>标准成本!D62</f>
        <v>0</v>
      </c>
      <c r="H45" s="129">
        <f>标准成本!D75</f>
        <v>0</v>
      </c>
      <c r="I45" s="124"/>
      <c r="T45" s="117" t="s">
        <v>96</v>
      </c>
      <c r="AJ45" s="117" t="s">
        <v>80</v>
      </c>
      <c r="AK45" s="117" t="s">
        <v>96</v>
      </c>
    </row>
    <row r="46" spans="1:37" s="112" customFormat="1">
      <c r="A46" s="115">
        <v>4</v>
      </c>
      <c r="B46" s="125" t="s">
        <v>97</v>
      </c>
      <c r="C46" s="129">
        <f>C21/C6</f>
        <v>0</v>
      </c>
      <c r="D46" s="129">
        <f t="shared" ref="D46:H46" si="26">D21/D6</f>
        <v>0</v>
      </c>
      <c r="E46" s="129">
        <f t="shared" si="26"/>
        <v>0</v>
      </c>
      <c r="F46" s="129">
        <f t="shared" si="26"/>
        <v>0</v>
      </c>
      <c r="G46" s="129" t="e">
        <f t="shared" si="26"/>
        <v>#DIV/0!</v>
      </c>
      <c r="H46" s="129" t="e">
        <f t="shared" si="26"/>
        <v>#DIV/0!</v>
      </c>
      <c r="I46" s="129"/>
      <c r="T46" s="125" t="s">
        <v>99</v>
      </c>
      <c r="AJ46" s="125" t="s">
        <v>37</v>
      </c>
      <c r="AK46" s="125" t="s">
        <v>99</v>
      </c>
    </row>
    <row r="47" spans="1:37" s="112" customFormat="1">
      <c r="A47" s="115">
        <v>5</v>
      </c>
      <c r="B47" s="125" t="s">
        <v>99</v>
      </c>
      <c r="C47" s="123">
        <f>标准成本!D11</f>
        <v>0.81600300000000003</v>
      </c>
      <c r="D47" s="123">
        <f>标准成本!D25</f>
        <v>0.81600300000000003</v>
      </c>
      <c r="E47" s="123">
        <f>标准成本!D39</f>
        <v>1.0115369999999999</v>
      </c>
      <c r="F47" s="123">
        <f>标准成本!D52</f>
        <v>1.0115369999999999</v>
      </c>
      <c r="G47" s="123">
        <f>标准成本!D65</f>
        <v>0</v>
      </c>
      <c r="H47" s="129">
        <f>标准成本!D78</f>
        <v>0</v>
      </c>
      <c r="I47" s="129"/>
      <c r="T47" s="125" t="s">
        <v>99</v>
      </c>
      <c r="AJ47" s="125" t="s">
        <v>37</v>
      </c>
      <c r="AK47" s="125" t="s">
        <v>99</v>
      </c>
    </row>
    <row r="48" spans="1:37">
      <c r="A48" s="117" t="s">
        <v>92</v>
      </c>
      <c r="B48" s="120" t="s">
        <v>110</v>
      </c>
      <c r="C48" s="124">
        <f>C40-C43-C44-C45-C47-C46</f>
        <v>-4.9102605999999946</v>
      </c>
      <c r="D48" s="124">
        <f t="shared" ref="D48:H48" si="27">D40-D43-D44-D45-D47-D46</f>
        <v>-4.9102605999999946</v>
      </c>
      <c r="E48" s="124">
        <f t="shared" si="27"/>
        <v>-3.0260473999999959</v>
      </c>
      <c r="F48" s="124">
        <f t="shared" si="27"/>
        <v>-3.0260473999999959</v>
      </c>
      <c r="G48" s="124" t="e">
        <f t="shared" si="27"/>
        <v>#DIV/0!</v>
      </c>
      <c r="H48" s="124" t="e">
        <f t="shared" si="27"/>
        <v>#DIV/0!</v>
      </c>
      <c r="I48" s="124"/>
      <c r="T48" s="120" t="s">
        <v>110</v>
      </c>
      <c r="AJ48" s="117" t="s">
        <v>109</v>
      </c>
      <c r="AK48" s="120" t="s">
        <v>110</v>
      </c>
    </row>
    <row r="51" spans="2:14">
      <c r="C51" s="130"/>
      <c r="D51" s="130"/>
      <c r="E51" s="130"/>
      <c r="F51" s="130"/>
      <c r="G51" s="130"/>
      <c r="H51" s="130"/>
    </row>
    <row r="54" spans="2:14">
      <c r="B54" s="2"/>
      <c r="C54" s="17"/>
      <c r="D54" s="17"/>
      <c r="E54" s="17"/>
      <c r="F54" s="17"/>
      <c r="G54" s="17"/>
      <c r="H54" s="17"/>
      <c r="I54" s="17"/>
      <c r="J54" s="2"/>
      <c r="K54" s="2"/>
      <c r="L54" s="2"/>
      <c r="M54" s="2"/>
      <c r="N54" s="2"/>
    </row>
    <row r="55" spans="2:14">
      <c r="B55" s="2"/>
      <c r="C55" s="17"/>
      <c r="D55" s="17"/>
      <c r="E55" s="17"/>
      <c r="F55" s="17"/>
      <c r="G55" s="17"/>
      <c r="H55" s="17"/>
      <c r="I55" s="17"/>
      <c r="J55" s="2"/>
      <c r="K55" s="2"/>
      <c r="L55" s="2"/>
      <c r="M55" s="2"/>
      <c r="N55" s="2"/>
    </row>
    <row r="56" spans="2:14">
      <c r="B56" s="2"/>
      <c r="C56" s="17"/>
      <c r="D56" s="17"/>
      <c r="E56" s="17"/>
      <c r="F56" s="17"/>
      <c r="G56" s="17"/>
      <c r="H56" s="17"/>
      <c r="I56" s="17"/>
      <c r="J56" s="2"/>
      <c r="K56" s="2"/>
      <c r="L56" s="2"/>
      <c r="M56" s="2"/>
      <c r="N56" s="2"/>
    </row>
    <row r="57" spans="2:14">
      <c r="B57" s="2"/>
      <c r="C57" s="17"/>
      <c r="D57" s="17"/>
      <c r="E57" s="17"/>
      <c r="F57" s="17"/>
      <c r="G57" s="17"/>
      <c r="H57" s="17"/>
      <c r="I57" s="17"/>
      <c r="J57" s="2"/>
      <c r="K57" s="2"/>
      <c r="L57" s="2"/>
      <c r="M57" s="2"/>
      <c r="N57" s="2"/>
    </row>
    <row r="58" spans="2:14">
      <c r="B58" s="2"/>
      <c r="C58" s="17"/>
      <c r="D58" s="17"/>
      <c r="E58" s="17"/>
      <c r="F58" s="17"/>
      <c r="G58" s="17"/>
      <c r="H58" s="17"/>
      <c r="I58" s="17"/>
      <c r="J58" s="2"/>
      <c r="K58" s="2"/>
      <c r="L58" s="2"/>
      <c r="M58" s="2"/>
      <c r="N58" s="2"/>
    </row>
    <row r="59" spans="2:14">
      <c r="B59" s="2"/>
      <c r="C59" s="17"/>
      <c r="D59" s="17"/>
      <c r="E59" s="17"/>
      <c r="F59" s="17"/>
      <c r="G59" s="17"/>
      <c r="H59" s="17"/>
      <c r="I59" s="17"/>
      <c r="J59" s="2"/>
      <c r="K59" s="2"/>
      <c r="L59" s="2"/>
      <c r="M59" s="2"/>
      <c r="N59" s="2"/>
    </row>
    <row r="60" spans="2:14">
      <c r="B60" s="2"/>
      <c r="C60" s="17"/>
      <c r="D60" s="17"/>
      <c r="E60" s="17"/>
      <c r="F60" s="17"/>
      <c r="G60" s="17"/>
      <c r="H60" s="17"/>
      <c r="I60" s="17"/>
      <c r="J60" s="2"/>
      <c r="K60" s="2"/>
      <c r="L60" s="2"/>
      <c r="M60" s="2"/>
      <c r="N60" s="2"/>
    </row>
    <row r="61" spans="2:14">
      <c r="B61" s="2"/>
      <c r="C61" s="17"/>
      <c r="D61" s="17"/>
      <c r="E61" s="17"/>
      <c r="F61" s="17"/>
      <c r="G61" s="17"/>
      <c r="H61" s="17"/>
      <c r="I61" s="17"/>
      <c r="J61" s="2"/>
      <c r="K61" s="2"/>
      <c r="L61" s="2"/>
      <c r="M61" s="2"/>
      <c r="N61" s="2"/>
    </row>
    <row r="62" spans="2:14">
      <c r="B62" s="2"/>
      <c r="C62" s="17"/>
      <c r="D62" s="17"/>
      <c r="E62" s="17"/>
      <c r="F62" s="17"/>
      <c r="G62" s="17"/>
      <c r="H62" s="17"/>
      <c r="I62" s="17"/>
      <c r="J62" s="2"/>
      <c r="K62" s="2"/>
      <c r="L62" s="2"/>
      <c r="M62" s="2"/>
      <c r="N62" s="2"/>
    </row>
    <row r="63" spans="2:14">
      <c r="B63" s="2"/>
      <c r="C63" s="17"/>
      <c r="D63" s="17"/>
      <c r="E63" s="17"/>
      <c r="F63" s="17"/>
      <c r="G63" s="17"/>
      <c r="H63" s="17"/>
      <c r="I63" s="17"/>
      <c r="J63" s="2"/>
      <c r="K63" s="2"/>
      <c r="L63" s="2"/>
      <c r="M63" s="2"/>
      <c r="N63" s="2"/>
    </row>
    <row r="64" spans="2:14">
      <c r="B64" s="2"/>
      <c r="C64" s="17"/>
      <c r="D64" s="17"/>
      <c r="E64" s="17"/>
      <c r="F64" s="17"/>
      <c r="G64" s="17"/>
      <c r="H64" s="17"/>
      <c r="I64" s="17"/>
      <c r="J64" s="2"/>
      <c r="K64" s="2"/>
      <c r="L64" s="2"/>
      <c r="M64" s="2"/>
      <c r="N64" s="2"/>
    </row>
    <row r="65" spans="2:14">
      <c r="B65" s="2"/>
      <c r="C65" s="17"/>
      <c r="D65" s="17"/>
      <c r="E65" s="17"/>
      <c r="F65" s="17"/>
      <c r="G65" s="17"/>
      <c r="H65" s="17"/>
      <c r="I65" s="17"/>
      <c r="J65" s="2"/>
      <c r="K65" s="2"/>
      <c r="L65" s="2"/>
      <c r="M65" s="2"/>
      <c r="N65" s="2"/>
    </row>
    <row r="66" spans="2:14">
      <c r="B66" s="2"/>
      <c r="C66" s="17"/>
      <c r="D66" s="17"/>
      <c r="E66" s="17"/>
      <c r="F66" s="17"/>
      <c r="G66" s="17"/>
      <c r="H66" s="17"/>
      <c r="I66" s="17"/>
      <c r="J66" s="2"/>
      <c r="K66" s="2"/>
      <c r="L66" s="2"/>
      <c r="M66" s="2"/>
      <c r="N66" s="2"/>
    </row>
    <row r="67" spans="2:14">
      <c r="B67" s="2"/>
      <c r="C67" s="17"/>
      <c r="D67" s="17"/>
      <c r="E67" s="17"/>
      <c r="F67" s="17"/>
      <c r="G67" s="17"/>
      <c r="H67" s="17"/>
      <c r="I67" s="17"/>
      <c r="J67" s="2"/>
    </row>
    <row r="68" spans="2:14">
      <c r="B68" s="2"/>
      <c r="C68" s="17"/>
      <c r="D68" s="17"/>
      <c r="E68" s="17"/>
      <c r="F68" s="17"/>
      <c r="G68" s="17"/>
      <c r="H68" s="17"/>
      <c r="I68" s="17"/>
      <c r="J68" s="2"/>
    </row>
    <row r="69" spans="2:14">
      <c r="B69" s="2"/>
      <c r="C69" s="17"/>
      <c r="D69" s="17"/>
      <c r="E69" s="17"/>
      <c r="F69" s="17"/>
      <c r="G69" s="17"/>
      <c r="H69" s="17"/>
      <c r="I69" s="17"/>
      <c r="J69" s="2"/>
    </row>
    <row r="70" spans="2:14">
      <c r="B70" s="2"/>
      <c r="C70" s="17"/>
      <c r="D70" s="17"/>
      <c r="E70" s="17"/>
      <c r="F70" s="17"/>
      <c r="G70" s="17"/>
      <c r="H70" s="17"/>
      <c r="I70" s="17"/>
      <c r="J70" s="2"/>
    </row>
    <row r="71" spans="2:14">
      <c r="B71" s="2"/>
      <c r="C71" s="17"/>
      <c r="D71" s="17"/>
      <c r="E71" s="17"/>
      <c r="F71" s="17"/>
      <c r="G71" s="17"/>
      <c r="H71" s="17"/>
      <c r="I71" s="17"/>
      <c r="J71" s="2"/>
    </row>
    <row r="72" spans="2:14">
      <c r="B72" s="2"/>
      <c r="C72" s="17"/>
      <c r="D72" s="17"/>
      <c r="E72" s="17"/>
      <c r="F72" s="17"/>
      <c r="G72" s="17"/>
      <c r="H72" s="17"/>
      <c r="I72" s="17"/>
      <c r="J72" s="2"/>
    </row>
    <row r="73" spans="2:14">
      <c r="B73" s="2"/>
      <c r="C73" s="17"/>
      <c r="D73" s="17"/>
      <c r="E73" s="17"/>
      <c r="F73" s="17"/>
      <c r="G73" s="17"/>
      <c r="H73" s="17"/>
      <c r="I73" s="17"/>
      <c r="J73" s="2"/>
    </row>
    <row r="74" spans="2:14">
      <c r="B74" s="2"/>
      <c r="C74" s="17"/>
      <c r="D74" s="17"/>
      <c r="E74" s="17"/>
      <c r="F74" s="17"/>
      <c r="G74" s="17"/>
      <c r="H74" s="17"/>
      <c r="I74" s="17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C8" sqref="C8"/>
    </sheetView>
  </sheetViews>
  <sheetFormatPr defaultColWidth="9" defaultRowHeight="16.5"/>
  <cols>
    <col min="1" max="1" width="5.125" style="113" customWidth="1"/>
    <col min="2" max="2" width="17.5" style="113" customWidth="1"/>
    <col min="3" max="8" width="13.25" style="114" customWidth="1"/>
    <col min="9" max="9" width="18.75" style="114" customWidth="1"/>
    <col min="10" max="10" width="12.375" style="113" customWidth="1"/>
    <col min="11" max="11" width="10.125" style="113" customWidth="1"/>
    <col min="12" max="18" width="9" style="113" customWidth="1"/>
    <col min="19" max="35" width="9" style="113"/>
    <col min="36" max="36" width="4.375" style="113" customWidth="1"/>
    <col min="37" max="37" width="13.875" style="113" customWidth="1"/>
    <col min="38" max="16384" width="9" style="113"/>
  </cols>
  <sheetData>
    <row r="1" spans="1:38">
      <c r="A1" s="224" t="s">
        <v>150</v>
      </c>
      <c r="B1" s="224"/>
      <c r="C1" s="228" t="s">
        <v>162</v>
      </c>
      <c r="D1" s="229"/>
      <c r="E1" s="229"/>
      <c r="F1" s="229"/>
      <c r="G1" s="229"/>
      <c r="H1" s="229"/>
      <c r="I1" s="230"/>
    </row>
    <row r="2" spans="1:38">
      <c r="A2" s="224" t="s">
        <v>152</v>
      </c>
      <c r="B2" s="224"/>
      <c r="C2" s="231" t="str">
        <f>'2023年'!C2:I2</f>
        <v>北京汽车集团越野车有限公司</v>
      </c>
      <c r="D2" s="231"/>
      <c r="E2" s="231"/>
      <c r="F2" s="231"/>
      <c r="G2" s="231"/>
      <c r="H2" s="231"/>
      <c r="I2" s="231"/>
    </row>
    <row r="3" spans="1:38">
      <c r="A3" s="224" t="s">
        <v>153</v>
      </c>
      <c r="B3" s="224"/>
      <c r="C3" s="34" t="str">
        <f>销量!C5</f>
        <v>左后门上饰条总成</v>
      </c>
      <c r="D3" s="34" t="str">
        <f>销量!D5</f>
        <v>右后门上饰条总成</v>
      </c>
      <c r="E3" s="34" t="str">
        <f>销量!E5</f>
        <v>左前门上饰条总成</v>
      </c>
      <c r="F3" s="34" t="str">
        <f>销量!F5</f>
        <v>右前门上饰条总成</v>
      </c>
      <c r="G3" s="34">
        <f>销量!G5</f>
        <v>0</v>
      </c>
      <c r="H3" s="34">
        <f>销量!H5</f>
        <v>0</v>
      </c>
      <c r="I3" s="225" t="s">
        <v>25</v>
      </c>
    </row>
    <row r="4" spans="1:38">
      <c r="A4" s="224" t="s">
        <v>154</v>
      </c>
      <c r="B4" s="224"/>
      <c r="C4" s="34" t="str">
        <f>销量!C6</f>
        <v>B00041333</v>
      </c>
      <c r="D4" s="34" t="str">
        <f>销量!D6</f>
        <v>B00041343</v>
      </c>
      <c r="E4" s="34" t="str">
        <f>销量!E6</f>
        <v>B00041331</v>
      </c>
      <c r="F4" s="34" t="str">
        <f>销量!F6</f>
        <v>B00041332</v>
      </c>
      <c r="G4" s="34">
        <f>销量!G6</f>
        <v>0</v>
      </c>
      <c r="H4" s="34">
        <f>销量!H6</f>
        <v>0</v>
      </c>
      <c r="I4" s="226"/>
    </row>
    <row r="5" spans="1:38">
      <c r="A5" s="224" t="s">
        <v>155</v>
      </c>
      <c r="B5" s="224"/>
      <c r="C5" s="116"/>
      <c r="D5" s="116"/>
      <c r="E5" s="116"/>
      <c r="F5" s="116"/>
      <c r="G5" s="116"/>
      <c r="H5" s="116"/>
      <c r="I5" s="227"/>
      <c r="AL5" s="113" t="s">
        <v>26</v>
      </c>
    </row>
    <row r="6" spans="1:38" ht="17.25">
      <c r="A6" s="117" t="s">
        <v>19</v>
      </c>
      <c r="B6" s="118" t="s">
        <v>156</v>
      </c>
      <c r="C6" s="56">
        <f>销量!C10</f>
        <v>10000</v>
      </c>
      <c r="D6" s="56">
        <f>销量!D10</f>
        <v>10000</v>
      </c>
      <c r="E6" s="56">
        <f>销量!E10</f>
        <v>10000</v>
      </c>
      <c r="F6" s="56">
        <f>销量!F10</f>
        <v>10000</v>
      </c>
      <c r="G6" s="56">
        <f>销量!G10</f>
        <v>0</v>
      </c>
      <c r="H6" s="56">
        <f>销量!H10</f>
        <v>0</v>
      </c>
      <c r="I6" s="119">
        <f>SUM(C6:H6)</f>
        <v>40000</v>
      </c>
      <c r="T6" s="118" t="s">
        <v>3</v>
      </c>
      <c r="AJ6" s="117" t="s">
        <v>19</v>
      </c>
      <c r="AK6" s="118" t="s">
        <v>3</v>
      </c>
      <c r="AL6" s="113" t="s">
        <v>27</v>
      </c>
    </row>
    <row r="7" spans="1:38">
      <c r="A7" s="115">
        <v>1</v>
      </c>
      <c r="B7" s="118" t="s">
        <v>28</v>
      </c>
      <c r="C7" s="119">
        <f>C6*销量!C8</f>
        <v>383100</v>
      </c>
      <c r="D7" s="119">
        <f>D6*销量!D8</f>
        <v>383100</v>
      </c>
      <c r="E7" s="119">
        <f>E6*销量!E8</f>
        <v>474900</v>
      </c>
      <c r="F7" s="119">
        <f>F6*销量!F8</f>
        <v>474900</v>
      </c>
      <c r="G7" s="119">
        <f>G6*销量!G8</f>
        <v>0</v>
      </c>
      <c r="H7" s="119">
        <f>H6*销量!H8</f>
        <v>0</v>
      </c>
      <c r="I7" s="119">
        <f>SUM(C7:H7)</f>
        <v>1716000</v>
      </c>
      <c r="J7" s="114"/>
      <c r="T7" s="118" t="s">
        <v>28</v>
      </c>
      <c r="AJ7" s="117" t="s">
        <v>29</v>
      </c>
      <c r="AK7" s="118" t="s">
        <v>28</v>
      </c>
      <c r="AL7" s="113" t="s">
        <v>27</v>
      </c>
    </row>
    <row r="8" spans="1:38">
      <c r="A8" s="115">
        <v>2</v>
      </c>
      <c r="B8" s="115" t="s">
        <v>30</v>
      </c>
      <c r="C8" s="119">
        <f>C7*(1-销量!$L$7)</f>
        <v>0</v>
      </c>
      <c r="D8" s="119">
        <f>D7*(1-销量!$L$7)</f>
        <v>0</v>
      </c>
      <c r="E8" s="119">
        <f>E7*(1-销量!$L$7)</f>
        <v>0</v>
      </c>
      <c r="F8" s="119">
        <f>F7*(1-销量!$L$7)</f>
        <v>0</v>
      </c>
      <c r="G8" s="119">
        <f>G7*(1-销量!$L$7)</f>
        <v>0</v>
      </c>
      <c r="H8" s="119">
        <f>H7*(1-销量!$L$7)</f>
        <v>0</v>
      </c>
      <c r="I8" s="119">
        <f t="shared" ref="I8:I20" si="0">SUM(C8:H8)</f>
        <v>0</v>
      </c>
      <c r="J8" s="131"/>
      <c r="T8" s="115" t="s">
        <v>32</v>
      </c>
      <c r="AJ8" s="117" t="s">
        <v>31</v>
      </c>
      <c r="AK8" s="115" t="s">
        <v>32</v>
      </c>
      <c r="AL8" s="113" t="s">
        <v>27</v>
      </c>
    </row>
    <row r="9" spans="1:38">
      <c r="A9" s="115">
        <v>3</v>
      </c>
      <c r="B9" s="118" t="s">
        <v>33</v>
      </c>
      <c r="C9" s="119">
        <f>+C7-C8</f>
        <v>383100</v>
      </c>
      <c r="D9" s="119">
        <f t="shared" ref="D9:H9" si="1">+D7-D8</f>
        <v>383100</v>
      </c>
      <c r="E9" s="119">
        <f t="shared" si="1"/>
        <v>474900</v>
      </c>
      <c r="F9" s="119">
        <f t="shared" si="1"/>
        <v>474900</v>
      </c>
      <c r="G9" s="119">
        <f t="shared" si="1"/>
        <v>0</v>
      </c>
      <c r="H9" s="119">
        <f t="shared" si="1"/>
        <v>0</v>
      </c>
      <c r="I9" s="119">
        <f t="shared" si="0"/>
        <v>1716000</v>
      </c>
      <c r="T9" s="118" t="s">
        <v>33</v>
      </c>
      <c r="AJ9" s="117" t="s">
        <v>34</v>
      </c>
      <c r="AK9" s="118" t="s">
        <v>33</v>
      </c>
      <c r="AL9" s="113" t="s">
        <v>35</v>
      </c>
    </row>
    <row r="10" spans="1:38">
      <c r="A10" s="115">
        <v>4</v>
      </c>
      <c r="B10" s="117" t="s">
        <v>36</v>
      </c>
      <c r="C10" s="119">
        <f>C6*材料成本!F18</f>
        <v>382299.99999999994</v>
      </c>
      <c r="D10" s="119">
        <f>D6*材料成本!F19</f>
        <v>382299.99999999994</v>
      </c>
      <c r="E10" s="119">
        <f>E6*材料成本!F20</f>
        <v>443300</v>
      </c>
      <c r="F10" s="119">
        <f>F6*材料成本!F21</f>
        <v>443300</v>
      </c>
      <c r="G10" s="119">
        <f>G6*材料成本!F22</f>
        <v>0</v>
      </c>
      <c r="H10" s="119"/>
      <c r="I10" s="119">
        <f t="shared" si="0"/>
        <v>1651200</v>
      </c>
      <c r="T10" s="117" t="s">
        <v>36</v>
      </c>
      <c r="AJ10" s="117" t="s">
        <v>37</v>
      </c>
      <c r="AK10" s="117" t="s">
        <v>36</v>
      </c>
      <c r="AL10" s="113" t="s">
        <v>38</v>
      </c>
    </row>
    <row r="11" spans="1:38">
      <c r="A11" s="115">
        <v>5</v>
      </c>
      <c r="B11" s="117" t="s">
        <v>39</v>
      </c>
      <c r="C11" s="119">
        <f>+C6*C36</f>
        <v>0</v>
      </c>
      <c r="D11" s="119">
        <f>+D6*D36</f>
        <v>0</v>
      </c>
      <c r="E11" s="119">
        <f t="shared" ref="E11:H11" si="2">+E6*E36</f>
        <v>0</v>
      </c>
      <c r="F11" s="119">
        <f t="shared" si="2"/>
        <v>0</v>
      </c>
      <c r="G11" s="119">
        <f t="shared" si="2"/>
        <v>0</v>
      </c>
      <c r="H11" s="119">
        <f t="shared" si="2"/>
        <v>0</v>
      </c>
      <c r="I11" s="119">
        <f t="shared" si="0"/>
        <v>0</v>
      </c>
      <c r="T11" s="117" t="s">
        <v>39</v>
      </c>
      <c r="AJ11" s="117" t="s">
        <v>40</v>
      </c>
      <c r="AK11" s="117" t="s">
        <v>39</v>
      </c>
    </row>
    <row r="12" spans="1:38">
      <c r="A12" s="115">
        <v>6</v>
      </c>
      <c r="B12" s="117" t="s">
        <v>41</v>
      </c>
      <c r="C12" s="119">
        <f>+C6*C37</f>
        <v>0</v>
      </c>
      <c r="D12" s="119">
        <f t="shared" ref="D12:H12" si="3">+D6*D37</f>
        <v>0</v>
      </c>
      <c r="E12" s="119">
        <f t="shared" si="3"/>
        <v>0</v>
      </c>
      <c r="F12" s="119">
        <f t="shared" si="3"/>
        <v>0</v>
      </c>
      <c r="G12" s="119">
        <f t="shared" si="3"/>
        <v>0</v>
      </c>
      <c r="H12" s="119">
        <f t="shared" si="3"/>
        <v>0</v>
      </c>
      <c r="I12" s="119">
        <f t="shared" si="0"/>
        <v>0</v>
      </c>
      <c r="T12" s="117" t="s">
        <v>41</v>
      </c>
      <c r="AJ12" s="117" t="s">
        <v>42</v>
      </c>
      <c r="AK12" s="117" t="s">
        <v>41</v>
      </c>
    </row>
    <row r="13" spans="1:38">
      <c r="A13" s="115">
        <v>7</v>
      </c>
      <c r="B13" s="117" t="s">
        <v>43</v>
      </c>
      <c r="C13" s="119">
        <f>+C6*C38</f>
        <v>22265.772000000001</v>
      </c>
      <c r="D13" s="119">
        <f t="shared" ref="D13:H13" si="4">+D6*D38</f>
        <v>22265.772000000001</v>
      </c>
      <c r="E13" s="119">
        <f t="shared" si="4"/>
        <v>27601.187999999998</v>
      </c>
      <c r="F13" s="119">
        <f t="shared" si="4"/>
        <v>27601.187999999998</v>
      </c>
      <c r="G13" s="119">
        <f t="shared" si="4"/>
        <v>0</v>
      </c>
      <c r="H13" s="119">
        <f t="shared" si="4"/>
        <v>0</v>
      </c>
      <c r="I13" s="119">
        <f t="shared" si="0"/>
        <v>99733.92</v>
      </c>
      <c r="T13" s="117" t="s">
        <v>43</v>
      </c>
      <c r="AJ13" s="117" t="s">
        <v>44</v>
      </c>
      <c r="AK13" s="117" t="s">
        <v>43</v>
      </c>
      <c r="AL13" s="113" t="s">
        <v>27</v>
      </c>
    </row>
    <row r="14" spans="1:38">
      <c r="A14" s="115">
        <v>8</v>
      </c>
      <c r="B14" s="120" t="s">
        <v>45</v>
      </c>
      <c r="C14" s="119">
        <f>SUM(C11:C13)</f>
        <v>22265.772000000001</v>
      </c>
      <c r="D14" s="119">
        <f t="shared" ref="D14:H14" si="5">SUM(D11:D13)</f>
        <v>22265.772000000001</v>
      </c>
      <c r="E14" s="119">
        <f t="shared" si="5"/>
        <v>27601.187999999998</v>
      </c>
      <c r="F14" s="119">
        <f t="shared" si="5"/>
        <v>27601.187999999998</v>
      </c>
      <c r="G14" s="119">
        <f t="shared" si="5"/>
        <v>0</v>
      </c>
      <c r="H14" s="119">
        <f t="shared" si="5"/>
        <v>0</v>
      </c>
      <c r="I14" s="119">
        <f t="shared" si="0"/>
        <v>99733.92</v>
      </c>
      <c r="T14" s="120" t="s">
        <v>45</v>
      </c>
      <c r="AJ14" s="117" t="s">
        <v>46</v>
      </c>
      <c r="AK14" s="120" t="s">
        <v>45</v>
      </c>
    </row>
    <row r="15" spans="1:38">
      <c r="A15" s="115">
        <v>9</v>
      </c>
      <c r="B15" s="120" t="s">
        <v>47</v>
      </c>
      <c r="C15" s="119">
        <f>+C9-C10-C14</f>
        <v>-21465.771999999943</v>
      </c>
      <c r="D15" s="119">
        <f t="shared" ref="D15:H15" si="6">+D9-D10-D14</f>
        <v>-21465.771999999943</v>
      </c>
      <c r="E15" s="119">
        <f t="shared" si="6"/>
        <v>3998.8120000000017</v>
      </c>
      <c r="F15" s="119">
        <f t="shared" si="6"/>
        <v>3998.8120000000017</v>
      </c>
      <c r="G15" s="119">
        <f t="shared" si="6"/>
        <v>0</v>
      </c>
      <c r="H15" s="119">
        <f t="shared" si="6"/>
        <v>0</v>
      </c>
      <c r="I15" s="119">
        <f t="shared" si="0"/>
        <v>-34933.919999999882</v>
      </c>
      <c r="T15" s="120" t="s">
        <v>47</v>
      </c>
      <c r="AJ15" s="117" t="s">
        <v>48</v>
      </c>
      <c r="AK15" s="120" t="s">
        <v>47</v>
      </c>
    </row>
    <row r="16" spans="1:38">
      <c r="A16" s="115">
        <v>10</v>
      </c>
      <c r="B16" s="117" t="s">
        <v>49</v>
      </c>
      <c r="C16" s="121">
        <f>+C15/C9</f>
        <v>-5.6031772383189619E-2</v>
      </c>
      <c r="D16" s="121">
        <f t="shared" ref="D16:H16" si="7">+D15/D9</f>
        <v>-5.6031772383189619E-2</v>
      </c>
      <c r="E16" s="121">
        <f t="shared" si="7"/>
        <v>8.4203242787955403E-3</v>
      </c>
      <c r="F16" s="121">
        <f t="shared" si="7"/>
        <v>8.4203242787955403E-3</v>
      </c>
      <c r="G16" s="121" t="e">
        <f t="shared" si="7"/>
        <v>#DIV/0!</v>
      </c>
      <c r="H16" s="121" t="e">
        <f t="shared" si="7"/>
        <v>#DIV/0!</v>
      </c>
      <c r="I16" s="121">
        <f t="shared" ref="I16" si="8">+I15/I9</f>
        <v>-2.0357762237762169E-2</v>
      </c>
      <c r="T16" s="117" t="s">
        <v>49</v>
      </c>
      <c r="AJ16" s="117" t="s">
        <v>50</v>
      </c>
      <c r="AK16" s="117" t="s">
        <v>49</v>
      </c>
    </row>
    <row r="17" spans="1:38">
      <c r="A17" s="115">
        <v>11</v>
      </c>
      <c r="B17" s="117" t="s">
        <v>51</v>
      </c>
      <c r="C17" s="119">
        <f>C6*C43+C18</f>
        <v>20995</v>
      </c>
      <c r="D17" s="119">
        <f t="shared" ref="D17:H17" si="9">D6*D43+D18</f>
        <v>20995</v>
      </c>
      <c r="E17" s="119">
        <f t="shared" si="9"/>
        <v>20995</v>
      </c>
      <c r="F17" s="119">
        <f t="shared" si="9"/>
        <v>20995</v>
      </c>
      <c r="G17" s="119">
        <f t="shared" si="9"/>
        <v>0</v>
      </c>
      <c r="H17" s="119">
        <f t="shared" si="9"/>
        <v>0</v>
      </c>
      <c r="I17" s="119">
        <f t="shared" si="0"/>
        <v>83980</v>
      </c>
      <c r="J17" s="131"/>
      <c r="T17" s="117" t="s">
        <v>51</v>
      </c>
      <c r="AJ17" s="117" t="s">
        <v>52</v>
      </c>
      <c r="AK17" s="117" t="s">
        <v>51</v>
      </c>
    </row>
    <row r="18" spans="1:38" s="111" customFormat="1">
      <c r="A18" s="115">
        <v>12</v>
      </c>
      <c r="B18" s="122" t="s">
        <v>157</v>
      </c>
      <c r="C18" s="123">
        <f>$I$18/$I$6*C6</f>
        <v>20995</v>
      </c>
      <c r="D18" s="123">
        <f t="shared" ref="D18:H18" si="10">$I$18/$I$6*D6</f>
        <v>20995</v>
      </c>
      <c r="E18" s="123">
        <f t="shared" si="10"/>
        <v>20995</v>
      </c>
      <c r="F18" s="123">
        <f t="shared" si="10"/>
        <v>20995</v>
      </c>
      <c r="G18" s="123">
        <f t="shared" si="10"/>
        <v>0</v>
      </c>
      <c r="H18" s="123">
        <f t="shared" si="10"/>
        <v>0</v>
      </c>
      <c r="I18" s="123">
        <f>项目投资!D26</f>
        <v>83980</v>
      </c>
      <c r="J18" s="132" t="s">
        <v>158</v>
      </c>
      <c r="K18" s="132"/>
      <c r="L18" s="132"/>
    </row>
    <row r="19" spans="1:38">
      <c r="A19" s="115">
        <v>13</v>
      </c>
      <c r="B19" s="117" t="s">
        <v>53</v>
      </c>
      <c r="C19" s="119">
        <f>C6*C44</f>
        <v>8232.8189999999995</v>
      </c>
      <c r="D19" s="119">
        <f t="shared" ref="D19:H19" si="11">D6*D44</f>
        <v>8232.8189999999995</v>
      </c>
      <c r="E19" s="119">
        <f t="shared" si="11"/>
        <v>10205.601000000001</v>
      </c>
      <c r="F19" s="119">
        <f t="shared" si="11"/>
        <v>10205.601000000001</v>
      </c>
      <c r="G19" s="119">
        <f t="shared" si="11"/>
        <v>0</v>
      </c>
      <c r="H19" s="119">
        <f t="shared" si="11"/>
        <v>0</v>
      </c>
      <c r="I19" s="119">
        <f>SUM(C19:H19)</f>
        <v>36876.840000000004</v>
      </c>
      <c r="J19" s="111"/>
      <c r="T19" s="117" t="s">
        <v>53</v>
      </c>
      <c r="AJ19" s="117" t="s">
        <v>54</v>
      </c>
      <c r="AK19" s="117" t="s">
        <v>53</v>
      </c>
      <c r="AL19" s="113" t="s">
        <v>27</v>
      </c>
    </row>
    <row r="20" spans="1:38">
      <c r="A20" s="115">
        <v>14</v>
      </c>
      <c r="B20" s="117" t="s">
        <v>55</v>
      </c>
      <c r="C20" s="119">
        <f>C6*C45</f>
        <v>11243.985000000001</v>
      </c>
      <c r="D20" s="119">
        <f t="shared" ref="D20:H20" si="12">D6*D45</f>
        <v>11243.985000000001</v>
      </c>
      <c r="E20" s="119">
        <f t="shared" si="12"/>
        <v>13938.315000000001</v>
      </c>
      <c r="F20" s="119">
        <f t="shared" si="12"/>
        <v>13938.315000000001</v>
      </c>
      <c r="G20" s="119">
        <f t="shared" si="12"/>
        <v>0</v>
      </c>
      <c r="H20" s="119">
        <f t="shared" si="12"/>
        <v>0</v>
      </c>
      <c r="I20" s="119">
        <f t="shared" si="0"/>
        <v>50364.600000000006</v>
      </c>
      <c r="T20" s="117" t="s">
        <v>55</v>
      </c>
      <c r="AJ20" s="117" t="s">
        <v>56</v>
      </c>
      <c r="AK20" s="117" t="s">
        <v>55</v>
      </c>
    </row>
    <row r="21" spans="1:38">
      <c r="A21" s="115">
        <v>15</v>
      </c>
      <c r="B21" s="117" t="s">
        <v>57</v>
      </c>
      <c r="C21" s="124">
        <f>$I$21/$I$6*C6</f>
        <v>0</v>
      </c>
      <c r="D21" s="124">
        <f t="shared" ref="D21:H21" si="13">$I$21/$I$6*D6</f>
        <v>0</v>
      </c>
      <c r="E21" s="124">
        <f t="shared" si="13"/>
        <v>0</v>
      </c>
      <c r="F21" s="124">
        <f t="shared" si="13"/>
        <v>0</v>
      </c>
      <c r="G21" s="124">
        <f t="shared" si="13"/>
        <v>0</v>
      </c>
      <c r="H21" s="124">
        <f t="shared" si="13"/>
        <v>0</v>
      </c>
      <c r="I21" s="119">
        <f>项目投资!D27</f>
        <v>0</v>
      </c>
      <c r="T21" s="117" t="s">
        <v>57</v>
      </c>
      <c r="AJ21" s="117"/>
      <c r="AK21" s="117"/>
    </row>
    <row r="22" spans="1:38">
      <c r="A22" s="115">
        <v>16</v>
      </c>
      <c r="B22" s="117" t="s">
        <v>58</v>
      </c>
      <c r="C22" s="119">
        <f>C6*C47</f>
        <v>8160.0300000000007</v>
      </c>
      <c r="D22" s="119">
        <f t="shared" ref="D22:H22" si="14">D6*D47</f>
        <v>8160.0300000000007</v>
      </c>
      <c r="E22" s="119">
        <f t="shared" si="14"/>
        <v>10115.369999999999</v>
      </c>
      <c r="F22" s="119">
        <f t="shared" si="14"/>
        <v>10115.369999999999</v>
      </c>
      <c r="G22" s="119">
        <f t="shared" si="14"/>
        <v>0</v>
      </c>
      <c r="H22" s="119">
        <f t="shared" si="14"/>
        <v>0</v>
      </c>
      <c r="I22" s="119">
        <f>SUM(C22:H22)</f>
        <v>36550.800000000003</v>
      </c>
      <c r="T22" s="117" t="s">
        <v>58</v>
      </c>
      <c r="AJ22" s="117" t="s">
        <v>59</v>
      </c>
      <c r="AK22" s="117" t="s">
        <v>58</v>
      </c>
    </row>
    <row r="23" spans="1:38">
      <c r="A23" s="115">
        <v>17</v>
      </c>
      <c r="B23" s="120" t="s">
        <v>60</v>
      </c>
      <c r="C23" s="124">
        <f>+C22+C21+C20+C19+C17</f>
        <v>48631.834000000003</v>
      </c>
      <c r="D23" s="124">
        <f t="shared" ref="D23:H23" si="15">+D22+D21+D20+D19+D17</f>
        <v>48631.834000000003</v>
      </c>
      <c r="E23" s="124">
        <f t="shared" si="15"/>
        <v>55254.286</v>
      </c>
      <c r="F23" s="124">
        <f t="shared" si="15"/>
        <v>55254.286</v>
      </c>
      <c r="G23" s="124">
        <f t="shared" si="15"/>
        <v>0</v>
      </c>
      <c r="H23" s="124">
        <f t="shared" si="15"/>
        <v>0</v>
      </c>
      <c r="I23" s="124">
        <f t="shared" ref="I23" si="16">+I22+I21+I20+I19+I17</f>
        <v>207772.24000000002</v>
      </c>
      <c r="T23" s="120" t="s">
        <v>60</v>
      </c>
      <c r="AJ23" s="117" t="s">
        <v>61</v>
      </c>
      <c r="AK23" s="120" t="s">
        <v>60</v>
      </c>
    </row>
    <row r="24" spans="1:38">
      <c r="A24" s="115">
        <v>18</v>
      </c>
      <c r="B24" s="125" t="s">
        <v>62</v>
      </c>
      <c r="C24" s="124">
        <f>+C15-C23</f>
        <v>-70097.605999999942</v>
      </c>
      <c r="D24" s="124">
        <f t="shared" ref="D24:H24" si="17">+D15-D23</f>
        <v>-70097.605999999942</v>
      </c>
      <c r="E24" s="124">
        <f t="shared" si="17"/>
        <v>-51255.474000000002</v>
      </c>
      <c r="F24" s="124">
        <f t="shared" si="17"/>
        <v>-51255.474000000002</v>
      </c>
      <c r="G24" s="124">
        <f t="shared" si="17"/>
        <v>0</v>
      </c>
      <c r="H24" s="124">
        <f t="shared" si="17"/>
        <v>0</v>
      </c>
      <c r="I24" s="124">
        <f t="shared" ref="I24" si="18">+I15-I23</f>
        <v>-242706.15999999992</v>
      </c>
      <c r="K24" s="133"/>
      <c r="T24" s="117" t="s">
        <v>62</v>
      </c>
      <c r="AJ24" s="117" t="s">
        <v>63</v>
      </c>
      <c r="AK24" s="117" t="s">
        <v>62</v>
      </c>
    </row>
    <row r="25" spans="1:38">
      <c r="A25" s="115">
        <v>19</v>
      </c>
      <c r="B25" s="117" t="s">
        <v>159</v>
      </c>
      <c r="C25" s="124">
        <f>IF(C24&lt;0,0,C24*0.25)</f>
        <v>0</v>
      </c>
      <c r="D25" s="124">
        <f>IF(D24&lt;0,0,D24*0.15)</f>
        <v>0</v>
      </c>
      <c r="E25" s="124">
        <f t="shared" ref="E25:I25" si="19">IF(E24&lt;0,0,E24*0.25)</f>
        <v>0</v>
      </c>
      <c r="F25" s="124">
        <f>IF(F24&lt;0,0,F24*0.15)</f>
        <v>0</v>
      </c>
      <c r="G25" s="124">
        <f t="shared" si="19"/>
        <v>0</v>
      </c>
      <c r="H25" s="124">
        <f t="shared" si="19"/>
        <v>0</v>
      </c>
      <c r="I25" s="124">
        <f t="shared" si="19"/>
        <v>0</v>
      </c>
      <c r="J25" s="2"/>
      <c r="K25" s="2"/>
      <c r="L25" s="2"/>
      <c r="T25" s="117" t="s">
        <v>64</v>
      </c>
      <c r="AJ25" s="117" t="s">
        <v>65</v>
      </c>
      <c r="AK25" s="117" t="s">
        <v>64</v>
      </c>
    </row>
    <row r="26" spans="1:38">
      <c r="A26" s="115">
        <v>20</v>
      </c>
      <c r="B26" s="117" t="s">
        <v>66</v>
      </c>
      <c r="C26" s="124">
        <f t="shared" ref="C26:H26" si="20">C24-C25</f>
        <v>-70097.605999999942</v>
      </c>
      <c r="D26" s="124">
        <f t="shared" si="20"/>
        <v>-70097.605999999942</v>
      </c>
      <c r="E26" s="124">
        <f t="shared" si="20"/>
        <v>-51255.474000000002</v>
      </c>
      <c r="F26" s="124">
        <f t="shared" si="20"/>
        <v>-51255.474000000002</v>
      </c>
      <c r="G26" s="124">
        <f t="shared" si="20"/>
        <v>0</v>
      </c>
      <c r="H26" s="124">
        <f t="shared" si="20"/>
        <v>0</v>
      </c>
      <c r="I26" s="119">
        <f>SUM(C26:H26)</f>
        <v>-242706.15999999986</v>
      </c>
      <c r="J26" s="2"/>
      <c r="K26" s="2"/>
      <c r="L26" s="2"/>
      <c r="T26" s="117" t="s">
        <v>66</v>
      </c>
      <c r="AJ26" s="117" t="s">
        <v>67</v>
      </c>
      <c r="AK26" s="117" t="s">
        <v>66</v>
      </c>
    </row>
    <row r="27" spans="1:38">
      <c r="A27" s="115">
        <v>21</v>
      </c>
      <c r="B27" s="117" t="s">
        <v>70</v>
      </c>
      <c r="C27" s="126">
        <f t="shared" ref="C27:I27" si="21">C26/C7</f>
        <v>-0.18297469590185314</v>
      </c>
      <c r="D27" s="126">
        <f t="shared" ref="D27:H27" si="22">D26/D7</f>
        <v>-0.18297469590185314</v>
      </c>
      <c r="E27" s="126">
        <f t="shared" si="22"/>
        <v>-0.10792898294377765</v>
      </c>
      <c r="F27" s="126">
        <f t="shared" si="22"/>
        <v>-0.10792898294377765</v>
      </c>
      <c r="G27" s="126" t="e">
        <f t="shared" si="22"/>
        <v>#DIV/0!</v>
      </c>
      <c r="H27" s="126" t="e">
        <f t="shared" si="22"/>
        <v>#DIV/0!</v>
      </c>
      <c r="I27" s="126">
        <f t="shared" si="21"/>
        <v>-0.1414371561771561</v>
      </c>
      <c r="J27" s="2"/>
      <c r="K27" s="2"/>
      <c r="L27" s="2"/>
      <c r="T27" s="117" t="s">
        <v>70</v>
      </c>
      <c r="AJ27" s="117" t="s">
        <v>69</v>
      </c>
      <c r="AK27" s="117" t="s">
        <v>70</v>
      </c>
    </row>
    <row r="28" spans="1:38">
      <c r="J28" s="2"/>
      <c r="K28" s="2"/>
      <c r="L28" s="2"/>
      <c r="T28" s="117"/>
    </row>
    <row r="29" spans="1:38">
      <c r="A29" s="113" t="s">
        <v>71</v>
      </c>
      <c r="I29" s="114" t="s">
        <v>160</v>
      </c>
      <c r="J29" s="2"/>
      <c r="K29" s="2"/>
      <c r="L29" s="2"/>
      <c r="T29" s="117"/>
      <c r="AJ29" s="113" t="s">
        <v>71</v>
      </c>
    </row>
    <row r="30" spans="1:38">
      <c r="A30" s="117" t="s">
        <v>75</v>
      </c>
      <c r="B30" s="120" t="s">
        <v>76</v>
      </c>
      <c r="C30" s="124"/>
      <c r="D30" s="124"/>
      <c r="E30" s="124"/>
      <c r="F30" s="124"/>
      <c r="G30" s="124"/>
      <c r="H30" s="124"/>
      <c r="I30" s="124"/>
      <c r="J30" s="2"/>
      <c r="K30" s="2"/>
      <c r="L30" s="2"/>
      <c r="N30" s="2"/>
      <c r="T30" s="120" t="s">
        <v>76</v>
      </c>
      <c r="AJ30" s="117" t="s">
        <v>77</v>
      </c>
      <c r="AK30" s="120" t="s">
        <v>76</v>
      </c>
    </row>
    <row r="31" spans="1:38">
      <c r="A31" s="115">
        <v>1</v>
      </c>
      <c r="B31" s="122" t="s">
        <v>78</v>
      </c>
      <c r="C31" s="127">
        <f>销量!C8</f>
        <v>38.31</v>
      </c>
      <c r="D31" s="127">
        <f>销量!D8</f>
        <v>38.31</v>
      </c>
      <c r="E31" s="127">
        <f>销量!E8</f>
        <v>47.49</v>
      </c>
      <c r="F31" s="127">
        <f>销量!F8</f>
        <v>47.49</v>
      </c>
      <c r="G31" s="127">
        <f>销量!G8</f>
        <v>0</v>
      </c>
      <c r="H31" s="127">
        <f>销量!H8</f>
        <v>0</v>
      </c>
      <c r="I31" s="124"/>
      <c r="J31" s="2"/>
      <c r="K31" s="2"/>
      <c r="L31" s="2"/>
      <c r="N31" s="2"/>
      <c r="T31" s="117" t="s">
        <v>78</v>
      </c>
      <c r="AJ31" s="117" t="s">
        <v>29</v>
      </c>
      <c r="AK31" s="117" t="s">
        <v>78</v>
      </c>
    </row>
    <row r="32" spans="1:38">
      <c r="A32" s="115">
        <v>2</v>
      </c>
      <c r="B32" s="117" t="s">
        <v>161</v>
      </c>
      <c r="C32" s="119">
        <f>C9/C6</f>
        <v>38.31</v>
      </c>
      <c r="D32" s="119">
        <f t="shared" ref="D32:H32" si="23">D9/D6</f>
        <v>38.31</v>
      </c>
      <c r="E32" s="119">
        <f t="shared" si="23"/>
        <v>47.49</v>
      </c>
      <c r="F32" s="119">
        <f t="shared" si="23"/>
        <v>47.49</v>
      </c>
      <c r="G32" s="119" t="e">
        <f t="shared" si="23"/>
        <v>#DIV/0!</v>
      </c>
      <c r="H32" s="119" t="e">
        <f t="shared" si="23"/>
        <v>#DIV/0!</v>
      </c>
      <c r="I32" s="124"/>
      <c r="J32" s="2"/>
      <c r="K32" s="2"/>
      <c r="L32" s="2"/>
      <c r="M32" s="2"/>
      <c r="N32" s="2"/>
      <c r="O32" s="2"/>
      <c r="P32" s="2"/>
      <c r="AJ32" s="117"/>
      <c r="AK32" s="117"/>
    </row>
    <row r="33" spans="1:37">
      <c r="A33" s="115">
        <v>3</v>
      </c>
      <c r="B33" s="122" t="s">
        <v>79</v>
      </c>
      <c r="C33" s="119">
        <f>材料成本!F18</f>
        <v>38.229999999999997</v>
      </c>
      <c r="D33" s="119">
        <f>材料成本!F19</f>
        <v>38.229999999999997</v>
      </c>
      <c r="E33" s="119">
        <f>材料成本!F20</f>
        <v>44.33</v>
      </c>
      <c r="F33" s="119">
        <f>材料成本!F21</f>
        <v>44.33</v>
      </c>
      <c r="G33" s="119">
        <f>材料成本!F22</f>
        <v>0</v>
      </c>
      <c r="H33" s="119"/>
      <c r="I33" s="124"/>
      <c r="K33" s="2"/>
      <c r="L33" s="2"/>
      <c r="M33" s="2"/>
      <c r="N33" s="2"/>
      <c r="O33" s="2"/>
      <c r="P33" s="2"/>
      <c r="T33" s="117" t="s">
        <v>79</v>
      </c>
      <c r="AJ33" s="117" t="s">
        <v>31</v>
      </c>
      <c r="AK33" s="117" t="s">
        <v>79</v>
      </c>
    </row>
    <row r="34" spans="1:37" ht="17.25" customHeight="1">
      <c r="A34" s="115">
        <v>4</v>
      </c>
      <c r="B34" s="117" t="s">
        <v>81</v>
      </c>
      <c r="C34" s="128">
        <f>C32-C33</f>
        <v>8.00000000000054E-2</v>
      </c>
      <c r="D34" s="128">
        <f t="shared" ref="D34:H34" si="24">D32-D33</f>
        <v>8.00000000000054E-2</v>
      </c>
      <c r="E34" s="128">
        <f t="shared" si="24"/>
        <v>3.1600000000000037</v>
      </c>
      <c r="F34" s="128">
        <f t="shared" si="24"/>
        <v>3.1600000000000037</v>
      </c>
      <c r="G34" s="128" t="e">
        <f t="shared" si="24"/>
        <v>#DIV/0!</v>
      </c>
      <c r="H34" s="128" t="e">
        <f t="shared" si="24"/>
        <v>#DIV/0!</v>
      </c>
      <c r="I34" s="124"/>
      <c r="K34" s="2"/>
      <c r="L34" s="2"/>
      <c r="M34" s="2"/>
      <c r="N34" s="2"/>
      <c r="O34" s="2"/>
      <c r="P34" s="2"/>
      <c r="T34" s="117" t="s">
        <v>81</v>
      </c>
      <c r="AJ34" s="117" t="s">
        <v>80</v>
      </c>
      <c r="AK34" s="117" t="s">
        <v>81</v>
      </c>
    </row>
    <row r="35" spans="1:37">
      <c r="A35" s="117" t="s">
        <v>77</v>
      </c>
      <c r="B35" s="120" t="s">
        <v>10</v>
      </c>
      <c r="C35" s="124"/>
      <c r="D35" s="124"/>
      <c r="E35" s="124"/>
      <c r="F35" s="124"/>
      <c r="G35" s="124"/>
      <c r="H35" s="124"/>
      <c r="I35" s="124"/>
      <c r="J35" s="2"/>
      <c r="K35" s="2"/>
      <c r="L35" s="2"/>
      <c r="M35" s="2"/>
      <c r="N35" s="2"/>
      <c r="O35" s="2"/>
      <c r="P35" s="2"/>
      <c r="Q35" s="2"/>
      <c r="R35" s="2"/>
      <c r="S35" s="2"/>
      <c r="T35" s="120" t="s">
        <v>10</v>
      </c>
      <c r="AJ35" s="117" t="s">
        <v>83</v>
      </c>
      <c r="AK35" s="120" t="s">
        <v>10</v>
      </c>
    </row>
    <row r="36" spans="1:37">
      <c r="A36" s="115">
        <v>1</v>
      </c>
      <c r="B36" s="117" t="s">
        <v>84</v>
      </c>
      <c r="C36" s="123">
        <f>'2023年'!C36</f>
        <v>0</v>
      </c>
      <c r="D36" s="123">
        <f>'2023年'!D36</f>
        <v>0</v>
      </c>
      <c r="E36" s="123">
        <f>'2023年'!E36</f>
        <v>0</v>
      </c>
      <c r="F36" s="123">
        <f>'2023年'!F36</f>
        <v>0</v>
      </c>
      <c r="G36" s="123">
        <f>'2023年'!G36</f>
        <v>0</v>
      </c>
      <c r="H36" s="123"/>
      <c r="I36" s="127"/>
      <c r="J36" s="2"/>
      <c r="K36" s="2"/>
      <c r="L36" s="2"/>
      <c r="M36" s="2"/>
      <c r="N36" s="2"/>
      <c r="O36" s="2"/>
      <c r="P36" s="2"/>
      <c r="Q36" s="2"/>
      <c r="R36" s="2"/>
      <c r="S36" s="2"/>
      <c r="T36" s="117" t="s">
        <v>84</v>
      </c>
      <c r="AJ36" s="117" t="s">
        <v>80</v>
      </c>
      <c r="AK36" s="117" t="s">
        <v>84</v>
      </c>
    </row>
    <row r="37" spans="1:37">
      <c r="A37" s="115">
        <v>2</v>
      </c>
      <c r="B37" s="117" t="s">
        <v>85</v>
      </c>
      <c r="C37" s="123">
        <f>'2023年'!C37</f>
        <v>0</v>
      </c>
      <c r="D37" s="123">
        <f>'2023年'!D37</f>
        <v>0</v>
      </c>
      <c r="E37" s="123">
        <f>'2023年'!E37</f>
        <v>0</v>
      </c>
      <c r="F37" s="123">
        <f>'2023年'!F37</f>
        <v>0</v>
      </c>
      <c r="G37" s="123">
        <f>'2023年'!G37</f>
        <v>0</v>
      </c>
      <c r="H37" s="123"/>
      <c r="I37" s="127"/>
      <c r="J37" s="2"/>
      <c r="K37" s="2"/>
      <c r="L37" s="2"/>
      <c r="M37" s="2"/>
      <c r="N37" s="2"/>
      <c r="O37" s="2"/>
      <c r="P37" s="2"/>
      <c r="Q37" s="2"/>
      <c r="R37" s="2"/>
      <c r="S37" s="2"/>
      <c r="T37" s="117" t="s">
        <v>85</v>
      </c>
      <c r="AJ37" s="117" t="s">
        <v>34</v>
      </c>
      <c r="AK37" s="117" t="s">
        <v>85</v>
      </c>
    </row>
    <row r="38" spans="1:37">
      <c r="A38" s="115">
        <v>3</v>
      </c>
      <c r="B38" s="117" t="s">
        <v>86</v>
      </c>
      <c r="C38" s="123">
        <f>'2023年'!C38</f>
        <v>2.2265771999999999</v>
      </c>
      <c r="D38" s="123">
        <f>'2023年'!D38</f>
        <v>2.2265771999999999</v>
      </c>
      <c r="E38" s="123">
        <f>'2023年'!E38</f>
        <v>2.7601187999999999</v>
      </c>
      <c r="F38" s="123">
        <f>'2023年'!F38</f>
        <v>2.7601187999999999</v>
      </c>
      <c r="G38" s="123">
        <f>'2023年'!G38</f>
        <v>0</v>
      </c>
      <c r="H38" s="123"/>
      <c r="I38" s="127"/>
      <c r="J38" s="2"/>
      <c r="K38" s="2"/>
      <c r="L38" s="2"/>
      <c r="M38" s="2"/>
      <c r="N38" s="2"/>
      <c r="O38" s="2"/>
      <c r="P38" s="2"/>
      <c r="Q38" s="2"/>
      <c r="R38" s="2"/>
      <c r="S38" s="2"/>
      <c r="T38" s="117" t="s">
        <v>86</v>
      </c>
      <c r="AJ38" s="117" t="s">
        <v>40</v>
      </c>
      <c r="AK38" s="117" t="s">
        <v>86</v>
      </c>
    </row>
    <row r="39" spans="1:37">
      <c r="A39" s="117" t="s">
        <v>83</v>
      </c>
      <c r="B39" s="120" t="s">
        <v>88</v>
      </c>
      <c r="C39" s="124"/>
      <c r="D39" s="124"/>
      <c r="E39" s="124"/>
      <c r="F39" s="124"/>
      <c r="G39" s="124"/>
      <c r="H39" s="124"/>
      <c r="I39" s="124"/>
      <c r="T39" s="120" t="s">
        <v>88</v>
      </c>
      <c r="AJ39" s="117" t="s">
        <v>87</v>
      </c>
      <c r="AK39" s="120" t="s">
        <v>88</v>
      </c>
    </row>
    <row r="40" spans="1:37">
      <c r="A40" s="115">
        <v>1</v>
      </c>
      <c r="B40" s="117" t="s">
        <v>90</v>
      </c>
      <c r="C40" s="124">
        <f>C34-C36-C37-C38</f>
        <v>-2.1465771999999945</v>
      </c>
      <c r="D40" s="124">
        <f t="shared" ref="D40:H40" si="25">D34-D36-D37-D38</f>
        <v>-2.1465771999999945</v>
      </c>
      <c r="E40" s="124">
        <f t="shared" si="25"/>
        <v>0.39988120000000382</v>
      </c>
      <c r="F40" s="124">
        <f t="shared" si="25"/>
        <v>0.39988120000000382</v>
      </c>
      <c r="G40" s="124" t="e">
        <f t="shared" si="25"/>
        <v>#DIV/0!</v>
      </c>
      <c r="H40" s="124" t="e">
        <f t="shared" si="25"/>
        <v>#DIV/0!</v>
      </c>
      <c r="I40" s="124"/>
      <c r="T40" s="117" t="s">
        <v>90</v>
      </c>
      <c r="AJ40" s="117" t="s">
        <v>29</v>
      </c>
      <c r="AK40" s="117" t="s">
        <v>90</v>
      </c>
    </row>
    <row r="41" spans="1:37">
      <c r="A41" s="115">
        <v>2</v>
      </c>
      <c r="B41" s="117" t="s">
        <v>91</v>
      </c>
      <c r="C41" s="124"/>
      <c r="D41" s="124"/>
      <c r="E41" s="124"/>
      <c r="F41" s="124"/>
      <c r="G41" s="124"/>
      <c r="H41" s="124"/>
      <c r="I41" s="124"/>
      <c r="T41" s="117" t="s">
        <v>91</v>
      </c>
      <c r="AJ41" s="117" t="s">
        <v>31</v>
      </c>
      <c r="AK41" s="117" t="s">
        <v>91</v>
      </c>
    </row>
    <row r="42" spans="1:37">
      <c r="A42" s="117" t="s">
        <v>87</v>
      </c>
      <c r="B42" s="120" t="s">
        <v>93</v>
      </c>
      <c r="C42" s="124"/>
      <c r="D42" s="124"/>
      <c r="E42" s="124"/>
      <c r="F42" s="124"/>
      <c r="G42" s="124"/>
      <c r="H42" s="124"/>
      <c r="I42" s="124"/>
      <c r="T42" s="120" t="s">
        <v>93</v>
      </c>
      <c r="AJ42" s="117" t="s">
        <v>92</v>
      </c>
      <c r="AK42" s="120" t="s">
        <v>93</v>
      </c>
    </row>
    <row r="43" spans="1:37">
      <c r="A43" s="115">
        <v>1</v>
      </c>
      <c r="B43" s="125" t="s">
        <v>94</v>
      </c>
      <c r="C43" s="123">
        <f>'2023年'!C43</f>
        <v>0</v>
      </c>
      <c r="D43" s="123">
        <f>'2023年'!D43</f>
        <v>0</v>
      </c>
      <c r="E43" s="123">
        <f>'2023年'!E43</f>
        <v>0</v>
      </c>
      <c r="F43" s="123">
        <f>'2023年'!F43</f>
        <v>0</v>
      </c>
      <c r="G43" s="123">
        <f>'2023年'!G43</f>
        <v>0</v>
      </c>
      <c r="H43" s="123"/>
      <c r="I43" s="124"/>
      <c r="T43" s="117" t="s">
        <v>94</v>
      </c>
      <c r="AJ43" s="117" t="s">
        <v>29</v>
      </c>
      <c r="AK43" s="117" t="s">
        <v>94</v>
      </c>
    </row>
    <row r="44" spans="1:37">
      <c r="A44" s="115">
        <v>2</v>
      </c>
      <c r="B44" s="125" t="s">
        <v>95</v>
      </c>
      <c r="C44" s="123">
        <f>'2023年'!C44</f>
        <v>0.82328190000000001</v>
      </c>
      <c r="D44" s="123">
        <f>'2023年'!D44</f>
        <v>0.82328190000000001</v>
      </c>
      <c r="E44" s="123">
        <f>'2023年'!E44</f>
        <v>1.0205601</v>
      </c>
      <c r="F44" s="123">
        <f>'2023年'!F44</f>
        <v>1.0205601</v>
      </c>
      <c r="G44" s="123">
        <f>'2023年'!G44</f>
        <v>0</v>
      </c>
      <c r="H44" s="123"/>
      <c r="I44" s="124"/>
      <c r="T44" s="117" t="s">
        <v>95</v>
      </c>
      <c r="AJ44" s="117" t="s">
        <v>31</v>
      </c>
      <c r="AK44" s="117" t="s">
        <v>95</v>
      </c>
    </row>
    <row r="45" spans="1:37">
      <c r="A45" s="115">
        <v>3</v>
      </c>
      <c r="B45" s="125" t="s">
        <v>96</v>
      </c>
      <c r="C45" s="123">
        <f>'2023年'!C45</f>
        <v>1.1243985000000001</v>
      </c>
      <c r="D45" s="123">
        <f>'2023年'!D45</f>
        <v>1.1243985000000001</v>
      </c>
      <c r="E45" s="123">
        <f>'2023年'!E45</f>
        <v>1.3938315000000001</v>
      </c>
      <c r="F45" s="123">
        <f>'2023年'!F45</f>
        <v>1.3938315000000001</v>
      </c>
      <c r="G45" s="123">
        <f>'2023年'!G45</f>
        <v>0</v>
      </c>
      <c r="H45" s="123"/>
      <c r="I45" s="124"/>
      <c r="T45" s="117" t="s">
        <v>96</v>
      </c>
      <c r="AJ45" s="117" t="s">
        <v>80</v>
      </c>
      <c r="AK45" s="117" t="s">
        <v>96</v>
      </c>
    </row>
    <row r="46" spans="1:37" s="112" customFormat="1">
      <c r="A46" s="115">
        <v>4</v>
      </c>
      <c r="B46" s="125" t="s">
        <v>97</v>
      </c>
      <c r="C46" s="129">
        <f>C21/C6</f>
        <v>0</v>
      </c>
      <c r="D46" s="129">
        <f t="shared" ref="D46:H46" si="26">D21/D6</f>
        <v>0</v>
      </c>
      <c r="E46" s="129">
        <f t="shared" si="26"/>
        <v>0</v>
      </c>
      <c r="F46" s="129">
        <f t="shared" si="26"/>
        <v>0</v>
      </c>
      <c r="G46" s="129" t="e">
        <f t="shared" si="26"/>
        <v>#DIV/0!</v>
      </c>
      <c r="H46" s="129" t="e">
        <f t="shared" si="26"/>
        <v>#DIV/0!</v>
      </c>
      <c r="I46" s="129"/>
      <c r="T46" s="125" t="s">
        <v>99</v>
      </c>
      <c r="AJ46" s="125" t="s">
        <v>37</v>
      </c>
      <c r="AK46" s="125" t="s">
        <v>99</v>
      </c>
    </row>
    <row r="47" spans="1:37" s="112" customFormat="1">
      <c r="A47" s="115">
        <v>5</v>
      </c>
      <c r="B47" s="125" t="s">
        <v>99</v>
      </c>
      <c r="C47" s="123">
        <f>'2023年'!C47</f>
        <v>0.81600300000000003</v>
      </c>
      <c r="D47" s="123">
        <f>'2023年'!D47</f>
        <v>0.81600300000000003</v>
      </c>
      <c r="E47" s="123">
        <f>'2023年'!E47</f>
        <v>1.0115369999999999</v>
      </c>
      <c r="F47" s="123">
        <f>'2023年'!F47</f>
        <v>1.0115369999999999</v>
      </c>
      <c r="G47" s="123">
        <f>'2023年'!G47</f>
        <v>0</v>
      </c>
      <c r="H47" s="129"/>
      <c r="I47" s="129"/>
      <c r="T47" s="125" t="s">
        <v>99</v>
      </c>
      <c r="AJ47" s="125" t="s">
        <v>37</v>
      </c>
      <c r="AK47" s="125" t="s">
        <v>99</v>
      </c>
    </row>
    <row r="48" spans="1:37">
      <c r="A48" s="117" t="s">
        <v>92</v>
      </c>
      <c r="B48" s="120" t="s">
        <v>110</v>
      </c>
      <c r="C48" s="124">
        <f>C40-C43-C44-C45-C47-C46</f>
        <v>-4.9102605999999946</v>
      </c>
      <c r="D48" s="124">
        <f t="shared" ref="D48:H48" si="27">D40-D43-D44-D45-D47-D46</f>
        <v>-4.9102605999999946</v>
      </c>
      <c r="E48" s="124">
        <f t="shared" si="27"/>
        <v>-3.0260473999999959</v>
      </c>
      <c r="F48" s="124">
        <f t="shared" si="27"/>
        <v>-3.0260473999999959</v>
      </c>
      <c r="G48" s="124" t="e">
        <f t="shared" si="27"/>
        <v>#DIV/0!</v>
      </c>
      <c r="H48" s="124" t="e">
        <f t="shared" si="27"/>
        <v>#DIV/0!</v>
      </c>
      <c r="I48" s="124"/>
      <c r="T48" s="120" t="s">
        <v>110</v>
      </c>
      <c r="AJ48" s="117" t="s">
        <v>109</v>
      </c>
      <c r="AK48" s="120" t="s">
        <v>110</v>
      </c>
    </row>
    <row r="51" spans="2:14">
      <c r="C51" s="130"/>
      <c r="D51" s="130"/>
      <c r="E51" s="130"/>
      <c r="F51" s="130"/>
      <c r="G51" s="130"/>
      <c r="H51" s="130"/>
    </row>
    <row r="54" spans="2:14">
      <c r="B54" s="2"/>
      <c r="C54" s="17"/>
      <c r="D54" s="17"/>
      <c r="E54" s="17"/>
      <c r="F54" s="17"/>
      <c r="G54" s="17"/>
      <c r="H54" s="17"/>
      <c r="I54" s="17"/>
      <c r="J54" s="2"/>
      <c r="K54" s="2"/>
      <c r="L54" s="2"/>
      <c r="M54" s="2"/>
      <c r="N54" s="2"/>
    </row>
    <row r="55" spans="2:14">
      <c r="B55" s="2"/>
      <c r="C55" s="17"/>
      <c r="D55" s="17"/>
      <c r="E55" s="17"/>
      <c r="F55" s="17"/>
      <c r="G55" s="17"/>
      <c r="H55" s="17"/>
      <c r="I55" s="17"/>
      <c r="J55" s="2"/>
      <c r="K55" s="2"/>
      <c r="L55" s="2"/>
      <c r="M55" s="2"/>
      <c r="N55" s="2"/>
    </row>
    <row r="56" spans="2:14">
      <c r="B56" s="2"/>
      <c r="C56" s="17"/>
      <c r="D56" s="17"/>
      <c r="E56" s="17"/>
      <c r="F56" s="17"/>
      <c r="G56" s="17"/>
      <c r="H56" s="17"/>
      <c r="I56" s="17"/>
      <c r="J56" s="2"/>
      <c r="K56" s="2"/>
      <c r="L56" s="2"/>
      <c r="M56" s="2"/>
      <c r="N56" s="2"/>
    </row>
    <row r="57" spans="2:14">
      <c r="B57" s="2"/>
      <c r="C57" s="17"/>
      <c r="D57" s="17"/>
      <c r="E57" s="17"/>
      <c r="F57" s="17"/>
      <c r="G57" s="17"/>
      <c r="H57" s="17"/>
      <c r="I57" s="17"/>
      <c r="J57" s="2"/>
      <c r="K57" s="2"/>
      <c r="L57" s="2"/>
      <c r="M57" s="2"/>
      <c r="N57" s="2"/>
    </row>
    <row r="58" spans="2:14">
      <c r="B58" s="2"/>
      <c r="C58" s="17"/>
      <c r="D58" s="17"/>
      <c r="E58" s="17"/>
      <c r="F58" s="17"/>
      <c r="G58" s="17"/>
      <c r="H58" s="17"/>
      <c r="I58" s="17"/>
      <c r="J58" s="2"/>
      <c r="K58" s="2"/>
      <c r="L58" s="2"/>
      <c r="M58" s="2"/>
      <c r="N58" s="2"/>
    </row>
    <row r="59" spans="2:14">
      <c r="B59" s="2"/>
      <c r="C59" s="17"/>
      <c r="D59" s="17"/>
      <c r="E59" s="17"/>
      <c r="F59" s="17"/>
      <c r="G59" s="17"/>
      <c r="H59" s="17"/>
      <c r="I59" s="17"/>
      <c r="J59" s="2"/>
      <c r="K59" s="2"/>
      <c r="L59" s="2"/>
      <c r="M59" s="2"/>
      <c r="N59" s="2"/>
    </row>
    <row r="60" spans="2:14">
      <c r="B60" s="2"/>
      <c r="C60" s="17"/>
      <c r="D60" s="17"/>
      <c r="E60" s="17"/>
      <c r="F60" s="17"/>
      <c r="G60" s="17"/>
      <c r="H60" s="17"/>
      <c r="I60" s="17"/>
      <c r="J60" s="2"/>
      <c r="K60" s="2"/>
      <c r="L60" s="2"/>
      <c r="M60" s="2"/>
      <c r="N60" s="2"/>
    </row>
    <row r="61" spans="2:14">
      <c r="B61" s="2"/>
      <c r="C61" s="17"/>
      <c r="D61" s="17"/>
      <c r="E61" s="17"/>
      <c r="F61" s="17"/>
      <c r="G61" s="17"/>
      <c r="H61" s="17"/>
      <c r="I61" s="17"/>
      <c r="J61" s="2"/>
      <c r="K61" s="2"/>
      <c r="L61" s="2"/>
      <c r="M61" s="2"/>
      <c r="N61" s="2"/>
    </row>
    <row r="62" spans="2:14">
      <c r="B62" s="2"/>
      <c r="C62" s="17"/>
      <c r="D62" s="17"/>
      <c r="E62" s="17"/>
      <c r="F62" s="17"/>
      <c r="G62" s="17"/>
      <c r="H62" s="17"/>
      <c r="I62" s="17"/>
      <c r="J62" s="2"/>
      <c r="K62" s="2"/>
      <c r="L62" s="2"/>
      <c r="M62" s="2"/>
      <c r="N62" s="2"/>
    </row>
    <row r="63" spans="2:14">
      <c r="B63" s="2"/>
      <c r="C63" s="17"/>
      <c r="D63" s="17"/>
      <c r="E63" s="17"/>
      <c r="F63" s="17"/>
      <c r="G63" s="17"/>
      <c r="H63" s="17"/>
      <c r="I63" s="17"/>
      <c r="J63" s="2"/>
      <c r="K63" s="2"/>
      <c r="L63" s="2"/>
      <c r="M63" s="2"/>
      <c r="N63" s="2"/>
    </row>
    <row r="64" spans="2:14">
      <c r="B64" s="2"/>
      <c r="C64" s="17"/>
      <c r="D64" s="17"/>
      <c r="E64" s="17"/>
      <c r="F64" s="17"/>
      <c r="G64" s="17"/>
      <c r="H64" s="17"/>
      <c r="I64" s="17"/>
      <c r="J64" s="2"/>
      <c r="K64" s="2"/>
      <c r="L64" s="2"/>
      <c r="M64" s="2"/>
      <c r="N64" s="2"/>
    </row>
    <row r="65" spans="2:14">
      <c r="B65" s="2"/>
      <c r="C65" s="17"/>
      <c r="D65" s="17"/>
      <c r="E65" s="17"/>
      <c r="F65" s="17"/>
      <c r="G65" s="17"/>
      <c r="H65" s="17"/>
      <c r="I65" s="17"/>
      <c r="J65" s="2"/>
      <c r="K65" s="2"/>
      <c r="L65" s="2"/>
      <c r="M65" s="2"/>
      <c r="N65" s="2"/>
    </row>
    <row r="66" spans="2:14">
      <c r="B66" s="2"/>
      <c r="C66" s="17"/>
      <c r="D66" s="17"/>
      <c r="E66" s="17"/>
      <c r="F66" s="17"/>
      <c r="G66" s="17"/>
      <c r="H66" s="17"/>
      <c r="I66" s="17"/>
      <c r="J66" s="2"/>
      <c r="K66" s="2"/>
      <c r="L66" s="2"/>
      <c r="M66" s="2"/>
      <c r="N66" s="2"/>
    </row>
    <row r="67" spans="2:14">
      <c r="B67" s="2"/>
      <c r="C67" s="17"/>
      <c r="D67" s="17"/>
      <c r="E67" s="17"/>
      <c r="F67" s="17"/>
      <c r="G67" s="17"/>
      <c r="H67" s="17"/>
      <c r="I67" s="17"/>
      <c r="J67" s="2"/>
    </row>
    <row r="68" spans="2:14">
      <c r="B68" s="2"/>
      <c r="C68" s="17"/>
      <c r="D68" s="17"/>
      <c r="E68" s="17"/>
      <c r="F68" s="17"/>
      <c r="G68" s="17"/>
      <c r="H68" s="17"/>
      <c r="I68" s="17"/>
      <c r="J68" s="2"/>
    </row>
    <row r="69" spans="2:14">
      <c r="B69" s="2"/>
      <c r="C69" s="17"/>
      <c r="D69" s="17"/>
      <c r="E69" s="17"/>
      <c r="F69" s="17"/>
      <c r="G69" s="17"/>
      <c r="H69" s="17"/>
      <c r="I69" s="17"/>
      <c r="J69" s="2"/>
    </row>
    <row r="70" spans="2:14">
      <c r="B70" s="2"/>
      <c r="C70" s="17"/>
      <c r="D70" s="17"/>
      <c r="E70" s="17"/>
      <c r="F70" s="17"/>
      <c r="G70" s="17"/>
      <c r="H70" s="17"/>
      <c r="I70" s="17"/>
      <c r="J70" s="2"/>
    </row>
    <row r="71" spans="2:14">
      <c r="B71" s="2"/>
      <c r="C71" s="17"/>
      <c r="D71" s="17"/>
      <c r="E71" s="17"/>
      <c r="F71" s="17"/>
      <c r="G71" s="17"/>
      <c r="H71" s="17"/>
      <c r="I71" s="17"/>
      <c r="J71" s="2"/>
    </row>
    <row r="72" spans="2:14">
      <c r="B72" s="2"/>
      <c r="C72" s="17"/>
      <c r="D72" s="17"/>
      <c r="E72" s="17"/>
      <c r="F72" s="17"/>
      <c r="G72" s="17"/>
      <c r="H72" s="17"/>
      <c r="I72" s="17"/>
      <c r="J72" s="2"/>
    </row>
    <row r="73" spans="2:14">
      <c r="B73" s="2"/>
      <c r="C73" s="17"/>
      <c r="D73" s="17"/>
      <c r="E73" s="17"/>
      <c r="F73" s="17"/>
      <c r="G73" s="17"/>
      <c r="H73" s="17"/>
      <c r="I73" s="17"/>
      <c r="J73" s="2"/>
    </row>
    <row r="74" spans="2:14">
      <c r="B74" s="2"/>
      <c r="C74" s="17"/>
      <c r="D74" s="17"/>
      <c r="E74" s="17"/>
      <c r="F74" s="17"/>
      <c r="G74" s="17"/>
      <c r="H74" s="17"/>
      <c r="I74" s="17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17" activePane="bottomRight" state="frozen"/>
      <selection pane="topRight"/>
      <selection pane="bottomLeft"/>
      <selection pane="bottomRight" activeCell="I11" sqref="I11:I13"/>
    </sheetView>
  </sheetViews>
  <sheetFormatPr defaultColWidth="9" defaultRowHeight="16.5"/>
  <cols>
    <col min="1" max="1" width="5.125" style="113" customWidth="1"/>
    <col min="2" max="2" width="17.5" style="113" customWidth="1"/>
    <col min="3" max="8" width="13.25" style="114" customWidth="1"/>
    <col min="9" max="9" width="18.75" style="114" customWidth="1"/>
    <col min="10" max="10" width="12.375" style="113" customWidth="1"/>
    <col min="11" max="11" width="10.125" style="113" customWidth="1"/>
    <col min="12" max="18" width="9" style="113" customWidth="1"/>
    <col min="19" max="35" width="9" style="113"/>
    <col min="36" max="36" width="4.375" style="113" customWidth="1"/>
    <col min="37" max="37" width="13.875" style="113" customWidth="1"/>
    <col min="38" max="16384" width="9" style="113"/>
  </cols>
  <sheetData>
    <row r="1" spans="1:38">
      <c r="A1" s="224" t="s">
        <v>150</v>
      </c>
      <c r="B1" s="224"/>
      <c r="C1" s="228" t="s">
        <v>163</v>
      </c>
      <c r="D1" s="229"/>
      <c r="E1" s="229"/>
      <c r="F1" s="229"/>
      <c r="G1" s="229"/>
      <c r="H1" s="229"/>
      <c r="I1" s="230"/>
    </row>
    <row r="2" spans="1:38">
      <c r="A2" s="224" t="s">
        <v>152</v>
      </c>
      <c r="B2" s="224"/>
      <c r="C2" s="231" t="str">
        <f>'2023年'!C2:I2</f>
        <v>北京汽车集团越野车有限公司</v>
      </c>
      <c r="D2" s="231"/>
      <c r="E2" s="231"/>
      <c r="F2" s="231"/>
      <c r="G2" s="231"/>
      <c r="H2" s="231"/>
      <c r="I2" s="231"/>
    </row>
    <row r="3" spans="1:38">
      <c r="A3" s="224" t="s">
        <v>153</v>
      </c>
      <c r="B3" s="224"/>
      <c r="C3" s="34" t="str">
        <f>销量!C5</f>
        <v>左后门上饰条总成</v>
      </c>
      <c r="D3" s="34" t="str">
        <f>销量!D5</f>
        <v>右后门上饰条总成</v>
      </c>
      <c r="E3" s="34" t="str">
        <f>销量!E5</f>
        <v>左前门上饰条总成</v>
      </c>
      <c r="F3" s="34" t="str">
        <f>销量!F5</f>
        <v>右前门上饰条总成</v>
      </c>
      <c r="G3" s="34">
        <f>销量!G5</f>
        <v>0</v>
      </c>
      <c r="H3" s="34">
        <f>销量!H5</f>
        <v>0</v>
      </c>
      <c r="I3" s="225" t="s">
        <v>25</v>
      </c>
    </row>
    <row r="4" spans="1:38">
      <c r="A4" s="224" t="s">
        <v>154</v>
      </c>
      <c r="B4" s="224"/>
      <c r="C4" s="34" t="str">
        <f>销量!C6</f>
        <v>B00041333</v>
      </c>
      <c r="D4" s="34" t="str">
        <f>销量!D6</f>
        <v>B00041343</v>
      </c>
      <c r="E4" s="34" t="str">
        <f>销量!E6</f>
        <v>B00041331</v>
      </c>
      <c r="F4" s="34" t="str">
        <f>销量!F6</f>
        <v>B00041332</v>
      </c>
      <c r="G4" s="34">
        <f>销量!G6</f>
        <v>0</v>
      </c>
      <c r="H4" s="34">
        <f>销量!H6</f>
        <v>0</v>
      </c>
      <c r="I4" s="226"/>
    </row>
    <row r="5" spans="1:38">
      <c r="A5" s="224" t="s">
        <v>155</v>
      </c>
      <c r="B5" s="224"/>
      <c r="C5" s="116"/>
      <c r="D5" s="116"/>
      <c r="E5" s="116"/>
      <c r="F5" s="116"/>
      <c r="G5" s="116"/>
      <c r="H5" s="116"/>
      <c r="I5" s="227"/>
      <c r="AL5" s="113" t="s">
        <v>26</v>
      </c>
    </row>
    <row r="6" spans="1:38" ht="17.25">
      <c r="A6" s="117" t="s">
        <v>19</v>
      </c>
      <c r="B6" s="118" t="s">
        <v>156</v>
      </c>
      <c r="C6" s="56">
        <f>销量!C11</f>
        <v>10000</v>
      </c>
      <c r="D6" s="56">
        <f>销量!D11</f>
        <v>10000</v>
      </c>
      <c r="E6" s="56">
        <f>销量!E11</f>
        <v>10000</v>
      </c>
      <c r="F6" s="56">
        <f>销量!F11</f>
        <v>10000</v>
      </c>
      <c r="G6" s="56">
        <f>销量!G11</f>
        <v>0</v>
      </c>
      <c r="H6" s="56">
        <f>销量!H11</f>
        <v>0</v>
      </c>
      <c r="I6" s="119">
        <f>SUM(C6:H6)</f>
        <v>40000</v>
      </c>
      <c r="T6" s="118" t="s">
        <v>3</v>
      </c>
      <c r="AJ6" s="117" t="s">
        <v>19</v>
      </c>
      <c r="AK6" s="118" t="s">
        <v>3</v>
      </c>
      <c r="AL6" s="113" t="s">
        <v>27</v>
      </c>
    </row>
    <row r="7" spans="1:38">
      <c r="A7" s="115">
        <v>1</v>
      </c>
      <c r="B7" s="118" t="s">
        <v>28</v>
      </c>
      <c r="C7" s="119">
        <f>C6*销量!C8</f>
        <v>383100</v>
      </c>
      <c r="D7" s="119">
        <f>D6*销量!D8</f>
        <v>383100</v>
      </c>
      <c r="E7" s="119">
        <f>E6*销量!E8</f>
        <v>474900</v>
      </c>
      <c r="F7" s="119">
        <f>F6*销量!F8</f>
        <v>474900</v>
      </c>
      <c r="G7" s="119">
        <f>G6*销量!G8</f>
        <v>0</v>
      </c>
      <c r="H7" s="119">
        <f>H6*销量!H8</f>
        <v>0</v>
      </c>
      <c r="I7" s="119">
        <f>SUM(C7:H7)</f>
        <v>1716000</v>
      </c>
      <c r="J7" s="114"/>
      <c r="T7" s="118" t="s">
        <v>28</v>
      </c>
      <c r="AJ7" s="117" t="s">
        <v>29</v>
      </c>
      <c r="AK7" s="118" t="s">
        <v>28</v>
      </c>
      <c r="AL7" s="113" t="s">
        <v>27</v>
      </c>
    </row>
    <row r="8" spans="1:38">
      <c r="A8" s="115">
        <v>2</v>
      </c>
      <c r="B8" s="115" t="s">
        <v>30</v>
      </c>
      <c r="C8" s="119">
        <f>C7*(1-销量!$L$8)</f>
        <v>0</v>
      </c>
      <c r="D8" s="119">
        <f>D7*(1-销量!$L$8)</f>
        <v>0</v>
      </c>
      <c r="E8" s="119">
        <f>E7*(1-销量!$L$8)</f>
        <v>0</v>
      </c>
      <c r="F8" s="119">
        <f>F7*(1-销量!$L$8)</f>
        <v>0</v>
      </c>
      <c r="G8" s="119">
        <f>G7*(1-销量!$L$8)</f>
        <v>0</v>
      </c>
      <c r="H8" s="119">
        <f>H7*(1-销量!$L$8)</f>
        <v>0</v>
      </c>
      <c r="I8" s="119">
        <f t="shared" ref="I8:I15" si="0">SUM(C8:H8)</f>
        <v>0</v>
      </c>
      <c r="J8" s="131"/>
      <c r="T8" s="115" t="s">
        <v>32</v>
      </c>
      <c r="AJ8" s="117" t="s">
        <v>31</v>
      </c>
      <c r="AK8" s="115" t="s">
        <v>32</v>
      </c>
      <c r="AL8" s="113" t="s">
        <v>27</v>
      </c>
    </row>
    <row r="9" spans="1:38">
      <c r="A9" s="115">
        <v>3</v>
      </c>
      <c r="B9" s="118" t="s">
        <v>33</v>
      </c>
      <c r="C9" s="119">
        <f>+C7-C8</f>
        <v>383100</v>
      </c>
      <c r="D9" s="119">
        <f t="shared" ref="D9:H9" si="1">+D7-D8</f>
        <v>383100</v>
      </c>
      <c r="E9" s="119">
        <f t="shared" si="1"/>
        <v>474900</v>
      </c>
      <c r="F9" s="119">
        <f t="shared" si="1"/>
        <v>474900</v>
      </c>
      <c r="G9" s="119">
        <f t="shared" si="1"/>
        <v>0</v>
      </c>
      <c r="H9" s="119">
        <f t="shared" si="1"/>
        <v>0</v>
      </c>
      <c r="I9" s="119">
        <f t="shared" si="0"/>
        <v>1716000</v>
      </c>
      <c r="T9" s="118" t="s">
        <v>33</v>
      </c>
      <c r="AJ9" s="117" t="s">
        <v>34</v>
      </c>
      <c r="AK9" s="118" t="s">
        <v>33</v>
      </c>
      <c r="AL9" s="113" t="s">
        <v>35</v>
      </c>
    </row>
    <row r="10" spans="1:38">
      <c r="A10" s="115">
        <v>4</v>
      </c>
      <c r="B10" s="117" t="s">
        <v>36</v>
      </c>
      <c r="C10" s="119">
        <f>C6*材料成本!G18</f>
        <v>382299.99999999994</v>
      </c>
      <c r="D10" s="119">
        <f>D6*材料成本!G19</f>
        <v>382299.99999999994</v>
      </c>
      <c r="E10" s="119">
        <f>E6*材料成本!G20</f>
        <v>443300</v>
      </c>
      <c r="F10" s="119">
        <f>F6*材料成本!G21</f>
        <v>443300</v>
      </c>
      <c r="G10" s="119">
        <f>G6*材料成本!G22</f>
        <v>0</v>
      </c>
      <c r="H10" s="119"/>
      <c r="I10" s="119">
        <f t="shared" si="0"/>
        <v>1651200</v>
      </c>
      <c r="T10" s="117" t="s">
        <v>36</v>
      </c>
      <c r="AJ10" s="117" t="s">
        <v>37</v>
      </c>
      <c r="AK10" s="117" t="s">
        <v>36</v>
      </c>
      <c r="AL10" s="113" t="s">
        <v>38</v>
      </c>
    </row>
    <row r="11" spans="1:38">
      <c r="A11" s="115">
        <v>5</v>
      </c>
      <c r="B11" s="117" t="s">
        <v>39</v>
      </c>
      <c r="C11" s="119">
        <f>+C6*C36</f>
        <v>0</v>
      </c>
      <c r="D11" s="119">
        <f t="shared" ref="D11:H11" si="2">+D6*D36</f>
        <v>0</v>
      </c>
      <c r="E11" s="119">
        <f t="shared" si="2"/>
        <v>0</v>
      </c>
      <c r="F11" s="119">
        <f t="shared" si="2"/>
        <v>0</v>
      </c>
      <c r="G11" s="119">
        <f t="shared" si="2"/>
        <v>0</v>
      </c>
      <c r="H11" s="119">
        <f t="shared" si="2"/>
        <v>0</v>
      </c>
      <c r="I11" s="119">
        <f t="shared" si="0"/>
        <v>0</v>
      </c>
      <c r="T11" s="117" t="s">
        <v>39</v>
      </c>
      <c r="AJ11" s="117" t="s">
        <v>40</v>
      </c>
      <c r="AK11" s="117" t="s">
        <v>39</v>
      </c>
    </row>
    <row r="12" spans="1:38">
      <c r="A12" s="115">
        <v>6</v>
      </c>
      <c r="B12" s="117" t="s">
        <v>41</v>
      </c>
      <c r="C12" s="119">
        <f>+C6*C37</f>
        <v>0</v>
      </c>
      <c r="D12" s="119">
        <f t="shared" ref="D12:H12" si="3">+D6*D37</f>
        <v>0</v>
      </c>
      <c r="E12" s="119">
        <f t="shared" si="3"/>
        <v>0</v>
      </c>
      <c r="F12" s="119">
        <f t="shared" si="3"/>
        <v>0</v>
      </c>
      <c r="G12" s="119">
        <f t="shared" si="3"/>
        <v>0</v>
      </c>
      <c r="H12" s="119">
        <f t="shared" si="3"/>
        <v>0</v>
      </c>
      <c r="I12" s="119">
        <f t="shared" si="0"/>
        <v>0</v>
      </c>
      <c r="T12" s="117" t="s">
        <v>41</v>
      </c>
      <c r="AJ12" s="117" t="s">
        <v>42</v>
      </c>
      <c r="AK12" s="117" t="s">
        <v>41</v>
      </c>
    </row>
    <row r="13" spans="1:38">
      <c r="A13" s="115">
        <v>7</v>
      </c>
      <c r="B13" s="117" t="s">
        <v>43</v>
      </c>
      <c r="C13" s="119">
        <f>+C6*C38</f>
        <v>22265.772000000001</v>
      </c>
      <c r="D13" s="119">
        <f t="shared" ref="D13:H13" si="4">+D6*D38</f>
        <v>22265.772000000001</v>
      </c>
      <c r="E13" s="119">
        <f t="shared" si="4"/>
        <v>27601.187999999998</v>
      </c>
      <c r="F13" s="119">
        <f t="shared" si="4"/>
        <v>27601.187999999998</v>
      </c>
      <c r="G13" s="119">
        <f t="shared" si="4"/>
        <v>0</v>
      </c>
      <c r="H13" s="119">
        <f t="shared" si="4"/>
        <v>0</v>
      </c>
      <c r="I13" s="119">
        <f t="shared" si="0"/>
        <v>99733.92</v>
      </c>
      <c r="T13" s="117" t="s">
        <v>43</v>
      </c>
      <c r="AJ13" s="117" t="s">
        <v>44</v>
      </c>
      <c r="AK13" s="117" t="s">
        <v>43</v>
      </c>
      <c r="AL13" s="113" t="s">
        <v>27</v>
      </c>
    </row>
    <row r="14" spans="1:38">
      <c r="A14" s="115">
        <v>8</v>
      </c>
      <c r="B14" s="120" t="s">
        <v>45</v>
      </c>
      <c r="C14" s="119">
        <f>SUM(C11:C13)</f>
        <v>22265.772000000001</v>
      </c>
      <c r="D14" s="119">
        <f t="shared" ref="D14:H14" si="5">SUM(D11:D13)</f>
        <v>22265.772000000001</v>
      </c>
      <c r="E14" s="119">
        <f t="shared" si="5"/>
        <v>27601.187999999998</v>
      </c>
      <c r="F14" s="119">
        <f t="shared" si="5"/>
        <v>27601.187999999998</v>
      </c>
      <c r="G14" s="119">
        <f t="shared" si="5"/>
        <v>0</v>
      </c>
      <c r="H14" s="119">
        <f t="shared" si="5"/>
        <v>0</v>
      </c>
      <c r="I14" s="119">
        <f t="shared" si="0"/>
        <v>99733.92</v>
      </c>
      <c r="T14" s="120" t="s">
        <v>45</v>
      </c>
      <c r="AJ14" s="117" t="s">
        <v>46</v>
      </c>
      <c r="AK14" s="120" t="s">
        <v>45</v>
      </c>
    </row>
    <row r="15" spans="1:38">
      <c r="A15" s="115">
        <v>9</v>
      </c>
      <c r="B15" s="120" t="s">
        <v>47</v>
      </c>
      <c r="C15" s="119">
        <f>+C9-C10-C14</f>
        <v>-21465.771999999943</v>
      </c>
      <c r="D15" s="119">
        <f t="shared" ref="D15:H15" si="6">+D9-D10-D14</f>
        <v>-21465.771999999943</v>
      </c>
      <c r="E15" s="119">
        <f t="shared" si="6"/>
        <v>3998.8120000000017</v>
      </c>
      <c r="F15" s="119">
        <f t="shared" si="6"/>
        <v>3998.8120000000017</v>
      </c>
      <c r="G15" s="119">
        <f t="shared" si="6"/>
        <v>0</v>
      </c>
      <c r="H15" s="119">
        <f t="shared" si="6"/>
        <v>0</v>
      </c>
      <c r="I15" s="119">
        <f t="shared" si="0"/>
        <v>-34933.919999999882</v>
      </c>
      <c r="T15" s="120" t="s">
        <v>47</v>
      </c>
      <c r="AJ15" s="117" t="s">
        <v>48</v>
      </c>
      <c r="AK15" s="120" t="s">
        <v>47</v>
      </c>
    </row>
    <row r="16" spans="1:38">
      <c r="A16" s="115">
        <v>10</v>
      </c>
      <c r="B16" s="117" t="s">
        <v>49</v>
      </c>
      <c r="C16" s="121">
        <f>+C15/C9</f>
        <v>-5.6031772383189619E-2</v>
      </c>
      <c r="D16" s="121">
        <f t="shared" ref="D16:H16" si="7">+D15/D9</f>
        <v>-5.6031772383189619E-2</v>
      </c>
      <c r="E16" s="121">
        <f t="shared" si="7"/>
        <v>8.4203242787955403E-3</v>
      </c>
      <c r="F16" s="121">
        <f t="shared" si="7"/>
        <v>8.4203242787955403E-3</v>
      </c>
      <c r="G16" s="121" t="e">
        <f t="shared" si="7"/>
        <v>#DIV/0!</v>
      </c>
      <c r="H16" s="121" t="e">
        <f t="shared" si="7"/>
        <v>#DIV/0!</v>
      </c>
      <c r="I16" s="121">
        <f t="shared" ref="I16" si="8">+I15/I9</f>
        <v>-2.0357762237762169E-2</v>
      </c>
      <c r="T16" s="117" t="s">
        <v>49</v>
      </c>
      <c r="AJ16" s="117" t="s">
        <v>50</v>
      </c>
      <c r="AK16" s="117" t="s">
        <v>49</v>
      </c>
    </row>
    <row r="17" spans="1:38">
      <c r="A17" s="115">
        <v>11</v>
      </c>
      <c r="B17" s="117" t="s">
        <v>51</v>
      </c>
      <c r="C17" s="119">
        <f>C6*C43+C18</f>
        <v>20995</v>
      </c>
      <c r="D17" s="119">
        <f t="shared" ref="D17:H17" si="9">D6*D43+D18</f>
        <v>20995</v>
      </c>
      <c r="E17" s="119">
        <f t="shared" si="9"/>
        <v>20995</v>
      </c>
      <c r="F17" s="119">
        <f t="shared" si="9"/>
        <v>20995</v>
      </c>
      <c r="G17" s="119">
        <f t="shared" si="9"/>
        <v>0</v>
      </c>
      <c r="H17" s="119">
        <f t="shared" si="9"/>
        <v>0</v>
      </c>
      <c r="I17" s="119">
        <f>SUM(C17:H17)</f>
        <v>83980</v>
      </c>
      <c r="J17" s="131"/>
      <c r="T17" s="117" t="s">
        <v>51</v>
      </c>
      <c r="AJ17" s="117" t="s">
        <v>52</v>
      </c>
      <c r="AK17" s="117" t="s">
        <v>51</v>
      </c>
    </row>
    <row r="18" spans="1:38" s="111" customFormat="1">
      <c r="A18" s="115">
        <v>12</v>
      </c>
      <c r="B18" s="122" t="s">
        <v>157</v>
      </c>
      <c r="C18" s="123">
        <f>$I$18/$I$6*C6</f>
        <v>20995</v>
      </c>
      <c r="D18" s="123">
        <f t="shared" ref="D18:H18" si="10">$I$18/$I$6*D6</f>
        <v>20995</v>
      </c>
      <c r="E18" s="123">
        <f t="shared" si="10"/>
        <v>20995</v>
      </c>
      <c r="F18" s="123">
        <f t="shared" si="10"/>
        <v>20995</v>
      </c>
      <c r="G18" s="123">
        <f t="shared" si="10"/>
        <v>0</v>
      </c>
      <c r="H18" s="123">
        <f t="shared" si="10"/>
        <v>0</v>
      </c>
      <c r="I18" s="123">
        <f>项目投资!D26</f>
        <v>83980</v>
      </c>
      <c r="J18" s="132" t="s">
        <v>158</v>
      </c>
      <c r="K18" s="132"/>
      <c r="L18" s="132"/>
    </row>
    <row r="19" spans="1:38">
      <c r="A19" s="115">
        <v>13</v>
      </c>
      <c r="B19" s="117" t="s">
        <v>53</v>
      </c>
      <c r="C19" s="119">
        <f>C6*C44</f>
        <v>8232.8189999999995</v>
      </c>
      <c r="D19" s="119">
        <f t="shared" ref="D19:G19" si="11">D6*D44</f>
        <v>8232.8189999999995</v>
      </c>
      <c r="E19" s="119">
        <f t="shared" si="11"/>
        <v>10205.601000000001</v>
      </c>
      <c r="F19" s="119">
        <f t="shared" si="11"/>
        <v>10205.601000000001</v>
      </c>
      <c r="G19" s="119">
        <f t="shared" si="11"/>
        <v>0</v>
      </c>
      <c r="H19" s="119">
        <f t="shared" ref="H19" si="12">H6*H44</f>
        <v>0</v>
      </c>
      <c r="I19" s="119">
        <f>SUM(C19:G19)</f>
        <v>36876.840000000004</v>
      </c>
      <c r="J19" s="111"/>
      <c r="T19" s="117" t="s">
        <v>53</v>
      </c>
      <c r="AJ19" s="117" t="s">
        <v>54</v>
      </c>
      <c r="AK19" s="117" t="s">
        <v>53</v>
      </c>
      <c r="AL19" s="113" t="s">
        <v>27</v>
      </c>
    </row>
    <row r="20" spans="1:38">
      <c r="A20" s="115">
        <v>14</v>
      </c>
      <c r="B20" s="117" t="s">
        <v>55</v>
      </c>
      <c r="C20" s="119">
        <f>C6*C45</f>
        <v>11243.985000000001</v>
      </c>
      <c r="D20" s="119">
        <f t="shared" ref="D20:H20" si="13">D6*D45</f>
        <v>11243.985000000001</v>
      </c>
      <c r="E20" s="119">
        <f t="shared" si="13"/>
        <v>13938.315000000001</v>
      </c>
      <c r="F20" s="119">
        <f t="shared" si="13"/>
        <v>13938.315000000001</v>
      </c>
      <c r="G20" s="119">
        <f t="shared" si="13"/>
        <v>0</v>
      </c>
      <c r="H20" s="119">
        <f t="shared" si="13"/>
        <v>0</v>
      </c>
      <c r="I20" s="119">
        <f>SUM(C20:H20)</f>
        <v>50364.600000000006</v>
      </c>
      <c r="T20" s="117" t="s">
        <v>55</v>
      </c>
      <c r="AJ20" s="117" t="s">
        <v>56</v>
      </c>
      <c r="AK20" s="117" t="s">
        <v>55</v>
      </c>
    </row>
    <row r="21" spans="1:38">
      <c r="A21" s="115">
        <v>15</v>
      </c>
      <c r="B21" s="117" t="s">
        <v>57</v>
      </c>
      <c r="C21" s="124">
        <f>$I$21/$I$6*C6</f>
        <v>0</v>
      </c>
      <c r="D21" s="124">
        <f t="shared" ref="D21:H21" si="14">$I$21/$I$6*D6</f>
        <v>0</v>
      </c>
      <c r="E21" s="124">
        <f t="shared" si="14"/>
        <v>0</v>
      </c>
      <c r="F21" s="124">
        <f t="shared" si="14"/>
        <v>0</v>
      </c>
      <c r="G21" s="124">
        <f t="shared" si="14"/>
        <v>0</v>
      </c>
      <c r="H21" s="124">
        <f t="shared" si="14"/>
        <v>0</v>
      </c>
      <c r="I21" s="119">
        <f>项目投资!D27</f>
        <v>0</v>
      </c>
      <c r="T21" s="117" t="s">
        <v>57</v>
      </c>
      <c r="AJ21" s="117"/>
      <c r="AK21" s="117"/>
    </row>
    <row r="22" spans="1:38">
      <c r="A22" s="115">
        <v>16</v>
      </c>
      <c r="B22" s="117" t="s">
        <v>58</v>
      </c>
      <c r="C22" s="119">
        <f>C6*C47</f>
        <v>8160.0300000000007</v>
      </c>
      <c r="D22" s="119">
        <f t="shared" ref="D22:H22" si="15">D6*D47</f>
        <v>8160.0300000000007</v>
      </c>
      <c r="E22" s="119">
        <f t="shared" si="15"/>
        <v>10115.369999999999</v>
      </c>
      <c r="F22" s="119">
        <f t="shared" si="15"/>
        <v>10115.369999999999</v>
      </c>
      <c r="G22" s="119">
        <f t="shared" si="15"/>
        <v>0</v>
      </c>
      <c r="H22" s="119">
        <f t="shared" si="15"/>
        <v>0</v>
      </c>
      <c r="I22" s="119">
        <f>SUM(C22:H22)</f>
        <v>36550.800000000003</v>
      </c>
      <c r="T22" s="117" t="s">
        <v>58</v>
      </c>
      <c r="AJ22" s="117" t="s">
        <v>59</v>
      </c>
      <c r="AK22" s="117" t="s">
        <v>58</v>
      </c>
    </row>
    <row r="23" spans="1:38">
      <c r="A23" s="115">
        <v>17</v>
      </c>
      <c r="B23" s="120" t="s">
        <v>60</v>
      </c>
      <c r="C23" s="124">
        <f>+C22+C21+C20+C19+C17</f>
        <v>48631.834000000003</v>
      </c>
      <c r="D23" s="124">
        <f t="shared" ref="D23:H23" si="16">+D22+D21+D20+D19+D17</f>
        <v>48631.834000000003</v>
      </c>
      <c r="E23" s="124">
        <f t="shared" si="16"/>
        <v>55254.286</v>
      </c>
      <c r="F23" s="124">
        <f t="shared" si="16"/>
        <v>55254.286</v>
      </c>
      <c r="G23" s="124">
        <f t="shared" si="16"/>
        <v>0</v>
      </c>
      <c r="H23" s="124">
        <f t="shared" si="16"/>
        <v>0</v>
      </c>
      <c r="I23" s="124">
        <f t="shared" ref="I23" si="17">+I22+I21+I20+I19+I17</f>
        <v>207772.24000000002</v>
      </c>
      <c r="T23" s="120" t="s">
        <v>60</v>
      </c>
      <c r="AJ23" s="117" t="s">
        <v>61</v>
      </c>
      <c r="AK23" s="120" t="s">
        <v>60</v>
      </c>
    </row>
    <row r="24" spans="1:38">
      <c r="A24" s="115">
        <v>18</v>
      </c>
      <c r="B24" s="125" t="s">
        <v>62</v>
      </c>
      <c r="C24" s="124">
        <f>+C15-C23</f>
        <v>-70097.605999999942</v>
      </c>
      <c r="D24" s="124">
        <f t="shared" ref="D24:H24" si="18">+D15-D23</f>
        <v>-70097.605999999942</v>
      </c>
      <c r="E24" s="124">
        <f t="shared" si="18"/>
        <v>-51255.474000000002</v>
      </c>
      <c r="F24" s="124">
        <f t="shared" si="18"/>
        <v>-51255.474000000002</v>
      </c>
      <c r="G24" s="124">
        <f t="shared" si="18"/>
        <v>0</v>
      </c>
      <c r="H24" s="124">
        <f t="shared" si="18"/>
        <v>0</v>
      </c>
      <c r="I24" s="124">
        <f t="shared" ref="I24" si="19">+I15-I23</f>
        <v>-242706.15999999992</v>
      </c>
      <c r="K24" s="133"/>
      <c r="T24" s="117" t="s">
        <v>62</v>
      </c>
      <c r="AJ24" s="117" t="s">
        <v>63</v>
      </c>
      <c r="AK24" s="117" t="s">
        <v>62</v>
      </c>
    </row>
    <row r="25" spans="1:38">
      <c r="A25" s="115">
        <v>19</v>
      </c>
      <c r="B25" s="117" t="s">
        <v>159</v>
      </c>
      <c r="C25" s="124">
        <f>IF(C24&lt;0,0,C24*0.25)</f>
        <v>0</v>
      </c>
      <c r="D25" s="124">
        <f>IF(D24&lt;0,0,D24*0.15)</f>
        <v>0</v>
      </c>
      <c r="E25" s="124">
        <f t="shared" ref="E25:I25" si="20">IF(E24&lt;0,0,E24*0.25)</f>
        <v>0</v>
      </c>
      <c r="F25" s="124">
        <f>IF(F24&lt;0,0,F24*0.15)</f>
        <v>0</v>
      </c>
      <c r="G25" s="124">
        <f t="shared" si="20"/>
        <v>0</v>
      </c>
      <c r="H25" s="124">
        <f t="shared" si="20"/>
        <v>0</v>
      </c>
      <c r="I25" s="124">
        <f t="shared" si="20"/>
        <v>0</v>
      </c>
      <c r="J25" s="2"/>
      <c r="K25" s="2"/>
      <c r="L25" s="2"/>
      <c r="T25" s="117" t="s">
        <v>64</v>
      </c>
      <c r="AJ25" s="117" t="s">
        <v>65</v>
      </c>
      <c r="AK25" s="117" t="s">
        <v>64</v>
      </c>
    </row>
    <row r="26" spans="1:38">
      <c r="A26" s="115">
        <v>20</v>
      </c>
      <c r="B26" s="117" t="s">
        <v>66</v>
      </c>
      <c r="C26" s="124">
        <f t="shared" ref="C26:H26" si="21">C24-C25</f>
        <v>-70097.605999999942</v>
      </c>
      <c r="D26" s="124">
        <f t="shared" si="21"/>
        <v>-70097.605999999942</v>
      </c>
      <c r="E26" s="124">
        <f t="shared" si="21"/>
        <v>-51255.474000000002</v>
      </c>
      <c r="F26" s="124">
        <f t="shared" si="21"/>
        <v>-51255.474000000002</v>
      </c>
      <c r="G26" s="124">
        <f t="shared" si="21"/>
        <v>0</v>
      </c>
      <c r="H26" s="124">
        <f t="shared" si="21"/>
        <v>0</v>
      </c>
      <c r="I26" s="119">
        <f>+SUM(C26:H26)</f>
        <v>-242706.15999999986</v>
      </c>
      <c r="J26" s="2"/>
      <c r="K26" s="2"/>
      <c r="L26" s="2"/>
      <c r="T26" s="117" t="s">
        <v>66</v>
      </c>
      <c r="AJ26" s="117" t="s">
        <v>67</v>
      </c>
      <c r="AK26" s="117" t="s">
        <v>66</v>
      </c>
    </row>
    <row r="27" spans="1:38">
      <c r="A27" s="115">
        <v>21</v>
      </c>
      <c r="B27" s="117" t="s">
        <v>70</v>
      </c>
      <c r="C27" s="126">
        <f t="shared" ref="C27:I27" si="22">C26/C7</f>
        <v>-0.18297469590185314</v>
      </c>
      <c r="D27" s="126">
        <f t="shared" ref="D27:H27" si="23">D26/D7</f>
        <v>-0.18297469590185314</v>
      </c>
      <c r="E27" s="126">
        <f t="shared" si="23"/>
        <v>-0.10792898294377765</v>
      </c>
      <c r="F27" s="126">
        <f t="shared" si="23"/>
        <v>-0.10792898294377765</v>
      </c>
      <c r="G27" s="126" t="e">
        <f t="shared" si="23"/>
        <v>#DIV/0!</v>
      </c>
      <c r="H27" s="126" t="e">
        <f t="shared" si="23"/>
        <v>#DIV/0!</v>
      </c>
      <c r="I27" s="126">
        <f t="shared" si="22"/>
        <v>-0.1414371561771561</v>
      </c>
      <c r="J27" s="134"/>
      <c r="K27" s="2"/>
      <c r="L27" s="2"/>
      <c r="T27" s="117" t="s">
        <v>70</v>
      </c>
      <c r="AJ27" s="117" t="s">
        <v>69</v>
      </c>
      <c r="AK27" s="117" t="s">
        <v>70</v>
      </c>
    </row>
    <row r="28" spans="1:38">
      <c r="J28" s="2"/>
      <c r="K28" s="2"/>
      <c r="L28" s="2"/>
      <c r="T28" s="117"/>
    </row>
    <row r="29" spans="1:38">
      <c r="A29" s="113" t="s">
        <v>71</v>
      </c>
      <c r="I29" s="114" t="s">
        <v>160</v>
      </c>
      <c r="J29" s="2"/>
      <c r="K29" s="2"/>
      <c r="L29" s="2"/>
      <c r="T29" s="117"/>
      <c r="AJ29" s="113" t="s">
        <v>71</v>
      </c>
    </row>
    <row r="30" spans="1:38">
      <c r="A30" s="117" t="s">
        <v>75</v>
      </c>
      <c r="B30" s="120" t="s">
        <v>76</v>
      </c>
      <c r="C30" s="124"/>
      <c r="D30" s="124"/>
      <c r="E30" s="124"/>
      <c r="F30" s="124"/>
      <c r="G30" s="124"/>
      <c r="H30" s="124"/>
      <c r="I30" s="124"/>
      <c r="J30" s="2"/>
      <c r="K30" s="2"/>
      <c r="L30" s="2"/>
      <c r="N30" s="2"/>
      <c r="T30" s="120" t="s">
        <v>76</v>
      </c>
      <c r="AJ30" s="117" t="s">
        <v>77</v>
      </c>
      <c r="AK30" s="120" t="s">
        <v>76</v>
      </c>
    </row>
    <row r="31" spans="1:38">
      <c r="A31" s="115">
        <v>1</v>
      </c>
      <c r="B31" s="122" t="s">
        <v>78</v>
      </c>
      <c r="C31" s="127">
        <f>销量!C8</f>
        <v>38.31</v>
      </c>
      <c r="D31" s="127">
        <f>销量!D8</f>
        <v>38.31</v>
      </c>
      <c r="E31" s="127">
        <f>销量!E8</f>
        <v>47.49</v>
      </c>
      <c r="F31" s="127">
        <f>销量!F8</f>
        <v>47.49</v>
      </c>
      <c r="G31" s="127">
        <f>销量!G8</f>
        <v>0</v>
      </c>
      <c r="H31" s="127">
        <f>销量!H8</f>
        <v>0</v>
      </c>
      <c r="I31" s="124"/>
      <c r="J31" s="2"/>
      <c r="K31" s="2"/>
      <c r="L31" s="2"/>
      <c r="N31" s="2"/>
      <c r="T31" s="117" t="s">
        <v>78</v>
      </c>
      <c r="AJ31" s="117" t="s">
        <v>29</v>
      </c>
      <c r="AK31" s="117" t="s">
        <v>78</v>
      </c>
    </row>
    <row r="32" spans="1:38">
      <c r="A32" s="115">
        <v>2</v>
      </c>
      <c r="B32" s="117" t="s">
        <v>161</v>
      </c>
      <c r="C32" s="119">
        <f>C9/C6</f>
        <v>38.31</v>
      </c>
      <c r="D32" s="119">
        <f t="shared" ref="D32:H32" si="24">D9/D6</f>
        <v>38.31</v>
      </c>
      <c r="E32" s="119">
        <f t="shared" si="24"/>
        <v>47.49</v>
      </c>
      <c r="F32" s="119">
        <f t="shared" si="24"/>
        <v>47.49</v>
      </c>
      <c r="G32" s="119" t="e">
        <f t="shared" si="24"/>
        <v>#DIV/0!</v>
      </c>
      <c r="H32" s="119" t="e">
        <f t="shared" si="24"/>
        <v>#DIV/0!</v>
      </c>
      <c r="I32" s="124"/>
      <c r="J32" s="2"/>
      <c r="K32" s="2"/>
      <c r="L32" s="2"/>
      <c r="M32" s="2"/>
      <c r="N32" s="2"/>
      <c r="O32" s="2"/>
      <c r="P32" s="2"/>
      <c r="AJ32" s="117"/>
      <c r="AK32" s="117"/>
    </row>
    <row r="33" spans="1:37">
      <c r="A33" s="115">
        <v>3</v>
      </c>
      <c r="B33" s="122" t="s">
        <v>79</v>
      </c>
      <c r="C33" s="119">
        <f>材料成本!G18</f>
        <v>38.229999999999997</v>
      </c>
      <c r="D33" s="119">
        <f>材料成本!G19</f>
        <v>38.229999999999997</v>
      </c>
      <c r="E33" s="119">
        <f>材料成本!G20</f>
        <v>44.33</v>
      </c>
      <c r="F33" s="119">
        <f>材料成本!G21</f>
        <v>44.33</v>
      </c>
      <c r="G33" s="119">
        <f>材料成本!G22</f>
        <v>0</v>
      </c>
      <c r="H33" s="119"/>
      <c r="I33" s="124"/>
      <c r="K33" s="2"/>
      <c r="L33" s="2"/>
      <c r="M33" s="2"/>
      <c r="N33" s="2"/>
      <c r="O33" s="2"/>
      <c r="P33" s="2"/>
      <c r="T33" s="117" t="s">
        <v>79</v>
      </c>
      <c r="AJ33" s="117" t="s">
        <v>31</v>
      </c>
      <c r="AK33" s="117" t="s">
        <v>79</v>
      </c>
    </row>
    <row r="34" spans="1:37" ht="17.25" customHeight="1">
      <c r="A34" s="115">
        <v>4</v>
      </c>
      <c r="B34" s="117" t="s">
        <v>81</v>
      </c>
      <c r="C34" s="128">
        <f>C32-C33</f>
        <v>8.00000000000054E-2</v>
      </c>
      <c r="D34" s="128">
        <f t="shared" ref="D34:H34" si="25">D32-D33</f>
        <v>8.00000000000054E-2</v>
      </c>
      <c r="E34" s="128">
        <f t="shared" si="25"/>
        <v>3.1600000000000037</v>
      </c>
      <c r="F34" s="128">
        <f t="shared" si="25"/>
        <v>3.1600000000000037</v>
      </c>
      <c r="G34" s="128" t="e">
        <f t="shared" si="25"/>
        <v>#DIV/0!</v>
      </c>
      <c r="H34" s="128" t="e">
        <f t="shared" si="25"/>
        <v>#DIV/0!</v>
      </c>
      <c r="I34" s="124"/>
      <c r="K34" s="2"/>
      <c r="L34" s="2"/>
      <c r="M34" s="2"/>
      <c r="N34" s="2"/>
      <c r="O34" s="2"/>
      <c r="P34" s="2"/>
      <c r="T34" s="117" t="s">
        <v>81</v>
      </c>
      <c r="AJ34" s="117" t="s">
        <v>80</v>
      </c>
      <c r="AK34" s="117" t="s">
        <v>81</v>
      </c>
    </row>
    <row r="35" spans="1:37">
      <c r="A35" s="117" t="s">
        <v>77</v>
      </c>
      <c r="B35" s="120" t="s">
        <v>10</v>
      </c>
      <c r="C35" s="124"/>
      <c r="D35" s="124"/>
      <c r="E35" s="124"/>
      <c r="F35" s="124"/>
      <c r="G35" s="124"/>
      <c r="H35" s="124"/>
      <c r="I35" s="124"/>
      <c r="J35" s="2"/>
      <c r="K35" s="2"/>
      <c r="L35" s="2"/>
      <c r="M35" s="2"/>
      <c r="N35" s="2"/>
      <c r="O35" s="2"/>
      <c r="P35" s="2"/>
      <c r="Q35" s="2"/>
      <c r="R35" s="2"/>
      <c r="S35" s="2"/>
      <c r="T35" s="120" t="s">
        <v>10</v>
      </c>
      <c r="AJ35" s="117" t="s">
        <v>83</v>
      </c>
      <c r="AK35" s="120" t="s">
        <v>10</v>
      </c>
    </row>
    <row r="36" spans="1:37">
      <c r="A36" s="115">
        <v>1</v>
      </c>
      <c r="B36" s="117" t="s">
        <v>84</v>
      </c>
      <c r="C36" s="123">
        <f>'2023年'!C36</f>
        <v>0</v>
      </c>
      <c r="D36" s="123">
        <f>'2023年'!D36</f>
        <v>0</v>
      </c>
      <c r="E36" s="123">
        <f>'2023年'!E36</f>
        <v>0</v>
      </c>
      <c r="F36" s="123">
        <f>'2023年'!F36</f>
        <v>0</v>
      </c>
      <c r="G36" s="123">
        <f>'2023年'!G36</f>
        <v>0</v>
      </c>
      <c r="H36" s="123"/>
      <c r="I36" s="127"/>
      <c r="J36" s="2"/>
      <c r="K36" s="2"/>
      <c r="L36" s="2"/>
      <c r="M36" s="2"/>
      <c r="N36" s="2"/>
      <c r="O36" s="2"/>
      <c r="P36" s="2"/>
      <c r="Q36" s="2"/>
      <c r="R36" s="2"/>
      <c r="S36" s="2"/>
      <c r="T36" s="117" t="s">
        <v>84</v>
      </c>
      <c r="AJ36" s="117" t="s">
        <v>80</v>
      </c>
      <c r="AK36" s="117" t="s">
        <v>84</v>
      </c>
    </row>
    <row r="37" spans="1:37">
      <c r="A37" s="115">
        <v>2</v>
      </c>
      <c r="B37" s="117" t="s">
        <v>85</v>
      </c>
      <c r="C37" s="123">
        <f>'2023年'!C37</f>
        <v>0</v>
      </c>
      <c r="D37" s="123">
        <f>'2023年'!D37</f>
        <v>0</v>
      </c>
      <c r="E37" s="123">
        <f>'2023年'!E37</f>
        <v>0</v>
      </c>
      <c r="F37" s="123">
        <f>'2023年'!F37</f>
        <v>0</v>
      </c>
      <c r="G37" s="123">
        <f>'2023年'!G37</f>
        <v>0</v>
      </c>
      <c r="H37" s="123"/>
      <c r="I37" s="127"/>
      <c r="J37" s="2"/>
      <c r="K37" s="2"/>
      <c r="L37" s="2"/>
      <c r="M37" s="2"/>
      <c r="N37" s="2"/>
      <c r="O37" s="2"/>
      <c r="P37" s="2"/>
      <c r="Q37" s="2"/>
      <c r="R37" s="2"/>
      <c r="S37" s="2"/>
      <c r="T37" s="117" t="s">
        <v>85</v>
      </c>
      <c r="AJ37" s="117" t="s">
        <v>34</v>
      </c>
      <c r="AK37" s="117" t="s">
        <v>85</v>
      </c>
    </row>
    <row r="38" spans="1:37">
      <c r="A38" s="115">
        <v>3</v>
      </c>
      <c r="B38" s="117" t="s">
        <v>86</v>
      </c>
      <c r="C38" s="123">
        <f>'2023年'!C38</f>
        <v>2.2265771999999999</v>
      </c>
      <c r="D38" s="123">
        <f>'2023年'!D38</f>
        <v>2.2265771999999999</v>
      </c>
      <c r="E38" s="123">
        <f>'2023年'!E38</f>
        <v>2.7601187999999999</v>
      </c>
      <c r="F38" s="123">
        <f>'2023年'!F38</f>
        <v>2.7601187999999999</v>
      </c>
      <c r="G38" s="123">
        <f>'2023年'!G38</f>
        <v>0</v>
      </c>
      <c r="H38" s="123"/>
      <c r="I38" s="127"/>
      <c r="J38" s="2"/>
      <c r="K38" s="2"/>
      <c r="L38" s="2"/>
      <c r="M38" s="2"/>
      <c r="N38" s="2"/>
      <c r="O38" s="2"/>
      <c r="P38" s="2"/>
      <c r="Q38" s="2"/>
      <c r="R38" s="2"/>
      <c r="S38" s="2"/>
      <c r="T38" s="117" t="s">
        <v>86</v>
      </c>
      <c r="AJ38" s="117" t="s">
        <v>40</v>
      </c>
      <c r="AK38" s="117" t="s">
        <v>86</v>
      </c>
    </row>
    <row r="39" spans="1:37">
      <c r="A39" s="117" t="s">
        <v>83</v>
      </c>
      <c r="B39" s="120" t="s">
        <v>88</v>
      </c>
      <c r="C39" s="124"/>
      <c r="D39" s="124"/>
      <c r="E39" s="124"/>
      <c r="F39" s="124"/>
      <c r="G39" s="124"/>
      <c r="H39" s="124"/>
      <c r="I39" s="124"/>
      <c r="T39" s="120" t="s">
        <v>88</v>
      </c>
      <c r="AJ39" s="117" t="s">
        <v>87</v>
      </c>
      <c r="AK39" s="120" t="s">
        <v>88</v>
      </c>
    </row>
    <row r="40" spans="1:37">
      <c r="A40" s="115">
        <v>1</v>
      </c>
      <c r="B40" s="117" t="s">
        <v>90</v>
      </c>
      <c r="C40" s="124">
        <f>C34-C36-C37-C38</f>
        <v>-2.1465771999999945</v>
      </c>
      <c r="D40" s="124">
        <f t="shared" ref="D40:H40" si="26">D34-D36-D37-D38</f>
        <v>-2.1465771999999945</v>
      </c>
      <c r="E40" s="124">
        <f t="shared" si="26"/>
        <v>0.39988120000000382</v>
      </c>
      <c r="F40" s="124">
        <f t="shared" si="26"/>
        <v>0.39988120000000382</v>
      </c>
      <c r="G40" s="124" t="e">
        <f t="shared" si="26"/>
        <v>#DIV/0!</v>
      </c>
      <c r="H40" s="124" t="e">
        <f t="shared" si="26"/>
        <v>#DIV/0!</v>
      </c>
      <c r="I40" s="124"/>
      <c r="T40" s="117" t="s">
        <v>90</v>
      </c>
      <c r="AJ40" s="117" t="s">
        <v>29</v>
      </c>
      <c r="AK40" s="117" t="s">
        <v>90</v>
      </c>
    </row>
    <row r="41" spans="1:37">
      <c r="A41" s="115">
        <v>2</v>
      </c>
      <c r="B41" s="117" t="s">
        <v>91</v>
      </c>
      <c r="C41" s="124"/>
      <c r="D41" s="124"/>
      <c r="E41" s="124"/>
      <c r="F41" s="124"/>
      <c r="G41" s="124"/>
      <c r="H41" s="124"/>
      <c r="I41" s="124"/>
      <c r="T41" s="117" t="s">
        <v>91</v>
      </c>
      <c r="AJ41" s="117" t="s">
        <v>31</v>
      </c>
      <c r="AK41" s="117" t="s">
        <v>91</v>
      </c>
    </row>
    <row r="42" spans="1:37">
      <c r="A42" s="117" t="s">
        <v>87</v>
      </c>
      <c r="B42" s="120" t="s">
        <v>93</v>
      </c>
      <c r="C42" s="124"/>
      <c r="D42" s="124"/>
      <c r="E42" s="124"/>
      <c r="F42" s="124"/>
      <c r="G42" s="124"/>
      <c r="H42" s="124"/>
      <c r="I42" s="124"/>
      <c r="T42" s="120" t="s">
        <v>93</v>
      </c>
      <c r="AJ42" s="117" t="s">
        <v>92</v>
      </c>
      <c r="AK42" s="120" t="s">
        <v>93</v>
      </c>
    </row>
    <row r="43" spans="1:37">
      <c r="A43" s="115">
        <v>1</v>
      </c>
      <c r="B43" s="125" t="s">
        <v>94</v>
      </c>
      <c r="C43" s="123">
        <f>'2023年'!C43</f>
        <v>0</v>
      </c>
      <c r="D43" s="123">
        <f>'2023年'!D43</f>
        <v>0</v>
      </c>
      <c r="E43" s="123">
        <f>'2023年'!E43</f>
        <v>0</v>
      </c>
      <c r="F43" s="123">
        <f>'2023年'!F43</f>
        <v>0</v>
      </c>
      <c r="G43" s="123">
        <f>'2023年'!G43</f>
        <v>0</v>
      </c>
      <c r="H43" s="123"/>
      <c r="I43" s="124"/>
      <c r="T43" s="117" t="s">
        <v>94</v>
      </c>
      <c r="AJ43" s="117" t="s">
        <v>29</v>
      </c>
      <c r="AK43" s="117" t="s">
        <v>94</v>
      </c>
    </row>
    <row r="44" spans="1:37">
      <c r="A44" s="115">
        <v>2</v>
      </c>
      <c r="B44" s="125" t="s">
        <v>95</v>
      </c>
      <c r="C44" s="123">
        <f>'2023年'!C44</f>
        <v>0.82328190000000001</v>
      </c>
      <c r="D44" s="123">
        <f>'2023年'!D44</f>
        <v>0.82328190000000001</v>
      </c>
      <c r="E44" s="123">
        <f>'2023年'!E44</f>
        <v>1.0205601</v>
      </c>
      <c r="F44" s="123">
        <f>'2023年'!F44</f>
        <v>1.0205601</v>
      </c>
      <c r="G44" s="123">
        <f>'2023年'!G44</f>
        <v>0</v>
      </c>
      <c r="H44" s="123"/>
      <c r="I44" s="124"/>
      <c r="T44" s="117" t="s">
        <v>95</v>
      </c>
      <c r="AJ44" s="117" t="s">
        <v>31</v>
      </c>
      <c r="AK44" s="117" t="s">
        <v>95</v>
      </c>
    </row>
    <row r="45" spans="1:37">
      <c r="A45" s="115">
        <v>3</v>
      </c>
      <c r="B45" s="125" t="s">
        <v>96</v>
      </c>
      <c r="C45" s="123">
        <f>'2023年'!C45</f>
        <v>1.1243985000000001</v>
      </c>
      <c r="D45" s="123">
        <f>'2023年'!D45</f>
        <v>1.1243985000000001</v>
      </c>
      <c r="E45" s="123">
        <f>'2023年'!E45</f>
        <v>1.3938315000000001</v>
      </c>
      <c r="F45" s="123">
        <f>'2023年'!F45</f>
        <v>1.3938315000000001</v>
      </c>
      <c r="G45" s="123">
        <f>'2023年'!G45</f>
        <v>0</v>
      </c>
      <c r="H45" s="123"/>
      <c r="I45" s="124"/>
      <c r="T45" s="117" t="s">
        <v>96</v>
      </c>
      <c r="AJ45" s="117" t="s">
        <v>80</v>
      </c>
      <c r="AK45" s="117" t="s">
        <v>96</v>
      </c>
    </row>
    <row r="46" spans="1:37" s="112" customFormat="1">
      <c r="A46" s="115">
        <v>4</v>
      </c>
      <c r="B46" s="125" t="s">
        <v>97</v>
      </c>
      <c r="C46" s="129">
        <f>C21/C6</f>
        <v>0</v>
      </c>
      <c r="D46" s="129">
        <f t="shared" ref="D46:H46" si="27">D21/D6</f>
        <v>0</v>
      </c>
      <c r="E46" s="129">
        <f t="shared" si="27"/>
        <v>0</v>
      </c>
      <c r="F46" s="129">
        <f t="shared" si="27"/>
        <v>0</v>
      </c>
      <c r="G46" s="129" t="e">
        <f t="shared" si="27"/>
        <v>#DIV/0!</v>
      </c>
      <c r="H46" s="129" t="e">
        <f t="shared" si="27"/>
        <v>#DIV/0!</v>
      </c>
      <c r="I46" s="129"/>
      <c r="T46" s="125" t="s">
        <v>99</v>
      </c>
      <c r="AJ46" s="125" t="s">
        <v>37</v>
      </c>
      <c r="AK46" s="125" t="s">
        <v>99</v>
      </c>
    </row>
    <row r="47" spans="1:37" s="112" customFormat="1">
      <c r="A47" s="115">
        <v>5</v>
      </c>
      <c r="B47" s="125" t="s">
        <v>99</v>
      </c>
      <c r="C47" s="123">
        <f>'2023年'!C47</f>
        <v>0.81600300000000003</v>
      </c>
      <c r="D47" s="123">
        <f>'2023年'!D47</f>
        <v>0.81600300000000003</v>
      </c>
      <c r="E47" s="123">
        <f>'2023年'!E47</f>
        <v>1.0115369999999999</v>
      </c>
      <c r="F47" s="123">
        <f>'2023年'!F47</f>
        <v>1.0115369999999999</v>
      </c>
      <c r="G47" s="123">
        <f>'2023年'!G47</f>
        <v>0</v>
      </c>
      <c r="H47" s="129"/>
      <c r="I47" s="129"/>
      <c r="T47" s="125" t="s">
        <v>99</v>
      </c>
      <c r="AJ47" s="125" t="s">
        <v>37</v>
      </c>
      <c r="AK47" s="125" t="s">
        <v>99</v>
      </c>
    </row>
    <row r="48" spans="1:37">
      <c r="A48" s="117" t="s">
        <v>92</v>
      </c>
      <c r="B48" s="120" t="s">
        <v>110</v>
      </c>
      <c r="C48" s="124">
        <f>C40-C43-C44-C45-C47-C46</f>
        <v>-4.9102605999999946</v>
      </c>
      <c r="D48" s="124">
        <f t="shared" ref="D48:H48" si="28">D40-D43-D44-D45-D47-D46</f>
        <v>-4.9102605999999946</v>
      </c>
      <c r="E48" s="124">
        <f t="shared" si="28"/>
        <v>-3.0260473999999959</v>
      </c>
      <c r="F48" s="124">
        <f t="shared" si="28"/>
        <v>-3.0260473999999959</v>
      </c>
      <c r="G48" s="124" t="e">
        <f t="shared" si="28"/>
        <v>#DIV/0!</v>
      </c>
      <c r="H48" s="124" t="e">
        <f t="shared" si="28"/>
        <v>#DIV/0!</v>
      </c>
      <c r="I48" s="124"/>
      <c r="T48" s="120" t="s">
        <v>110</v>
      </c>
      <c r="AJ48" s="117" t="s">
        <v>109</v>
      </c>
      <c r="AK48" s="120" t="s">
        <v>110</v>
      </c>
    </row>
    <row r="51" spans="2:14">
      <c r="C51" s="130"/>
      <c r="D51" s="130"/>
      <c r="E51" s="130"/>
      <c r="F51" s="130"/>
      <c r="G51" s="130"/>
      <c r="H51" s="130"/>
    </row>
    <row r="54" spans="2:14">
      <c r="B54" s="2"/>
      <c r="C54" s="17"/>
      <c r="D54" s="17"/>
      <c r="E54" s="17"/>
      <c r="F54" s="17"/>
      <c r="G54" s="17"/>
      <c r="H54" s="17"/>
      <c r="I54" s="17"/>
      <c r="J54" s="2"/>
      <c r="K54" s="2"/>
      <c r="L54" s="2"/>
      <c r="M54" s="2"/>
      <c r="N54" s="2"/>
    </row>
    <row r="55" spans="2:14">
      <c r="B55" s="2"/>
      <c r="C55" s="17"/>
      <c r="D55" s="17"/>
      <c r="E55" s="17"/>
      <c r="F55" s="17"/>
      <c r="G55" s="17"/>
      <c r="H55" s="17"/>
      <c r="I55" s="17"/>
      <c r="J55" s="2"/>
      <c r="K55" s="2"/>
      <c r="L55" s="2"/>
      <c r="M55" s="2"/>
      <c r="N55" s="2"/>
    </row>
    <row r="56" spans="2:14">
      <c r="B56" s="2"/>
      <c r="C56" s="17"/>
      <c r="D56" s="17"/>
      <c r="E56" s="17"/>
      <c r="F56" s="17"/>
      <c r="G56" s="17"/>
      <c r="H56" s="17"/>
      <c r="I56" s="17"/>
      <c r="J56" s="2"/>
      <c r="K56" s="2"/>
      <c r="L56" s="2"/>
      <c r="M56" s="2"/>
      <c r="N56" s="2"/>
    </row>
    <row r="57" spans="2:14">
      <c r="B57" s="2"/>
      <c r="C57" s="17"/>
      <c r="D57" s="17"/>
      <c r="E57" s="17"/>
      <c r="F57" s="17"/>
      <c r="G57" s="17"/>
      <c r="H57" s="17"/>
      <c r="I57" s="17"/>
      <c r="J57" s="2"/>
      <c r="K57" s="2"/>
      <c r="L57" s="2"/>
      <c r="M57" s="2"/>
      <c r="N57" s="2"/>
    </row>
    <row r="58" spans="2:14">
      <c r="B58" s="2"/>
      <c r="C58" s="17"/>
      <c r="D58" s="17"/>
      <c r="E58" s="17"/>
      <c r="F58" s="17"/>
      <c r="G58" s="17"/>
      <c r="H58" s="17"/>
      <c r="I58" s="17"/>
      <c r="J58" s="2"/>
      <c r="K58" s="2"/>
      <c r="L58" s="2"/>
      <c r="M58" s="2"/>
      <c r="N58" s="2"/>
    </row>
    <row r="59" spans="2:14">
      <c r="B59" s="2"/>
      <c r="C59" s="17"/>
      <c r="D59" s="17"/>
      <c r="E59" s="17"/>
      <c r="F59" s="17"/>
      <c r="G59" s="17"/>
      <c r="H59" s="17"/>
      <c r="I59" s="17"/>
      <c r="J59" s="2"/>
      <c r="K59" s="2"/>
      <c r="L59" s="2"/>
      <c r="M59" s="2"/>
      <c r="N59" s="2"/>
    </row>
    <row r="60" spans="2:14">
      <c r="B60" s="2"/>
      <c r="C60" s="17"/>
      <c r="D60" s="17"/>
      <c r="E60" s="17"/>
      <c r="F60" s="17"/>
      <c r="G60" s="17"/>
      <c r="H60" s="17"/>
      <c r="I60" s="17"/>
      <c r="J60" s="2"/>
      <c r="K60" s="2"/>
      <c r="L60" s="2"/>
      <c r="M60" s="2"/>
      <c r="N60" s="2"/>
    </row>
    <row r="61" spans="2:14">
      <c r="B61" s="2"/>
      <c r="C61" s="17"/>
      <c r="D61" s="17"/>
      <c r="E61" s="17"/>
      <c r="F61" s="17"/>
      <c r="G61" s="17"/>
      <c r="H61" s="17"/>
      <c r="I61" s="17"/>
      <c r="J61" s="2"/>
      <c r="K61" s="2"/>
      <c r="L61" s="2"/>
      <c r="M61" s="2"/>
      <c r="N61" s="2"/>
    </row>
    <row r="62" spans="2:14">
      <c r="B62" s="2"/>
      <c r="C62" s="17"/>
      <c r="D62" s="17"/>
      <c r="E62" s="17"/>
      <c r="F62" s="17"/>
      <c r="G62" s="17"/>
      <c r="H62" s="17"/>
      <c r="I62" s="17"/>
      <c r="J62" s="2"/>
      <c r="K62" s="2"/>
      <c r="L62" s="2"/>
      <c r="M62" s="2"/>
      <c r="N62" s="2"/>
    </row>
    <row r="63" spans="2:14">
      <c r="B63" s="2"/>
      <c r="C63" s="17"/>
      <c r="D63" s="17"/>
      <c r="E63" s="17"/>
      <c r="F63" s="17"/>
      <c r="G63" s="17"/>
      <c r="H63" s="17"/>
      <c r="I63" s="17"/>
      <c r="J63" s="2"/>
      <c r="K63" s="2"/>
      <c r="L63" s="2"/>
      <c r="M63" s="2"/>
      <c r="N63" s="2"/>
    </row>
    <row r="64" spans="2:14">
      <c r="B64" s="2"/>
      <c r="C64" s="17"/>
      <c r="D64" s="17"/>
      <c r="E64" s="17"/>
      <c r="F64" s="17"/>
      <c r="G64" s="17"/>
      <c r="H64" s="17"/>
      <c r="I64" s="17"/>
      <c r="J64" s="2"/>
      <c r="K64" s="2"/>
      <c r="L64" s="2"/>
      <c r="M64" s="2"/>
      <c r="N64" s="2"/>
    </row>
    <row r="65" spans="2:14">
      <c r="B65" s="2"/>
      <c r="C65" s="17"/>
      <c r="D65" s="17"/>
      <c r="E65" s="17"/>
      <c r="F65" s="17"/>
      <c r="G65" s="17"/>
      <c r="H65" s="17"/>
      <c r="I65" s="17"/>
      <c r="J65" s="2"/>
      <c r="K65" s="2"/>
      <c r="L65" s="2"/>
      <c r="M65" s="2"/>
      <c r="N65" s="2"/>
    </row>
    <row r="66" spans="2:14">
      <c r="B66" s="2"/>
      <c r="C66" s="17"/>
      <c r="D66" s="17"/>
      <c r="E66" s="17"/>
      <c r="F66" s="17"/>
      <c r="G66" s="17"/>
      <c r="H66" s="17"/>
      <c r="I66" s="17"/>
      <c r="J66" s="2"/>
      <c r="K66" s="2"/>
      <c r="L66" s="2"/>
      <c r="M66" s="2"/>
      <c r="N66" s="2"/>
    </row>
    <row r="67" spans="2:14">
      <c r="B67" s="2"/>
      <c r="C67" s="17"/>
      <c r="D67" s="17"/>
      <c r="E67" s="17"/>
      <c r="F67" s="17"/>
      <c r="G67" s="17"/>
      <c r="H67" s="17"/>
      <c r="I67" s="17"/>
      <c r="J67" s="2"/>
    </row>
    <row r="68" spans="2:14">
      <c r="B68" s="2"/>
      <c r="C68" s="17"/>
      <c r="D68" s="17"/>
      <c r="E68" s="17"/>
      <c r="F68" s="17"/>
      <c r="G68" s="17"/>
      <c r="H68" s="17"/>
      <c r="I68" s="17"/>
      <c r="J68" s="2"/>
    </row>
    <row r="69" spans="2:14">
      <c r="B69" s="2"/>
      <c r="C69" s="17"/>
      <c r="D69" s="17"/>
      <c r="E69" s="17"/>
      <c r="F69" s="17"/>
      <c r="G69" s="17"/>
      <c r="H69" s="17"/>
      <c r="I69" s="17"/>
      <c r="J69" s="2"/>
    </row>
    <row r="70" spans="2:14">
      <c r="B70" s="2"/>
      <c r="C70" s="17"/>
      <c r="D70" s="17"/>
      <c r="E70" s="17"/>
      <c r="F70" s="17"/>
      <c r="G70" s="17"/>
      <c r="H70" s="17"/>
      <c r="I70" s="17"/>
      <c r="J70" s="2"/>
    </row>
    <row r="71" spans="2:14">
      <c r="B71" s="2"/>
      <c r="C71" s="17"/>
      <c r="D71" s="17"/>
      <c r="E71" s="17"/>
      <c r="F71" s="17"/>
      <c r="G71" s="17"/>
      <c r="H71" s="17"/>
      <c r="I71" s="17"/>
      <c r="J71" s="2"/>
    </row>
    <row r="72" spans="2:14">
      <c r="B72" s="2"/>
      <c r="C72" s="17"/>
      <c r="D72" s="17"/>
      <c r="E72" s="17"/>
      <c r="F72" s="17"/>
      <c r="G72" s="17"/>
      <c r="H72" s="17"/>
      <c r="I72" s="17"/>
      <c r="J72" s="2"/>
    </row>
    <row r="73" spans="2:14">
      <c r="B73" s="2"/>
      <c r="C73" s="17"/>
      <c r="D73" s="17"/>
      <c r="E73" s="17"/>
      <c r="F73" s="17"/>
      <c r="G73" s="17"/>
      <c r="H73" s="17"/>
      <c r="I73" s="17"/>
      <c r="J73" s="2"/>
    </row>
    <row r="74" spans="2:14">
      <c r="B74" s="2"/>
      <c r="C74" s="17"/>
      <c r="D74" s="17"/>
      <c r="E74" s="17"/>
      <c r="F74" s="17"/>
      <c r="G74" s="17"/>
      <c r="H74" s="17"/>
      <c r="I74" s="17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F18" sqref="F18"/>
    </sheetView>
  </sheetViews>
  <sheetFormatPr defaultColWidth="9" defaultRowHeight="16.5"/>
  <cols>
    <col min="1" max="1" width="5.125" style="113" customWidth="1"/>
    <col min="2" max="2" width="17.5" style="113" customWidth="1"/>
    <col min="3" max="8" width="13.25" style="114" customWidth="1"/>
    <col min="9" max="9" width="18.75" style="114" customWidth="1"/>
    <col min="10" max="10" width="12.375" style="113" customWidth="1"/>
    <col min="11" max="11" width="10.125" style="113" customWidth="1"/>
    <col min="12" max="18" width="9" style="113" customWidth="1"/>
    <col min="19" max="35" width="9" style="113"/>
    <col min="36" max="36" width="4.375" style="113" customWidth="1"/>
    <col min="37" max="37" width="13.875" style="113" customWidth="1"/>
    <col min="38" max="16384" width="9" style="113"/>
  </cols>
  <sheetData>
    <row r="1" spans="1:38">
      <c r="A1" s="224" t="s">
        <v>150</v>
      </c>
      <c r="B1" s="224"/>
      <c r="C1" s="228" t="s">
        <v>164</v>
      </c>
      <c r="D1" s="229"/>
      <c r="E1" s="229"/>
      <c r="F1" s="229"/>
      <c r="G1" s="229"/>
      <c r="H1" s="229"/>
      <c r="I1" s="230"/>
    </row>
    <row r="2" spans="1:38">
      <c r="A2" s="224" t="s">
        <v>152</v>
      </c>
      <c r="B2" s="224"/>
      <c r="C2" s="232" t="str">
        <f>'2023年'!C2:I2</f>
        <v>北京汽车集团越野车有限公司</v>
      </c>
      <c r="D2" s="233"/>
      <c r="E2" s="233"/>
      <c r="F2" s="233"/>
      <c r="G2" s="233"/>
      <c r="H2" s="233"/>
      <c r="I2" s="234"/>
    </row>
    <row r="3" spans="1:38">
      <c r="A3" s="224" t="s">
        <v>153</v>
      </c>
      <c r="B3" s="224"/>
      <c r="C3" s="34" t="str">
        <f>销量!C5</f>
        <v>左后门上饰条总成</v>
      </c>
      <c r="D3" s="34" t="str">
        <f>销量!D5</f>
        <v>右后门上饰条总成</v>
      </c>
      <c r="E3" s="34" t="str">
        <f>销量!E5</f>
        <v>左前门上饰条总成</v>
      </c>
      <c r="F3" s="34" t="str">
        <f>销量!F5</f>
        <v>右前门上饰条总成</v>
      </c>
      <c r="G3" s="34">
        <f>销量!G5</f>
        <v>0</v>
      </c>
      <c r="H3" s="34">
        <f>销量!H5</f>
        <v>0</v>
      </c>
      <c r="I3" s="225" t="s">
        <v>25</v>
      </c>
    </row>
    <row r="4" spans="1:38" ht="16.5" customHeight="1">
      <c r="A4" s="224" t="s">
        <v>154</v>
      </c>
      <c r="B4" s="224"/>
      <c r="C4" s="34" t="str">
        <f>销量!C6</f>
        <v>B00041333</v>
      </c>
      <c r="D4" s="34" t="str">
        <f>销量!D6</f>
        <v>B00041343</v>
      </c>
      <c r="E4" s="34" t="str">
        <f>销量!E6</f>
        <v>B00041331</v>
      </c>
      <c r="F4" s="34" t="str">
        <f>销量!F6</f>
        <v>B00041332</v>
      </c>
      <c r="G4" s="34">
        <f>销量!G6</f>
        <v>0</v>
      </c>
      <c r="H4" s="34">
        <f>销量!H6</f>
        <v>0</v>
      </c>
      <c r="I4" s="226"/>
    </row>
    <row r="5" spans="1:38">
      <c r="A5" s="224" t="s">
        <v>155</v>
      </c>
      <c r="B5" s="224"/>
      <c r="C5" s="116"/>
      <c r="D5" s="116"/>
      <c r="E5" s="116"/>
      <c r="F5" s="116"/>
      <c r="G5" s="116"/>
      <c r="H5" s="116"/>
      <c r="I5" s="227"/>
      <c r="AL5" s="113" t="s">
        <v>26</v>
      </c>
    </row>
    <row r="6" spans="1:38" ht="17.25">
      <c r="A6" s="117" t="s">
        <v>19</v>
      </c>
      <c r="B6" s="118" t="s">
        <v>156</v>
      </c>
      <c r="C6" s="56">
        <f>销量!C12</f>
        <v>10000</v>
      </c>
      <c r="D6" s="56">
        <f>销量!D12</f>
        <v>10000</v>
      </c>
      <c r="E6" s="56">
        <f>销量!E12</f>
        <v>10000</v>
      </c>
      <c r="F6" s="56">
        <f>销量!F12</f>
        <v>10000</v>
      </c>
      <c r="G6" s="56">
        <f>销量!G12</f>
        <v>0</v>
      </c>
      <c r="H6" s="56">
        <f>销量!H12</f>
        <v>0</v>
      </c>
      <c r="I6" s="119">
        <f>SUM(C6:H6)</f>
        <v>40000</v>
      </c>
      <c r="T6" s="118" t="s">
        <v>3</v>
      </c>
      <c r="AJ6" s="117" t="s">
        <v>19</v>
      </c>
      <c r="AK6" s="118" t="s">
        <v>3</v>
      </c>
      <c r="AL6" s="113" t="s">
        <v>27</v>
      </c>
    </row>
    <row r="7" spans="1:38">
      <c r="A7" s="115">
        <v>1</v>
      </c>
      <c r="B7" s="118" t="s">
        <v>28</v>
      </c>
      <c r="C7" s="119">
        <f>C6*销量!C8</f>
        <v>383100</v>
      </c>
      <c r="D7" s="119">
        <f>D6*销量!D8</f>
        <v>383100</v>
      </c>
      <c r="E7" s="119">
        <f>E6*销量!E8</f>
        <v>474900</v>
      </c>
      <c r="F7" s="119">
        <f>F6*销量!F8</f>
        <v>474900</v>
      </c>
      <c r="G7" s="119">
        <f>G6*销量!G8</f>
        <v>0</v>
      </c>
      <c r="H7" s="119">
        <f>H6*销量!H8</f>
        <v>0</v>
      </c>
      <c r="I7" s="119">
        <f t="shared" ref="I7:I17" si="0">SUM(C7:H7)</f>
        <v>1716000</v>
      </c>
      <c r="J7" s="114"/>
      <c r="T7" s="118" t="s">
        <v>28</v>
      </c>
      <c r="AJ7" s="117" t="s">
        <v>29</v>
      </c>
      <c r="AK7" s="118" t="s">
        <v>28</v>
      </c>
      <c r="AL7" s="113" t="s">
        <v>27</v>
      </c>
    </row>
    <row r="8" spans="1:38">
      <c r="A8" s="115">
        <v>2</v>
      </c>
      <c r="B8" s="115" t="s">
        <v>30</v>
      </c>
      <c r="C8" s="119">
        <f>C7*(1-销量!$L$9)</f>
        <v>0</v>
      </c>
      <c r="D8" s="119">
        <f>D7*(1-销量!$L$9)</f>
        <v>0</v>
      </c>
      <c r="E8" s="119">
        <f>E7*(1-销量!$L$9)</f>
        <v>0</v>
      </c>
      <c r="F8" s="119">
        <f>F7*(1-销量!$L$9)</f>
        <v>0</v>
      </c>
      <c r="G8" s="119">
        <f>G7*(1-销量!$L$9)</f>
        <v>0</v>
      </c>
      <c r="H8" s="119">
        <f>H7*(1-销量!$L$9)</f>
        <v>0</v>
      </c>
      <c r="I8" s="119">
        <f t="shared" si="0"/>
        <v>0</v>
      </c>
      <c r="J8" s="131"/>
      <c r="T8" s="115" t="s">
        <v>32</v>
      </c>
      <c r="AJ8" s="117" t="s">
        <v>31</v>
      </c>
      <c r="AK8" s="115" t="s">
        <v>32</v>
      </c>
      <c r="AL8" s="113" t="s">
        <v>27</v>
      </c>
    </row>
    <row r="9" spans="1:38">
      <c r="A9" s="115">
        <v>3</v>
      </c>
      <c r="B9" s="118" t="s">
        <v>33</v>
      </c>
      <c r="C9" s="119">
        <f>+C7-C8</f>
        <v>383100</v>
      </c>
      <c r="D9" s="119">
        <f t="shared" ref="D9:H9" si="1">+D7-D8</f>
        <v>383100</v>
      </c>
      <c r="E9" s="119">
        <f t="shared" si="1"/>
        <v>474900</v>
      </c>
      <c r="F9" s="119">
        <f t="shared" si="1"/>
        <v>474900</v>
      </c>
      <c r="G9" s="119">
        <f t="shared" si="1"/>
        <v>0</v>
      </c>
      <c r="H9" s="119">
        <f t="shared" si="1"/>
        <v>0</v>
      </c>
      <c r="I9" s="119">
        <f t="shared" si="0"/>
        <v>1716000</v>
      </c>
      <c r="T9" s="118" t="s">
        <v>33</v>
      </c>
      <c r="AJ9" s="117" t="s">
        <v>34</v>
      </c>
      <c r="AK9" s="118" t="s">
        <v>33</v>
      </c>
      <c r="AL9" s="113" t="s">
        <v>35</v>
      </c>
    </row>
    <row r="10" spans="1:38">
      <c r="A10" s="115">
        <v>4</v>
      </c>
      <c r="B10" s="117" t="s">
        <v>36</v>
      </c>
      <c r="C10" s="119">
        <f>C6*材料成本!H18</f>
        <v>382299.99999999994</v>
      </c>
      <c r="D10" s="119">
        <f>D6*材料成本!H19</f>
        <v>382299.99999999994</v>
      </c>
      <c r="E10" s="119">
        <f>E6*材料成本!H20</f>
        <v>443300</v>
      </c>
      <c r="F10" s="119">
        <f>F6*材料成本!H21</f>
        <v>443300</v>
      </c>
      <c r="G10" s="119">
        <f>G6*材料成本!H22</f>
        <v>0</v>
      </c>
      <c r="H10" s="119"/>
      <c r="I10" s="119">
        <f t="shared" si="0"/>
        <v>1651200</v>
      </c>
      <c r="T10" s="117" t="s">
        <v>36</v>
      </c>
      <c r="AJ10" s="117" t="s">
        <v>37</v>
      </c>
      <c r="AK10" s="117" t="s">
        <v>36</v>
      </c>
      <c r="AL10" s="113" t="s">
        <v>38</v>
      </c>
    </row>
    <row r="11" spans="1:38">
      <c r="A11" s="115">
        <v>5</v>
      </c>
      <c r="B11" s="117" t="s">
        <v>39</v>
      </c>
      <c r="C11" s="119">
        <f>+C6*C36</f>
        <v>0</v>
      </c>
      <c r="D11" s="119">
        <f t="shared" ref="D11:H11" si="2">+D6*D36</f>
        <v>0</v>
      </c>
      <c r="E11" s="119">
        <f t="shared" si="2"/>
        <v>0</v>
      </c>
      <c r="F11" s="119">
        <f t="shared" si="2"/>
        <v>0</v>
      </c>
      <c r="G11" s="119">
        <f t="shared" si="2"/>
        <v>0</v>
      </c>
      <c r="H11" s="119">
        <f t="shared" si="2"/>
        <v>0</v>
      </c>
      <c r="I11" s="119">
        <f t="shared" si="0"/>
        <v>0</v>
      </c>
      <c r="T11" s="117" t="s">
        <v>39</v>
      </c>
      <c r="AJ11" s="117" t="s">
        <v>40</v>
      </c>
      <c r="AK11" s="117" t="s">
        <v>39</v>
      </c>
    </row>
    <row r="12" spans="1:38">
      <c r="A12" s="115">
        <v>6</v>
      </c>
      <c r="B12" s="117" t="s">
        <v>41</v>
      </c>
      <c r="C12" s="119">
        <f>+C6*C37</f>
        <v>0</v>
      </c>
      <c r="D12" s="119">
        <f t="shared" ref="D12:H12" si="3">+D6*D37</f>
        <v>0</v>
      </c>
      <c r="E12" s="119">
        <f t="shared" si="3"/>
        <v>0</v>
      </c>
      <c r="F12" s="119">
        <f t="shared" si="3"/>
        <v>0</v>
      </c>
      <c r="G12" s="119">
        <f t="shared" si="3"/>
        <v>0</v>
      </c>
      <c r="H12" s="119">
        <f t="shared" si="3"/>
        <v>0</v>
      </c>
      <c r="I12" s="119">
        <f t="shared" si="0"/>
        <v>0</v>
      </c>
      <c r="T12" s="117" t="s">
        <v>41</v>
      </c>
      <c r="AJ12" s="117" t="s">
        <v>42</v>
      </c>
      <c r="AK12" s="117" t="s">
        <v>41</v>
      </c>
    </row>
    <row r="13" spans="1:38">
      <c r="A13" s="115">
        <v>7</v>
      </c>
      <c r="B13" s="117" t="s">
        <v>43</v>
      </c>
      <c r="C13" s="119">
        <f>+C6*C38</f>
        <v>22265.772000000001</v>
      </c>
      <c r="D13" s="119">
        <f t="shared" ref="D13:H13" si="4">+D6*D38</f>
        <v>22265.772000000001</v>
      </c>
      <c r="E13" s="119">
        <f t="shared" si="4"/>
        <v>27601.187999999998</v>
      </c>
      <c r="F13" s="119">
        <f t="shared" si="4"/>
        <v>27601.187999999998</v>
      </c>
      <c r="G13" s="119">
        <f t="shared" si="4"/>
        <v>0</v>
      </c>
      <c r="H13" s="119">
        <f t="shared" si="4"/>
        <v>0</v>
      </c>
      <c r="I13" s="119">
        <f t="shared" si="0"/>
        <v>99733.92</v>
      </c>
      <c r="T13" s="117" t="s">
        <v>43</v>
      </c>
      <c r="AJ13" s="117" t="s">
        <v>44</v>
      </c>
      <c r="AK13" s="117" t="s">
        <v>43</v>
      </c>
      <c r="AL13" s="113" t="s">
        <v>27</v>
      </c>
    </row>
    <row r="14" spans="1:38">
      <c r="A14" s="115">
        <v>8</v>
      </c>
      <c r="B14" s="120" t="s">
        <v>45</v>
      </c>
      <c r="C14" s="119">
        <f>SUM(C11:C13)</f>
        <v>22265.772000000001</v>
      </c>
      <c r="D14" s="119">
        <f t="shared" ref="D14:H14" si="5">SUM(D11:D13)</f>
        <v>22265.772000000001</v>
      </c>
      <c r="E14" s="119">
        <f t="shared" si="5"/>
        <v>27601.187999999998</v>
      </c>
      <c r="F14" s="119">
        <f t="shared" si="5"/>
        <v>27601.187999999998</v>
      </c>
      <c r="G14" s="119">
        <f t="shared" si="5"/>
        <v>0</v>
      </c>
      <c r="H14" s="119">
        <f t="shared" si="5"/>
        <v>0</v>
      </c>
      <c r="I14" s="119">
        <f t="shared" si="0"/>
        <v>99733.92</v>
      </c>
      <c r="T14" s="120" t="s">
        <v>45</v>
      </c>
      <c r="AJ14" s="117" t="s">
        <v>46</v>
      </c>
      <c r="AK14" s="120" t="s">
        <v>45</v>
      </c>
    </row>
    <row r="15" spans="1:38">
      <c r="A15" s="115">
        <v>9</v>
      </c>
      <c r="B15" s="120" t="s">
        <v>47</v>
      </c>
      <c r="C15" s="119">
        <f>+C9-C10-C14</f>
        <v>-21465.771999999943</v>
      </c>
      <c r="D15" s="119">
        <f t="shared" ref="D15:H15" si="6">+D9-D10-D14</f>
        <v>-21465.771999999943</v>
      </c>
      <c r="E15" s="119">
        <f t="shared" si="6"/>
        <v>3998.8120000000017</v>
      </c>
      <c r="F15" s="119">
        <f t="shared" si="6"/>
        <v>3998.8120000000017</v>
      </c>
      <c r="G15" s="119">
        <f t="shared" si="6"/>
        <v>0</v>
      </c>
      <c r="H15" s="119">
        <f t="shared" si="6"/>
        <v>0</v>
      </c>
      <c r="I15" s="119">
        <f t="shared" si="0"/>
        <v>-34933.919999999882</v>
      </c>
      <c r="T15" s="120" t="s">
        <v>47</v>
      </c>
      <c r="AJ15" s="117" t="s">
        <v>48</v>
      </c>
      <c r="AK15" s="120" t="s">
        <v>47</v>
      </c>
    </row>
    <row r="16" spans="1:38">
      <c r="A16" s="115">
        <v>10</v>
      </c>
      <c r="B16" s="117" t="s">
        <v>49</v>
      </c>
      <c r="C16" s="121">
        <f>+C15/C9</f>
        <v>-5.6031772383189619E-2</v>
      </c>
      <c r="D16" s="121">
        <f t="shared" ref="D16:H16" si="7">+D15/D9</f>
        <v>-5.6031772383189619E-2</v>
      </c>
      <c r="E16" s="121">
        <f t="shared" si="7"/>
        <v>8.4203242787955403E-3</v>
      </c>
      <c r="F16" s="121">
        <f t="shared" si="7"/>
        <v>8.4203242787955403E-3</v>
      </c>
      <c r="G16" s="121" t="e">
        <f t="shared" si="7"/>
        <v>#DIV/0!</v>
      </c>
      <c r="H16" s="121" t="e">
        <f t="shared" si="7"/>
        <v>#DIV/0!</v>
      </c>
      <c r="I16" s="121">
        <f t="shared" ref="I16" si="8">+I15/I9</f>
        <v>-2.0357762237762169E-2</v>
      </c>
      <c r="T16" s="117" t="s">
        <v>49</v>
      </c>
      <c r="AJ16" s="117" t="s">
        <v>50</v>
      </c>
      <c r="AK16" s="117" t="s">
        <v>49</v>
      </c>
    </row>
    <row r="17" spans="1:38">
      <c r="A17" s="115">
        <v>11</v>
      </c>
      <c r="B17" s="117" t="s">
        <v>51</v>
      </c>
      <c r="C17" s="119">
        <f>C6*C43+C18</f>
        <v>20995</v>
      </c>
      <c r="D17" s="119">
        <f t="shared" ref="D17:H17" si="9">D6*D43+D18</f>
        <v>20995</v>
      </c>
      <c r="E17" s="119">
        <f t="shared" si="9"/>
        <v>20995</v>
      </c>
      <c r="F17" s="119">
        <f t="shared" si="9"/>
        <v>20995</v>
      </c>
      <c r="G17" s="119">
        <f t="shared" si="9"/>
        <v>0</v>
      </c>
      <c r="H17" s="119">
        <f t="shared" si="9"/>
        <v>0</v>
      </c>
      <c r="I17" s="119">
        <f t="shared" si="0"/>
        <v>83980</v>
      </c>
      <c r="J17" s="131"/>
      <c r="T17" s="117" t="s">
        <v>51</v>
      </c>
      <c r="AJ17" s="117" t="s">
        <v>52</v>
      </c>
      <c r="AK17" s="117" t="s">
        <v>51</v>
      </c>
    </row>
    <row r="18" spans="1:38" s="111" customFormat="1">
      <c r="A18" s="115">
        <v>12</v>
      </c>
      <c r="B18" s="122" t="s">
        <v>157</v>
      </c>
      <c r="C18" s="123">
        <f>$I$18/$I$6*C6</f>
        <v>20995</v>
      </c>
      <c r="D18" s="123">
        <f t="shared" ref="D18:H18" si="10">$I$18/$I$6*D6</f>
        <v>20995</v>
      </c>
      <c r="E18" s="123">
        <f t="shared" si="10"/>
        <v>20995</v>
      </c>
      <c r="F18" s="123">
        <f t="shared" si="10"/>
        <v>20995</v>
      </c>
      <c r="G18" s="123">
        <f t="shared" si="10"/>
        <v>0</v>
      </c>
      <c r="H18" s="123">
        <f t="shared" si="10"/>
        <v>0</v>
      </c>
      <c r="I18" s="123">
        <f>项目投资!D26</f>
        <v>83980</v>
      </c>
      <c r="J18" s="132" t="s">
        <v>158</v>
      </c>
      <c r="K18" s="132"/>
      <c r="L18" s="132"/>
    </row>
    <row r="19" spans="1:38">
      <c r="A19" s="115">
        <v>13</v>
      </c>
      <c r="B19" s="117" t="s">
        <v>53</v>
      </c>
      <c r="C19" s="119">
        <f>C6*C44</f>
        <v>8232.8189999999995</v>
      </c>
      <c r="D19" s="119">
        <f t="shared" ref="D19:H19" si="11">D6*D44</f>
        <v>8232.8189999999995</v>
      </c>
      <c r="E19" s="119">
        <f t="shared" si="11"/>
        <v>10205.601000000001</v>
      </c>
      <c r="F19" s="119">
        <f t="shared" si="11"/>
        <v>10205.601000000001</v>
      </c>
      <c r="G19" s="119">
        <f t="shared" si="11"/>
        <v>0</v>
      </c>
      <c r="H19" s="119">
        <f t="shared" si="11"/>
        <v>0</v>
      </c>
      <c r="I19" s="119">
        <f t="shared" ref="I19:I20" si="12">SUM(C19:H19)</f>
        <v>36876.840000000004</v>
      </c>
      <c r="J19" s="111"/>
      <c r="T19" s="117" t="s">
        <v>53</v>
      </c>
      <c r="AJ19" s="117" t="s">
        <v>54</v>
      </c>
      <c r="AK19" s="117" t="s">
        <v>53</v>
      </c>
      <c r="AL19" s="113" t="s">
        <v>27</v>
      </c>
    </row>
    <row r="20" spans="1:38">
      <c r="A20" s="115">
        <v>14</v>
      </c>
      <c r="B20" s="117" t="s">
        <v>55</v>
      </c>
      <c r="C20" s="119">
        <f>C6*C45</f>
        <v>11243.985000000001</v>
      </c>
      <c r="D20" s="119">
        <f t="shared" ref="D20:H20" si="13">D6*D45</f>
        <v>11243.985000000001</v>
      </c>
      <c r="E20" s="119">
        <f t="shared" si="13"/>
        <v>13938.315000000001</v>
      </c>
      <c r="F20" s="119">
        <f t="shared" si="13"/>
        <v>13938.315000000001</v>
      </c>
      <c r="G20" s="119">
        <f t="shared" si="13"/>
        <v>0</v>
      </c>
      <c r="H20" s="119">
        <f t="shared" si="13"/>
        <v>0</v>
      </c>
      <c r="I20" s="119">
        <f t="shared" si="12"/>
        <v>50364.600000000006</v>
      </c>
      <c r="T20" s="117" t="s">
        <v>55</v>
      </c>
      <c r="AJ20" s="117" t="s">
        <v>56</v>
      </c>
      <c r="AK20" s="117" t="s">
        <v>55</v>
      </c>
    </row>
    <row r="21" spans="1:38">
      <c r="A21" s="115">
        <v>15</v>
      </c>
      <c r="B21" s="117" t="s">
        <v>57</v>
      </c>
      <c r="C21" s="124">
        <f>$I$21/$I$6*C6</f>
        <v>0</v>
      </c>
      <c r="D21" s="124">
        <f t="shared" ref="D21:H21" si="14">$I$21/$I$6*D6</f>
        <v>0</v>
      </c>
      <c r="E21" s="124">
        <f t="shared" si="14"/>
        <v>0</v>
      </c>
      <c r="F21" s="124">
        <f t="shared" si="14"/>
        <v>0</v>
      </c>
      <c r="G21" s="124">
        <f t="shared" si="14"/>
        <v>0</v>
      </c>
      <c r="H21" s="124">
        <f t="shared" si="14"/>
        <v>0</v>
      </c>
      <c r="I21" s="119">
        <f>项目投资!D27</f>
        <v>0</v>
      </c>
      <c r="T21" s="117" t="s">
        <v>57</v>
      </c>
      <c r="AJ21" s="117"/>
      <c r="AK21" s="117"/>
    </row>
    <row r="22" spans="1:38">
      <c r="A22" s="115">
        <v>16</v>
      </c>
      <c r="B22" s="117" t="s">
        <v>58</v>
      </c>
      <c r="C22" s="119">
        <f>C6*C47</f>
        <v>8160.0300000000007</v>
      </c>
      <c r="D22" s="119">
        <f t="shared" ref="D22:H22" si="15">D6*D47</f>
        <v>8160.0300000000007</v>
      </c>
      <c r="E22" s="119">
        <f t="shared" si="15"/>
        <v>10115.369999999999</v>
      </c>
      <c r="F22" s="119">
        <f t="shared" si="15"/>
        <v>10115.369999999999</v>
      </c>
      <c r="G22" s="119">
        <f t="shared" si="15"/>
        <v>0</v>
      </c>
      <c r="H22" s="119">
        <f t="shared" si="15"/>
        <v>0</v>
      </c>
      <c r="I22" s="119">
        <f t="shared" ref="I22" si="16">SUM(C22:H22)</f>
        <v>36550.800000000003</v>
      </c>
      <c r="T22" s="117" t="s">
        <v>58</v>
      </c>
      <c r="AJ22" s="117" t="s">
        <v>59</v>
      </c>
      <c r="AK22" s="117" t="s">
        <v>58</v>
      </c>
    </row>
    <row r="23" spans="1:38">
      <c r="A23" s="115">
        <v>17</v>
      </c>
      <c r="B23" s="120" t="s">
        <v>60</v>
      </c>
      <c r="C23" s="124">
        <f>+C22+C21+C20+C19+C17</f>
        <v>48631.834000000003</v>
      </c>
      <c r="D23" s="124">
        <f t="shared" ref="D23:H23" si="17">+D22+D21+D20+D19+D17</f>
        <v>48631.834000000003</v>
      </c>
      <c r="E23" s="124">
        <f t="shared" si="17"/>
        <v>55254.286</v>
      </c>
      <c r="F23" s="124">
        <f t="shared" si="17"/>
        <v>55254.286</v>
      </c>
      <c r="G23" s="124">
        <f t="shared" si="17"/>
        <v>0</v>
      </c>
      <c r="H23" s="124">
        <f t="shared" si="17"/>
        <v>0</v>
      </c>
      <c r="I23" s="124">
        <f t="shared" ref="I23" si="18">+I22+I21+I20+I19+I17</f>
        <v>207772.24000000002</v>
      </c>
      <c r="T23" s="120" t="s">
        <v>60</v>
      </c>
      <c r="AJ23" s="117" t="s">
        <v>61</v>
      </c>
      <c r="AK23" s="120" t="s">
        <v>60</v>
      </c>
    </row>
    <row r="24" spans="1:38">
      <c r="A24" s="115">
        <v>18</v>
      </c>
      <c r="B24" s="125" t="s">
        <v>62</v>
      </c>
      <c r="C24" s="124">
        <f>+C15-C23</f>
        <v>-70097.605999999942</v>
      </c>
      <c r="D24" s="124">
        <f t="shared" ref="D24:H24" si="19">+D15-D23</f>
        <v>-70097.605999999942</v>
      </c>
      <c r="E24" s="124">
        <f t="shared" si="19"/>
        <v>-51255.474000000002</v>
      </c>
      <c r="F24" s="124">
        <f t="shared" si="19"/>
        <v>-51255.474000000002</v>
      </c>
      <c r="G24" s="124">
        <f t="shared" si="19"/>
        <v>0</v>
      </c>
      <c r="H24" s="124">
        <f t="shared" si="19"/>
        <v>0</v>
      </c>
      <c r="I24" s="124">
        <f t="shared" ref="I24" si="20">+I15-I23</f>
        <v>-242706.15999999992</v>
      </c>
      <c r="K24" s="133"/>
      <c r="T24" s="117" t="s">
        <v>62</v>
      </c>
      <c r="AJ24" s="117" t="s">
        <v>63</v>
      </c>
      <c r="AK24" s="117" t="s">
        <v>62</v>
      </c>
    </row>
    <row r="25" spans="1:38">
      <c r="A25" s="115">
        <v>19</v>
      </c>
      <c r="B25" s="117" t="s">
        <v>159</v>
      </c>
      <c r="C25" s="124">
        <f>IF(C24&lt;0,0,C24*0.25)</f>
        <v>0</v>
      </c>
      <c r="D25" s="124">
        <f t="shared" ref="D25:I25" si="21">IF(D24&lt;0,0,D24*0.25)</f>
        <v>0</v>
      </c>
      <c r="E25" s="124">
        <f t="shared" si="21"/>
        <v>0</v>
      </c>
      <c r="F25" s="124">
        <f t="shared" si="21"/>
        <v>0</v>
      </c>
      <c r="G25" s="124">
        <f t="shared" si="21"/>
        <v>0</v>
      </c>
      <c r="H25" s="124">
        <f t="shared" si="21"/>
        <v>0</v>
      </c>
      <c r="I25" s="124">
        <f t="shared" si="21"/>
        <v>0</v>
      </c>
      <c r="J25" s="2"/>
      <c r="K25" s="2"/>
      <c r="L25" s="2"/>
      <c r="T25" s="117" t="s">
        <v>64</v>
      </c>
      <c r="AJ25" s="117" t="s">
        <v>65</v>
      </c>
      <c r="AK25" s="117" t="s">
        <v>64</v>
      </c>
    </row>
    <row r="26" spans="1:38">
      <c r="A26" s="115">
        <v>20</v>
      </c>
      <c r="B26" s="117" t="s">
        <v>66</v>
      </c>
      <c r="C26" s="124">
        <f t="shared" ref="C26:H26" si="22">C24-C25</f>
        <v>-70097.605999999942</v>
      </c>
      <c r="D26" s="124">
        <f t="shared" si="22"/>
        <v>-70097.605999999942</v>
      </c>
      <c r="E26" s="124">
        <f t="shared" si="22"/>
        <v>-51255.474000000002</v>
      </c>
      <c r="F26" s="124">
        <f t="shared" si="22"/>
        <v>-51255.474000000002</v>
      </c>
      <c r="G26" s="124">
        <f t="shared" si="22"/>
        <v>0</v>
      </c>
      <c r="H26" s="124">
        <f t="shared" si="22"/>
        <v>0</v>
      </c>
      <c r="I26" s="119">
        <f>+SUM(C26:H26)</f>
        <v>-242706.15999999986</v>
      </c>
      <c r="J26" s="2"/>
      <c r="K26" s="2"/>
      <c r="L26" s="2"/>
      <c r="T26" s="117" t="s">
        <v>66</v>
      </c>
      <c r="AJ26" s="117" t="s">
        <v>67</v>
      </c>
      <c r="AK26" s="117" t="s">
        <v>66</v>
      </c>
    </row>
    <row r="27" spans="1:38">
      <c r="A27" s="115">
        <v>21</v>
      </c>
      <c r="B27" s="117" t="s">
        <v>70</v>
      </c>
      <c r="C27" s="126">
        <f t="shared" ref="C27:I27" si="23">C26/C7</f>
        <v>-0.18297469590185314</v>
      </c>
      <c r="D27" s="126">
        <f t="shared" ref="D27:H27" si="24">D26/D7</f>
        <v>-0.18297469590185314</v>
      </c>
      <c r="E27" s="126">
        <f t="shared" si="24"/>
        <v>-0.10792898294377765</v>
      </c>
      <c r="F27" s="126">
        <f t="shared" si="24"/>
        <v>-0.10792898294377765</v>
      </c>
      <c r="G27" s="126" t="e">
        <f t="shared" si="24"/>
        <v>#DIV/0!</v>
      </c>
      <c r="H27" s="126" t="e">
        <f t="shared" si="24"/>
        <v>#DIV/0!</v>
      </c>
      <c r="I27" s="126">
        <f t="shared" si="23"/>
        <v>-0.1414371561771561</v>
      </c>
      <c r="J27" s="2"/>
      <c r="K27" s="2"/>
      <c r="L27" s="2"/>
      <c r="T27" s="117" t="s">
        <v>70</v>
      </c>
      <c r="AJ27" s="117" t="s">
        <v>69</v>
      </c>
      <c r="AK27" s="117" t="s">
        <v>70</v>
      </c>
    </row>
    <row r="28" spans="1:38">
      <c r="J28" s="2"/>
      <c r="K28" s="2"/>
      <c r="L28" s="2"/>
      <c r="T28" s="117"/>
    </row>
    <row r="29" spans="1:38">
      <c r="A29" s="113" t="s">
        <v>71</v>
      </c>
      <c r="I29" s="114" t="s">
        <v>160</v>
      </c>
      <c r="J29" s="2"/>
      <c r="K29" s="2"/>
      <c r="L29" s="2"/>
      <c r="T29" s="117"/>
      <c r="AJ29" s="113" t="s">
        <v>71</v>
      </c>
    </row>
    <row r="30" spans="1:38">
      <c r="A30" s="117" t="s">
        <v>75</v>
      </c>
      <c r="B30" s="120" t="s">
        <v>76</v>
      </c>
      <c r="C30" s="124"/>
      <c r="D30" s="124"/>
      <c r="E30" s="124"/>
      <c r="F30" s="124"/>
      <c r="G30" s="124"/>
      <c r="H30" s="124"/>
      <c r="I30" s="124"/>
      <c r="J30" s="2"/>
      <c r="K30" s="2"/>
      <c r="L30" s="2"/>
      <c r="N30" s="2"/>
      <c r="T30" s="120" t="s">
        <v>76</v>
      </c>
      <c r="AJ30" s="117" t="s">
        <v>77</v>
      </c>
      <c r="AK30" s="120" t="s">
        <v>76</v>
      </c>
    </row>
    <row r="31" spans="1:38">
      <c r="A31" s="115">
        <v>1</v>
      </c>
      <c r="B31" s="122" t="s">
        <v>78</v>
      </c>
      <c r="C31" s="127">
        <f>销量!C8</f>
        <v>38.31</v>
      </c>
      <c r="D31" s="127">
        <f>销量!D8</f>
        <v>38.31</v>
      </c>
      <c r="E31" s="127">
        <f>销量!E8</f>
        <v>47.49</v>
      </c>
      <c r="F31" s="127">
        <f>销量!F8</f>
        <v>47.49</v>
      </c>
      <c r="G31" s="127">
        <f>销量!G8</f>
        <v>0</v>
      </c>
      <c r="H31" s="127">
        <f>销量!H8</f>
        <v>0</v>
      </c>
      <c r="I31" s="124"/>
      <c r="J31" s="2"/>
      <c r="K31" s="2"/>
      <c r="L31" s="2"/>
      <c r="N31" s="2"/>
      <c r="T31" s="117" t="s">
        <v>78</v>
      </c>
      <c r="AJ31" s="117" t="s">
        <v>29</v>
      </c>
      <c r="AK31" s="117" t="s">
        <v>78</v>
      </c>
    </row>
    <row r="32" spans="1:38">
      <c r="A32" s="115">
        <v>2</v>
      </c>
      <c r="B32" s="117" t="s">
        <v>161</v>
      </c>
      <c r="C32" s="119">
        <f>C9/C6</f>
        <v>38.31</v>
      </c>
      <c r="D32" s="119">
        <f t="shared" ref="D32:H32" si="25">D9/D6</f>
        <v>38.31</v>
      </c>
      <c r="E32" s="119">
        <f t="shared" si="25"/>
        <v>47.49</v>
      </c>
      <c r="F32" s="119">
        <f t="shared" si="25"/>
        <v>47.49</v>
      </c>
      <c r="G32" s="119" t="e">
        <f t="shared" si="25"/>
        <v>#DIV/0!</v>
      </c>
      <c r="H32" s="119" t="e">
        <f t="shared" si="25"/>
        <v>#DIV/0!</v>
      </c>
      <c r="I32" s="124"/>
      <c r="J32" s="2"/>
      <c r="K32" s="2"/>
      <c r="L32" s="2"/>
      <c r="M32" s="2"/>
      <c r="N32" s="2"/>
      <c r="O32" s="2"/>
      <c r="P32" s="2"/>
      <c r="AJ32" s="117"/>
      <c r="AK32" s="117"/>
    </row>
    <row r="33" spans="1:37">
      <c r="A33" s="115">
        <v>3</v>
      </c>
      <c r="B33" s="122" t="s">
        <v>79</v>
      </c>
      <c r="C33" s="119">
        <f>材料成本!H18</f>
        <v>38.229999999999997</v>
      </c>
      <c r="D33" s="119">
        <f>材料成本!H19</f>
        <v>38.229999999999997</v>
      </c>
      <c r="E33" s="119">
        <f>材料成本!H20</f>
        <v>44.33</v>
      </c>
      <c r="F33" s="119">
        <f>材料成本!H21</f>
        <v>44.33</v>
      </c>
      <c r="G33" s="119">
        <f>材料成本!H22</f>
        <v>0</v>
      </c>
      <c r="H33" s="119"/>
      <c r="I33" s="124"/>
      <c r="K33" s="2"/>
      <c r="L33" s="2"/>
      <c r="M33" s="2"/>
      <c r="N33" s="2"/>
      <c r="O33" s="2"/>
      <c r="P33" s="2"/>
      <c r="T33" s="117" t="s">
        <v>79</v>
      </c>
      <c r="AJ33" s="117" t="s">
        <v>31</v>
      </c>
      <c r="AK33" s="117" t="s">
        <v>79</v>
      </c>
    </row>
    <row r="34" spans="1:37" ht="17.25" customHeight="1">
      <c r="A34" s="115">
        <v>4</v>
      </c>
      <c r="B34" s="117" t="s">
        <v>81</v>
      </c>
      <c r="C34" s="128">
        <f>C32-C33</f>
        <v>8.00000000000054E-2</v>
      </c>
      <c r="D34" s="128">
        <f t="shared" ref="D34:H34" si="26">D32-D33</f>
        <v>8.00000000000054E-2</v>
      </c>
      <c r="E34" s="128">
        <f t="shared" si="26"/>
        <v>3.1600000000000037</v>
      </c>
      <c r="F34" s="128">
        <f t="shared" si="26"/>
        <v>3.1600000000000037</v>
      </c>
      <c r="G34" s="128" t="e">
        <f t="shared" si="26"/>
        <v>#DIV/0!</v>
      </c>
      <c r="H34" s="128" t="e">
        <f t="shared" si="26"/>
        <v>#DIV/0!</v>
      </c>
      <c r="I34" s="124"/>
      <c r="K34" s="2"/>
      <c r="L34" s="2"/>
      <c r="M34" s="2"/>
      <c r="N34" s="2"/>
      <c r="O34" s="2"/>
      <c r="P34" s="2"/>
      <c r="T34" s="117" t="s">
        <v>81</v>
      </c>
      <c r="AJ34" s="117" t="s">
        <v>80</v>
      </c>
      <c r="AK34" s="117" t="s">
        <v>81</v>
      </c>
    </row>
    <row r="35" spans="1:37">
      <c r="A35" s="117" t="s">
        <v>77</v>
      </c>
      <c r="B35" s="120" t="s">
        <v>10</v>
      </c>
      <c r="C35" s="124"/>
      <c r="D35" s="124"/>
      <c r="E35" s="124"/>
      <c r="F35" s="124"/>
      <c r="G35" s="124"/>
      <c r="H35" s="124"/>
      <c r="I35" s="124"/>
      <c r="J35" s="2"/>
      <c r="K35" s="2"/>
      <c r="L35" s="2"/>
      <c r="M35" s="2"/>
      <c r="N35" s="2"/>
      <c r="O35" s="2"/>
      <c r="P35" s="2"/>
      <c r="Q35" s="2"/>
      <c r="R35" s="2"/>
      <c r="S35" s="2"/>
      <c r="T35" s="120" t="s">
        <v>10</v>
      </c>
      <c r="AJ35" s="117" t="s">
        <v>83</v>
      </c>
      <c r="AK35" s="120" t="s">
        <v>10</v>
      </c>
    </row>
    <row r="36" spans="1:37">
      <c r="A36" s="115">
        <v>1</v>
      </c>
      <c r="B36" s="117" t="s">
        <v>84</v>
      </c>
      <c r="C36" s="123">
        <f>'2023年'!C36</f>
        <v>0</v>
      </c>
      <c r="D36" s="123">
        <f>'2023年'!D36</f>
        <v>0</v>
      </c>
      <c r="E36" s="123">
        <f>'2023年'!E36</f>
        <v>0</v>
      </c>
      <c r="F36" s="123">
        <f>'2023年'!F36</f>
        <v>0</v>
      </c>
      <c r="G36" s="123">
        <f>'2023年'!G36</f>
        <v>0</v>
      </c>
      <c r="H36" s="123"/>
      <c r="I36" s="127"/>
      <c r="J36" s="2"/>
      <c r="K36" s="2"/>
      <c r="L36" s="2"/>
      <c r="M36" s="2"/>
      <c r="N36" s="2"/>
      <c r="O36" s="2"/>
      <c r="P36" s="2"/>
      <c r="Q36" s="2"/>
      <c r="R36" s="2"/>
      <c r="S36" s="2"/>
      <c r="T36" s="117" t="s">
        <v>84</v>
      </c>
      <c r="AJ36" s="117" t="s">
        <v>80</v>
      </c>
      <c r="AK36" s="117" t="s">
        <v>84</v>
      </c>
    </row>
    <row r="37" spans="1:37">
      <c r="A37" s="115">
        <v>2</v>
      </c>
      <c r="B37" s="117" t="s">
        <v>85</v>
      </c>
      <c r="C37" s="123">
        <f>'2023年'!C37</f>
        <v>0</v>
      </c>
      <c r="D37" s="123">
        <f>'2023年'!D37</f>
        <v>0</v>
      </c>
      <c r="E37" s="123">
        <f>'2023年'!E37</f>
        <v>0</v>
      </c>
      <c r="F37" s="123">
        <f>'2023年'!F37</f>
        <v>0</v>
      </c>
      <c r="G37" s="123">
        <f>'2023年'!G37</f>
        <v>0</v>
      </c>
      <c r="H37" s="123"/>
      <c r="I37" s="127"/>
      <c r="J37" s="2"/>
      <c r="K37" s="2"/>
      <c r="L37" s="2"/>
      <c r="M37" s="2"/>
      <c r="N37" s="2"/>
      <c r="O37" s="2"/>
      <c r="P37" s="2"/>
      <c r="Q37" s="2"/>
      <c r="R37" s="2"/>
      <c r="S37" s="2"/>
      <c r="T37" s="117" t="s">
        <v>85</v>
      </c>
      <c r="AJ37" s="117" t="s">
        <v>34</v>
      </c>
      <c r="AK37" s="117" t="s">
        <v>85</v>
      </c>
    </row>
    <row r="38" spans="1:37">
      <c r="A38" s="115">
        <v>3</v>
      </c>
      <c r="B38" s="117" t="s">
        <v>86</v>
      </c>
      <c r="C38" s="123">
        <f>'2023年'!C38</f>
        <v>2.2265771999999999</v>
      </c>
      <c r="D38" s="123">
        <f>'2023年'!D38</f>
        <v>2.2265771999999999</v>
      </c>
      <c r="E38" s="123">
        <f>'2023年'!E38</f>
        <v>2.7601187999999999</v>
      </c>
      <c r="F38" s="123">
        <f>'2023年'!F38</f>
        <v>2.7601187999999999</v>
      </c>
      <c r="G38" s="123">
        <f>'2023年'!G38</f>
        <v>0</v>
      </c>
      <c r="H38" s="123"/>
      <c r="I38" s="127"/>
      <c r="J38" s="2"/>
      <c r="K38" s="2"/>
      <c r="L38" s="2"/>
      <c r="M38" s="2"/>
      <c r="N38" s="2"/>
      <c r="O38" s="2"/>
      <c r="P38" s="2"/>
      <c r="Q38" s="2"/>
      <c r="R38" s="2"/>
      <c r="S38" s="2"/>
      <c r="T38" s="117" t="s">
        <v>86</v>
      </c>
      <c r="AJ38" s="117" t="s">
        <v>40</v>
      </c>
      <c r="AK38" s="117" t="s">
        <v>86</v>
      </c>
    </row>
    <row r="39" spans="1:37">
      <c r="A39" s="117" t="s">
        <v>83</v>
      </c>
      <c r="B39" s="120" t="s">
        <v>88</v>
      </c>
      <c r="C39" s="124"/>
      <c r="D39" s="124"/>
      <c r="E39" s="124"/>
      <c r="F39" s="124"/>
      <c r="G39" s="124"/>
      <c r="H39" s="124"/>
      <c r="I39" s="124"/>
      <c r="T39" s="120" t="s">
        <v>88</v>
      </c>
      <c r="AJ39" s="117" t="s">
        <v>87</v>
      </c>
      <c r="AK39" s="120" t="s">
        <v>88</v>
      </c>
    </row>
    <row r="40" spans="1:37">
      <c r="A40" s="115">
        <v>1</v>
      </c>
      <c r="B40" s="117" t="s">
        <v>90</v>
      </c>
      <c r="C40" s="124">
        <f>C34-C36-C37-C38</f>
        <v>-2.1465771999999945</v>
      </c>
      <c r="D40" s="124">
        <f t="shared" ref="D40:H40" si="27">D34-D36-D37-D38</f>
        <v>-2.1465771999999945</v>
      </c>
      <c r="E40" s="124">
        <f t="shared" si="27"/>
        <v>0.39988120000000382</v>
      </c>
      <c r="F40" s="124">
        <f t="shared" si="27"/>
        <v>0.39988120000000382</v>
      </c>
      <c r="G40" s="124" t="e">
        <f t="shared" si="27"/>
        <v>#DIV/0!</v>
      </c>
      <c r="H40" s="124" t="e">
        <f t="shared" si="27"/>
        <v>#DIV/0!</v>
      </c>
      <c r="I40" s="124"/>
      <c r="T40" s="117" t="s">
        <v>90</v>
      </c>
      <c r="AJ40" s="117" t="s">
        <v>29</v>
      </c>
      <c r="AK40" s="117" t="s">
        <v>90</v>
      </c>
    </row>
    <row r="41" spans="1:37">
      <c r="A41" s="115">
        <v>2</v>
      </c>
      <c r="B41" s="117" t="s">
        <v>91</v>
      </c>
      <c r="C41" s="124"/>
      <c r="D41" s="124"/>
      <c r="E41" s="124"/>
      <c r="F41" s="124"/>
      <c r="G41" s="124"/>
      <c r="H41" s="124"/>
      <c r="I41" s="124"/>
      <c r="T41" s="117" t="s">
        <v>91</v>
      </c>
      <c r="AJ41" s="117" t="s">
        <v>31</v>
      </c>
      <c r="AK41" s="117" t="s">
        <v>91</v>
      </c>
    </row>
    <row r="42" spans="1:37">
      <c r="A42" s="117" t="s">
        <v>87</v>
      </c>
      <c r="B42" s="120" t="s">
        <v>93</v>
      </c>
      <c r="C42" s="124"/>
      <c r="D42" s="124"/>
      <c r="E42" s="124"/>
      <c r="F42" s="124"/>
      <c r="G42" s="124"/>
      <c r="H42" s="124"/>
      <c r="I42" s="124"/>
      <c r="T42" s="120" t="s">
        <v>93</v>
      </c>
      <c r="AJ42" s="117" t="s">
        <v>92</v>
      </c>
      <c r="AK42" s="120" t="s">
        <v>93</v>
      </c>
    </row>
    <row r="43" spans="1:37">
      <c r="A43" s="115">
        <v>1</v>
      </c>
      <c r="B43" s="125" t="s">
        <v>94</v>
      </c>
      <c r="C43" s="123">
        <f>'2023年'!C43</f>
        <v>0</v>
      </c>
      <c r="D43" s="123">
        <f>'2023年'!D43</f>
        <v>0</v>
      </c>
      <c r="E43" s="123">
        <f>'2023年'!E43</f>
        <v>0</v>
      </c>
      <c r="F43" s="123">
        <f>'2023年'!F43</f>
        <v>0</v>
      </c>
      <c r="G43" s="123">
        <f>'2023年'!G43</f>
        <v>0</v>
      </c>
      <c r="H43" s="123"/>
      <c r="I43" s="124"/>
      <c r="T43" s="117" t="s">
        <v>94</v>
      </c>
      <c r="AJ43" s="117" t="s">
        <v>29</v>
      </c>
      <c r="AK43" s="117" t="s">
        <v>94</v>
      </c>
    </row>
    <row r="44" spans="1:37">
      <c r="A44" s="115">
        <v>2</v>
      </c>
      <c r="B44" s="125" t="s">
        <v>95</v>
      </c>
      <c r="C44" s="123">
        <f>'2023年'!C44</f>
        <v>0.82328190000000001</v>
      </c>
      <c r="D44" s="123">
        <f>'2023年'!D44</f>
        <v>0.82328190000000001</v>
      </c>
      <c r="E44" s="123">
        <f>'2023年'!E44</f>
        <v>1.0205601</v>
      </c>
      <c r="F44" s="123">
        <f>'2023年'!F44</f>
        <v>1.0205601</v>
      </c>
      <c r="G44" s="123">
        <f>'2023年'!G44</f>
        <v>0</v>
      </c>
      <c r="H44" s="123"/>
      <c r="I44" s="124"/>
      <c r="T44" s="117" t="s">
        <v>95</v>
      </c>
      <c r="AJ44" s="117" t="s">
        <v>31</v>
      </c>
      <c r="AK44" s="117" t="s">
        <v>95</v>
      </c>
    </row>
    <row r="45" spans="1:37">
      <c r="A45" s="115">
        <v>3</v>
      </c>
      <c r="B45" s="125" t="s">
        <v>96</v>
      </c>
      <c r="C45" s="123">
        <f>'2023年'!C45</f>
        <v>1.1243985000000001</v>
      </c>
      <c r="D45" s="123">
        <f>'2023年'!D45</f>
        <v>1.1243985000000001</v>
      </c>
      <c r="E45" s="123">
        <f>'2023年'!E45</f>
        <v>1.3938315000000001</v>
      </c>
      <c r="F45" s="123">
        <f>'2023年'!F45</f>
        <v>1.3938315000000001</v>
      </c>
      <c r="G45" s="123">
        <f>'2023年'!G45</f>
        <v>0</v>
      </c>
      <c r="H45" s="123"/>
      <c r="I45" s="124"/>
      <c r="T45" s="117" t="s">
        <v>96</v>
      </c>
      <c r="AJ45" s="117" t="s">
        <v>80</v>
      </c>
      <c r="AK45" s="117" t="s">
        <v>96</v>
      </c>
    </row>
    <row r="46" spans="1:37" s="112" customFormat="1">
      <c r="A46" s="115">
        <v>4</v>
      </c>
      <c r="B46" s="125" t="s">
        <v>97</v>
      </c>
      <c r="C46" s="129">
        <f>C21/C6</f>
        <v>0</v>
      </c>
      <c r="D46" s="129">
        <f t="shared" ref="D46:H46" si="28">D21/D6</f>
        <v>0</v>
      </c>
      <c r="E46" s="129">
        <f t="shared" si="28"/>
        <v>0</v>
      </c>
      <c r="F46" s="129">
        <f t="shared" si="28"/>
        <v>0</v>
      </c>
      <c r="G46" s="129" t="e">
        <f t="shared" si="28"/>
        <v>#DIV/0!</v>
      </c>
      <c r="H46" s="129" t="e">
        <f t="shared" si="28"/>
        <v>#DIV/0!</v>
      </c>
      <c r="I46" s="129"/>
      <c r="T46" s="125" t="s">
        <v>99</v>
      </c>
      <c r="AJ46" s="125" t="s">
        <v>37</v>
      </c>
      <c r="AK46" s="125" t="s">
        <v>99</v>
      </c>
    </row>
    <row r="47" spans="1:37" s="112" customFormat="1">
      <c r="A47" s="115">
        <v>5</v>
      </c>
      <c r="B47" s="125" t="s">
        <v>99</v>
      </c>
      <c r="C47" s="123">
        <f>'2023年'!C47</f>
        <v>0.81600300000000003</v>
      </c>
      <c r="D47" s="123">
        <f>'2023年'!D47</f>
        <v>0.81600300000000003</v>
      </c>
      <c r="E47" s="123">
        <f>'2023年'!E47</f>
        <v>1.0115369999999999</v>
      </c>
      <c r="F47" s="123">
        <f>'2023年'!F47</f>
        <v>1.0115369999999999</v>
      </c>
      <c r="G47" s="123">
        <f>'2023年'!G47</f>
        <v>0</v>
      </c>
      <c r="H47" s="129"/>
      <c r="I47" s="129"/>
      <c r="T47" s="125" t="s">
        <v>99</v>
      </c>
      <c r="AJ47" s="125" t="s">
        <v>37</v>
      </c>
      <c r="AK47" s="125" t="s">
        <v>99</v>
      </c>
    </row>
    <row r="48" spans="1:37">
      <c r="A48" s="117" t="s">
        <v>92</v>
      </c>
      <c r="B48" s="120" t="s">
        <v>110</v>
      </c>
      <c r="C48" s="124">
        <f>C40-C43-C44-C45-C47-C46</f>
        <v>-4.9102605999999946</v>
      </c>
      <c r="D48" s="124">
        <f t="shared" ref="D48:H48" si="29">D40-D43-D44-D45-D47-D46</f>
        <v>-4.9102605999999946</v>
      </c>
      <c r="E48" s="124">
        <f t="shared" si="29"/>
        <v>-3.0260473999999959</v>
      </c>
      <c r="F48" s="124">
        <f t="shared" si="29"/>
        <v>-3.0260473999999959</v>
      </c>
      <c r="G48" s="124" t="e">
        <f t="shared" si="29"/>
        <v>#DIV/0!</v>
      </c>
      <c r="H48" s="124" t="e">
        <f t="shared" si="29"/>
        <v>#DIV/0!</v>
      </c>
      <c r="I48" s="124"/>
      <c r="T48" s="120" t="s">
        <v>110</v>
      </c>
      <c r="AJ48" s="117" t="s">
        <v>109</v>
      </c>
      <c r="AK48" s="120" t="s">
        <v>110</v>
      </c>
    </row>
    <row r="51" spans="2:14">
      <c r="C51" s="130"/>
      <c r="D51" s="130"/>
      <c r="E51" s="130"/>
      <c r="F51" s="130"/>
      <c r="G51" s="130"/>
      <c r="H51" s="130"/>
    </row>
    <row r="54" spans="2:14">
      <c r="B54" s="2"/>
      <c r="C54" s="17"/>
      <c r="D54" s="17"/>
      <c r="E54" s="17"/>
      <c r="F54" s="17"/>
      <c r="G54" s="17"/>
      <c r="H54" s="17"/>
      <c r="I54" s="17"/>
      <c r="J54" s="2"/>
      <c r="K54" s="2"/>
      <c r="L54" s="2"/>
      <c r="M54" s="2"/>
      <c r="N54" s="2"/>
    </row>
    <row r="55" spans="2:14">
      <c r="B55" s="2"/>
      <c r="C55" s="17"/>
      <c r="D55" s="17"/>
      <c r="E55" s="17"/>
      <c r="F55" s="17"/>
      <c r="G55" s="17"/>
      <c r="H55" s="17"/>
      <c r="I55" s="17"/>
      <c r="J55" s="2"/>
      <c r="K55" s="2"/>
      <c r="L55" s="2"/>
      <c r="M55" s="2"/>
      <c r="N55" s="2"/>
    </row>
    <row r="56" spans="2:14">
      <c r="B56" s="2"/>
      <c r="C56" s="17"/>
      <c r="D56" s="17"/>
      <c r="E56" s="17"/>
      <c r="F56" s="17"/>
      <c r="G56" s="17"/>
      <c r="H56" s="17"/>
      <c r="I56" s="17"/>
      <c r="J56" s="2"/>
      <c r="K56" s="2"/>
      <c r="L56" s="2"/>
      <c r="M56" s="2"/>
      <c r="N56" s="2"/>
    </row>
    <row r="57" spans="2:14">
      <c r="B57" s="2"/>
      <c r="C57" s="17"/>
      <c r="D57" s="17"/>
      <c r="E57" s="17"/>
      <c r="F57" s="17"/>
      <c r="G57" s="17"/>
      <c r="H57" s="17"/>
      <c r="I57" s="17"/>
      <c r="J57" s="2"/>
      <c r="K57" s="2"/>
      <c r="L57" s="2"/>
      <c r="M57" s="2"/>
      <c r="N57" s="2"/>
    </row>
    <row r="58" spans="2:14">
      <c r="B58" s="2"/>
      <c r="C58" s="17"/>
      <c r="D58" s="17"/>
      <c r="E58" s="17"/>
      <c r="F58" s="17"/>
      <c r="G58" s="17"/>
      <c r="H58" s="17"/>
      <c r="I58" s="17"/>
      <c r="J58" s="2"/>
      <c r="K58" s="2"/>
      <c r="L58" s="2"/>
      <c r="M58" s="2"/>
      <c r="N58" s="2"/>
    </row>
    <row r="59" spans="2:14">
      <c r="B59" s="2"/>
      <c r="C59" s="17"/>
      <c r="D59" s="17"/>
      <c r="E59" s="17"/>
      <c r="F59" s="17"/>
      <c r="G59" s="17"/>
      <c r="H59" s="17"/>
      <c r="I59" s="17"/>
      <c r="J59" s="2"/>
      <c r="K59" s="2"/>
      <c r="L59" s="2"/>
      <c r="M59" s="2"/>
      <c r="N59" s="2"/>
    </row>
    <row r="60" spans="2:14">
      <c r="B60" s="2"/>
      <c r="C60" s="17"/>
      <c r="D60" s="17"/>
      <c r="E60" s="17"/>
      <c r="F60" s="17"/>
      <c r="G60" s="17"/>
      <c r="H60" s="17"/>
      <c r="I60" s="17"/>
      <c r="J60" s="2"/>
      <c r="K60" s="2"/>
      <c r="L60" s="2"/>
      <c r="M60" s="2"/>
      <c r="N60" s="2"/>
    </row>
    <row r="61" spans="2:14">
      <c r="B61" s="2"/>
      <c r="C61" s="17"/>
      <c r="D61" s="17"/>
      <c r="E61" s="17"/>
      <c r="F61" s="17"/>
      <c r="G61" s="17"/>
      <c r="H61" s="17"/>
      <c r="I61" s="17"/>
      <c r="J61" s="2"/>
      <c r="K61" s="2"/>
      <c r="L61" s="2"/>
      <c r="M61" s="2"/>
      <c r="N61" s="2"/>
    </row>
    <row r="62" spans="2:14">
      <c r="B62" s="2"/>
      <c r="C62" s="17"/>
      <c r="D62" s="17"/>
      <c r="E62" s="17"/>
      <c r="F62" s="17"/>
      <c r="G62" s="17"/>
      <c r="H62" s="17"/>
      <c r="I62" s="17"/>
      <c r="J62" s="2"/>
      <c r="K62" s="2"/>
      <c r="L62" s="2"/>
      <c r="M62" s="2"/>
      <c r="N62" s="2"/>
    </row>
    <row r="63" spans="2:14">
      <c r="B63" s="2"/>
      <c r="C63" s="17"/>
      <c r="D63" s="17"/>
      <c r="E63" s="17"/>
      <c r="F63" s="17"/>
      <c r="G63" s="17"/>
      <c r="H63" s="17"/>
      <c r="I63" s="17"/>
      <c r="J63" s="2"/>
      <c r="K63" s="2"/>
      <c r="L63" s="2"/>
      <c r="M63" s="2"/>
      <c r="N63" s="2"/>
    </row>
    <row r="64" spans="2:14">
      <c r="B64" s="2"/>
      <c r="C64" s="17"/>
      <c r="D64" s="17"/>
      <c r="E64" s="17"/>
      <c r="F64" s="17"/>
      <c r="G64" s="17"/>
      <c r="H64" s="17"/>
      <c r="I64" s="17"/>
      <c r="J64" s="2"/>
      <c r="K64" s="2"/>
      <c r="L64" s="2"/>
      <c r="M64" s="2"/>
      <c r="N64" s="2"/>
    </row>
    <row r="65" spans="2:14">
      <c r="B65" s="2"/>
      <c r="C65" s="17"/>
      <c r="D65" s="17"/>
      <c r="E65" s="17"/>
      <c r="F65" s="17"/>
      <c r="G65" s="17"/>
      <c r="H65" s="17"/>
      <c r="I65" s="17"/>
      <c r="J65" s="2"/>
      <c r="K65" s="2"/>
      <c r="L65" s="2"/>
      <c r="M65" s="2"/>
      <c r="N65" s="2"/>
    </row>
    <row r="66" spans="2:14">
      <c r="B66" s="2"/>
      <c r="C66" s="17"/>
      <c r="D66" s="17"/>
      <c r="E66" s="17"/>
      <c r="F66" s="17"/>
      <c r="G66" s="17"/>
      <c r="H66" s="17"/>
      <c r="I66" s="17"/>
      <c r="J66" s="2"/>
      <c r="K66" s="2"/>
      <c r="L66" s="2"/>
      <c r="M66" s="2"/>
      <c r="N66" s="2"/>
    </row>
    <row r="67" spans="2:14">
      <c r="B67" s="2"/>
      <c r="C67" s="17"/>
      <c r="D67" s="17"/>
      <c r="E67" s="17"/>
      <c r="F67" s="17"/>
      <c r="G67" s="17"/>
      <c r="H67" s="17"/>
      <c r="I67" s="17"/>
      <c r="J67" s="2"/>
    </row>
    <row r="68" spans="2:14">
      <c r="B68" s="2"/>
      <c r="C68" s="17"/>
      <c r="D68" s="17"/>
      <c r="E68" s="17"/>
      <c r="F68" s="17"/>
      <c r="G68" s="17"/>
      <c r="H68" s="17"/>
      <c r="I68" s="17"/>
      <c r="J68" s="2"/>
    </row>
    <row r="69" spans="2:14">
      <c r="B69" s="2"/>
      <c r="C69" s="17"/>
      <c r="D69" s="17"/>
      <c r="E69" s="17"/>
      <c r="F69" s="17"/>
      <c r="G69" s="17"/>
      <c r="H69" s="17"/>
      <c r="I69" s="17"/>
      <c r="J69" s="2"/>
    </row>
    <row r="70" spans="2:14">
      <c r="B70" s="2"/>
      <c r="C70" s="17"/>
      <c r="D70" s="17"/>
      <c r="E70" s="17"/>
      <c r="F70" s="17"/>
      <c r="G70" s="17"/>
      <c r="H70" s="17"/>
      <c r="I70" s="17"/>
      <c r="J70" s="2"/>
    </row>
    <row r="71" spans="2:14">
      <c r="B71" s="2"/>
      <c r="C71" s="17"/>
      <c r="D71" s="17"/>
      <c r="E71" s="17"/>
      <c r="F71" s="17"/>
      <c r="G71" s="17"/>
      <c r="H71" s="17"/>
      <c r="I71" s="17"/>
      <c r="J71" s="2"/>
    </row>
    <row r="72" spans="2:14">
      <c r="B72" s="2"/>
      <c r="C72" s="17"/>
      <c r="D72" s="17"/>
      <c r="E72" s="17"/>
      <c r="F72" s="17"/>
      <c r="G72" s="17"/>
      <c r="H72" s="17"/>
      <c r="I72" s="17"/>
      <c r="J72" s="2"/>
    </row>
    <row r="73" spans="2:14">
      <c r="B73" s="2"/>
      <c r="C73" s="17"/>
      <c r="D73" s="17"/>
      <c r="E73" s="17"/>
      <c r="F73" s="17"/>
      <c r="G73" s="17"/>
      <c r="H73" s="17"/>
      <c r="I73" s="17"/>
      <c r="J73" s="2"/>
    </row>
    <row r="74" spans="2:14">
      <c r="B74" s="2"/>
      <c r="C74" s="17"/>
      <c r="D74" s="17"/>
      <c r="E74" s="17"/>
      <c r="F74" s="17"/>
      <c r="G74" s="17"/>
      <c r="H74" s="17"/>
      <c r="I74" s="17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C24" sqref="C24"/>
    </sheetView>
  </sheetViews>
  <sheetFormatPr defaultColWidth="9" defaultRowHeight="16.5"/>
  <cols>
    <col min="1" max="1" width="5.125" style="113" customWidth="1"/>
    <col min="2" max="2" width="17.5" style="113" customWidth="1"/>
    <col min="3" max="8" width="13.25" style="114" customWidth="1"/>
    <col min="9" max="9" width="18.75" style="114" customWidth="1"/>
    <col min="10" max="10" width="12.375" style="113" customWidth="1"/>
    <col min="11" max="11" width="10.125" style="113" customWidth="1"/>
    <col min="12" max="18" width="9" style="113" customWidth="1"/>
    <col min="19" max="35" width="9" style="113"/>
    <col min="36" max="36" width="4.375" style="113" customWidth="1"/>
    <col min="37" max="37" width="13.875" style="113" customWidth="1"/>
    <col min="38" max="16384" width="9" style="113"/>
  </cols>
  <sheetData>
    <row r="1" spans="1:38">
      <c r="A1" s="224" t="s">
        <v>150</v>
      </c>
      <c r="B1" s="224"/>
      <c r="C1" s="228" t="s">
        <v>165</v>
      </c>
      <c r="D1" s="229"/>
      <c r="E1" s="229"/>
      <c r="F1" s="229"/>
      <c r="G1" s="229"/>
      <c r="H1" s="229"/>
      <c r="I1" s="230"/>
    </row>
    <row r="2" spans="1:38">
      <c r="A2" s="224" t="s">
        <v>152</v>
      </c>
      <c r="B2" s="224"/>
      <c r="C2" s="231" t="str">
        <f>'2023年'!C2:I2</f>
        <v>北京汽车集团越野车有限公司</v>
      </c>
      <c r="D2" s="231"/>
      <c r="E2" s="231"/>
      <c r="F2" s="231"/>
      <c r="G2" s="231"/>
      <c r="H2" s="231"/>
      <c r="I2" s="231"/>
    </row>
    <row r="3" spans="1:38">
      <c r="A3" s="224" t="s">
        <v>153</v>
      </c>
      <c r="B3" s="224"/>
      <c r="C3" s="34" t="str">
        <f>销量!C5</f>
        <v>左后门上饰条总成</v>
      </c>
      <c r="D3" s="34" t="str">
        <f>销量!D5</f>
        <v>右后门上饰条总成</v>
      </c>
      <c r="E3" s="34" t="str">
        <f>销量!E5</f>
        <v>左前门上饰条总成</v>
      </c>
      <c r="F3" s="34" t="str">
        <f>销量!F5</f>
        <v>右前门上饰条总成</v>
      </c>
      <c r="G3" s="34">
        <f>销量!G5</f>
        <v>0</v>
      </c>
      <c r="H3" s="34">
        <f>销量!H5</f>
        <v>0</v>
      </c>
      <c r="I3" s="225" t="s">
        <v>25</v>
      </c>
    </row>
    <row r="4" spans="1:38">
      <c r="A4" s="224" t="s">
        <v>154</v>
      </c>
      <c r="B4" s="224"/>
      <c r="C4" s="34" t="str">
        <f>销量!C6</f>
        <v>B00041333</v>
      </c>
      <c r="D4" s="34" t="str">
        <f>销量!D6</f>
        <v>B00041343</v>
      </c>
      <c r="E4" s="34" t="str">
        <f>销量!E6</f>
        <v>B00041331</v>
      </c>
      <c r="F4" s="34" t="str">
        <f>销量!F6</f>
        <v>B00041332</v>
      </c>
      <c r="G4" s="34">
        <f>销量!G6</f>
        <v>0</v>
      </c>
      <c r="H4" s="34">
        <f>销量!H6</f>
        <v>0</v>
      </c>
      <c r="I4" s="226"/>
    </row>
    <row r="5" spans="1:38">
      <c r="A5" s="224" t="s">
        <v>155</v>
      </c>
      <c r="B5" s="224"/>
      <c r="C5" s="116"/>
      <c r="D5" s="116"/>
      <c r="E5" s="116"/>
      <c r="F5" s="116"/>
      <c r="G5" s="116"/>
      <c r="H5" s="116"/>
      <c r="I5" s="227"/>
      <c r="AL5" s="113" t="s">
        <v>26</v>
      </c>
    </row>
    <row r="6" spans="1:38" ht="17.25">
      <c r="A6" s="117" t="s">
        <v>19</v>
      </c>
      <c r="B6" s="118" t="s">
        <v>156</v>
      </c>
      <c r="C6" s="56">
        <f>销量!C13</f>
        <v>10000</v>
      </c>
      <c r="D6" s="56">
        <f>销量!D13</f>
        <v>10000</v>
      </c>
      <c r="E6" s="56">
        <f>销量!E13</f>
        <v>10000</v>
      </c>
      <c r="F6" s="56">
        <f>销量!F13</f>
        <v>10000</v>
      </c>
      <c r="G6" s="56">
        <f>销量!G13</f>
        <v>0</v>
      </c>
      <c r="H6" s="56">
        <f>销量!H13</f>
        <v>0</v>
      </c>
      <c r="I6" s="119">
        <f>SUM(C6:H6)</f>
        <v>40000</v>
      </c>
      <c r="T6" s="118" t="s">
        <v>3</v>
      </c>
      <c r="AJ6" s="117" t="s">
        <v>19</v>
      </c>
      <c r="AK6" s="118" t="s">
        <v>3</v>
      </c>
      <c r="AL6" s="113" t="s">
        <v>27</v>
      </c>
    </row>
    <row r="7" spans="1:38">
      <c r="A7" s="115">
        <v>1</v>
      </c>
      <c r="B7" s="118" t="s">
        <v>28</v>
      </c>
      <c r="C7" s="119">
        <f>C6*销量!C8</f>
        <v>383100</v>
      </c>
      <c r="D7" s="119">
        <f>D6*销量!D8</f>
        <v>383100</v>
      </c>
      <c r="E7" s="119">
        <f>E6*销量!E8</f>
        <v>474900</v>
      </c>
      <c r="F7" s="119">
        <f>F6*销量!F8</f>
        <v>474900</v>
      </c>
      <c r="G7" s="119">
        <f>G6*销量!G8</f>
        <v>0</v>
      </c>
      <c r="H7" s="119">
        <f>H6*销量!H8</f>
        <v>0</v>
      </c>
      <c r="I7" s="119">
        <f t="shared" ref="I7:I22" si="0">SUM(C7:H7)</f>
        <v>1716000</v>
      </c>
      <c r="J7" s="114"/>
      <c r="T7" s="118" t="s">
        <v>28</v>
      </c>
      <c r="AJ7" s="117" t="s">
        <v>29</v>
      </c>
      <c r="AK7" s="118" t="s">
        <v>28</v>
      </c>
      <c r="AL7" s="113" t="s">
        <v>27</v>
      </c>
    </row>
    <row r="8" spans="1:38">
      <c r="A8" s="115">
        <v>2</v>
      </c>
      <c r="B8" s="115" t="s">
        <v>30</v>
      </c>
      <c r="C8" s="119">
        <f>C7*(1-销量!$L$10)</f>
        <v>0</v>
      </c>
      <c r="D8" s="119">
        <f>D7*(1-销量!$L$10)</f>
        <v>0</v>
      </c>
      <c r="E8" s="119">
        <f>E7*(1-销量!$L$10)</f>
        <v>0</v>
      </c>
      <c r="F8" s="119">
        <f>F7*(1-销量!$L$10)</f>
        <v>0</v>
      </c>
      <c r="G8" s="119">
        <f>G7*(1-销量!$L$10)</f>
        <v>0</v>
      </c>
      <c r="H8" s="119">
        <f>H7*(1-销量!$L$10)</f>
        <v>0</v>
      </c>
      <c r="I8" s="119">
        <f t="shared" si="0"/>
        <v>0</v>
      </c>
      <c r="J8" s="131"/>
      <c r="T8" s="115" t="s">
        <v>32</v>
      </c>
      <c r="AJ8" s="117" t="s">
        <v>31</v>
      </c>
      <c r="AK8" s="115" t="s">
        <v>32</v>
      </c>
      <c r="AL8" s="113" t="s">
        <v>27</v>
      </c>
    </row>
    <row r="9" spans="1:38">
      <c r="A9" s="115">
        <v>3</v>
      </c>
      <c r="B9" s="118" t="s">
        <v>33</v>
      </c>
      <c r="C9" s="119">
        <f>+C7-C8</f>
        <v>383100</v>
      </c>
      <c r="D9" s="119">
        <f t="shared" ref="D9:H9" si="1">+D7-D8</f>
        <v>383100</v>
      </c>
      <c r="E9" s="119">
        <f t="shared" si="1"/>
        <v>474900</v>
      </c>
      <c r="F9" s="119">
        <f t="shared" si="1"/>
        <v>474900</v>
      </c>
      <c r="G9" s="119">
        <f t="shared" si="1"/>
        <v>0</v>
      </c>
      <c r="H9" s="119">
        <f t="shared" si="1"/>
        <v>0</v>
      </c>
      <c r="I9" s="119">
        <f t="shared" si="0"/>
        <v>1716000</v>
      </c>
      <c r="T9" s="118" t="s">
        <v>33</v>
      </c>
      <c r="AJ9" s="117" t="s">
        <v>34</v>
      </c>
      <c r="AK9" s="118" t="s">
        <v>33</v>
      </c>
      <c r="AL9" s="113" t="s">
        <v>35</v>
      </c>
    </row>
    <row r="10" spans="1:38">
      <c r="A10" s="115">
        <v>4</v>
      </c>
      <c r="B10" s="117" t="s">
        <v>36</v>
      </c>
      <c r="C10" s="119">
        <f>C6*材料成本!I18</f>
        <v>382299.99999999994</v>
      </c>
      <c r="D10" s="119">
        <f>D6*材料成本!I19</f>
        <v>382299.99999999994</v>
      </c>
      <c r="E10" s="119">
        <f>E6*材料成本!I20</f>
        <v>443300</v>
      </c>
      <c r="F10" s="119">
        <f>F6*材料成本!I21</f>
        <v>443300</v>
      </c>
      <c r="G10" s="119">
        <f>G6*材料成本!I22</f>
        <v>0</v>
      </c>
      <c r="H10" s="119"/>
      <c r="I10" s="119">
        <f t="shared" si="0"/>
        <v>1651200</v>
      </c>
      <c r="T10" s="117" t="s">
        <v>36</v>
      </c>
      <c r="AJ10" s="117" t="s">
        <v>37</v>
      </c>
      <c r="AK10" s="117" t="s">
        <v>36</v>
      </c>
      <c r="AL10" s="113" t="s">
        <v>38</v>
      </c>
    </row>
    <row r="11" spans="1:38">
      <c r="A11" s="115">
        <v>5</v>
      </c>
      <c r="B11" s="117" t="s">
        <v>39</v>
      </c>
      <c r="C11" s="119">
        <f>+C6*C36</f>
        <v>0</v>
      </c>
      <c r="D11" s="119">
        <f t="shared" ref="D11:H11" si="2">+D6*D36</f>
        <v>0</v>
      </c>
      <c r="E11" s="119">
        <f t="shared" si="2"/>
        <v>0</v>
      </c>
      <c r="F11" s="119">
        <f t="shared" si="2"/>
        <v>0</v>
      </c>
      <c r="G11" s="119">
        <f t="shared" si="2"/>
        <v>0</v>
      </c>
      <c r="H11" s="119">
        <f t="shared" si="2"/>
        <v>0</v>
      </c>
      <c r="I11" s="119">
        <f t="shared" si="0"/>
        <v>0</v>
      </c>
      <c r="T11" s="117" t="s">
        <v>39</v>
      </c>
      <c r="AJ11" s="117" t="s">
        <v>40</v>
      </c>
      <c r="AK11" s="117" t="s">
        <v>39</v>
      </c>
    </row>
    <row r="12" spans="1:38">
      <c r="A12" s="115">
        <v>6</v>
      </c>
      <c r="B12" s="117" t="s">
        <v>41</v>
      </c>
      <c r="C12" s="119">
        <f>+C6*C37</f>
        <v>0</v>
      </c>
      <c r="D12" s="119">
        <f t="shared" ref="D12:H12" si="3">+D6*D37</f>
        <v>0</v>
      </c>
      <c r="E12" s="119">
        <f t="shared" si="3"/>
        <v>0</v>
      </c>
      <c r="F12" s="119">
        <f t="shared" si="3"/>
        <v>0</v>
      </c>
      <c r="G12" s="119">
        <f t="shared" si="3"/>
        <v>0</v>
      </c>
      <c r="H12" s="119">
        <f t="shared" si="3"/>
        <v>0</v>
      </c>
      <c r="I12" s="119">
        <f t="shared" si="0"/>
        <v>0</v>
      </c>
      <c r="T12" s="117" t="s">
        <v>41</v>
      </c>
      <c r="AJ12" s="117" t="s">
        <v>42</v>
      </c>
      <c r="AK12" s="117" t="s">
        <v>41</v>
      </c>
    </row>
    <row r="13" spans="1:38">
      <c r="A13" s="115">
        <v>7</v>
      </c>
      <c r="B13" s="117" t="s">
        <v>43</v>
      </c>
      <c r="C13" s="119">
        <f>+C6*C38</f>
        <v>22265.772000000001</v>
      </c>
      <c r="D13" s="119">
        <f t="shared" ref="D13:H13" si="4">+D6*D38</f>
        <v>22265.772000000001</v>
      </c>
      <c r="E13" s="119">
        <f t="shared" si="4"/>
        <v>27601.187999999998</v>
      </c>
      <c r="F13" s="119">
        <f t="shared" si="4"/>
        <v>27601.187999999998</v>
      </c>
      <c r="G13" s="119">
        <f t="shared" si="4"/>
        <v>0</v>
      </c>
      <c r="H13" s="119">
        <f t="shared" si="4"/>
        <v>0</v>
      </c>
      <c r="I13" s="119">
        <f t="shared" si="0"/>
        <v>99733.92</v>
      </c>
      <c r="T13" s="117" t="s">
        <v>43</v>
      </c>
      <c r="AJ13" s="117" t="s">
        <v>44</v>
      </c>
      <c r="AK13" s="117" t="s">
        <v>43</v>
      </c>
      <c r="AL13" s="113" t="s">
        <v>27</v>
      </c>
    </row>
    <row r="14" spans="1:38">
      <c r="A14" s="115">
        <v>8</v>
      </c>
      <c r="B14" s="120" t="s">
        <v>45</v>
      </c>
      <c r="C14" s="119">
        <f>SUM(C11:C13)</f>
        <v>22265.772000000001</v>
      </c>
      <c r="D14" s="119">
        <f t="shared" ref="D14:H14" si="5">SUM(D11:D13)</f>
        <v>22265.772000000001</v>
      </c>
      <c r="E14" s="119">
        <f t="shared" si="5"/>
        <v>27601.187999999998</v>
      </c>
      <c r="F14" s="119">
        <f t="shared" si="5"/>
        <v>27601.187999999998</v>
      </c>
      <c r="G14" s="119">
        <f t="shared" si="5"/>
        <v>0</v>
      </c>
      <c r="H14" s="119">
        <f t="shared" si="5"/>
        <v>0</v>
      </c>
      <c r="I14" s="119">
        <f t="shared" si="0"/>
        <v>99733.92</v>
      </c>
      <c r="T14" s="120" t="s">
        <v>45</v>
      </c>
      <c r="AJ14" s="117" t="s">
        <v>46</v>
      </c>
      <c r="AK14" s="120" t="s">
        <v>45</v>
      </c>
    </row>
    <row r="15" spans="1:38">
      <c r="A15" s="115">
        <v>9</v>
      </c>
      <c r="B15" s="120" t="s">
        <v>47</v>
      </c>
      <c r="C15" s="119">
        <f>+C9-C10-C14</f>
        <v>-21465.771999999943</v>
      </c>
      <c r="D15" s="119">
        <f t="shared" ref="D15:H15" si="6">+D9-D10-D14</f>
        <v>-21465.771999999943</v>
      </c>
      <c r="E15" s="119">
        <f t="shared" si="6"/>
        <v>3998.8120000000017</v>
      </c>
      <c r="F15" s="119">
        <f t="shared" si="6"/>
        <v>3998.8120000000017</v>
      </c>
      <c r="G15" s="119">
        <f t="shared" si="6"/>
        <v>0</v>
      </c>
      <c r="H15" s="119">
        <f t="shared" si="6"/>
        <v>0</v>
      </c>
      <c r="I15" s="119">
        <f t="shared" si="0"/>
        <v>-34933.919999999882</v>
      </c>
      <c r="T15" s="120" t="s">
        <v>47</v>
      </c>
      <c r="AJ15" s="117" t="s">
        <v>48</v>
      </c>
      <c r="AK15" s="120" t="s">
        <v>47</v>
      </c>
    </row>
    <row r="16" spans="1:38">
      <c r="A16" s="115">
        <v>10</v>
      </c>
      <c r="B16" s="117" t="s">
        <v>49</v>
      </c>
      <c r="C16" s="121">
        <f>+C15/C9</f>
        <v>-5.6031772383189619E-2</v>
      </c>
      <c r="D16" s="121">
        <f t="shared" ref="D16:H16" si="7">+D15/D9</f>
        <v>-5.6031772383189619E-2</v>
      </c>
      <c r="E16" s="121">
        <f t="shared" si="7"/>
        <v>8.4203242787955403E-3</v>
      </c>
      <c r="F16" s="121">
        <f t="shared" si="7"/>
        <v>8.4203242787955403E-3</v>
      </c>
      <c r="G16" s="121" t="e">
        <f t="shared" si="7"/>
        <v>#DIV/0!</v>
      </c>
      <c r="H16" s="121" t="e">
        <f t="shared" si="7"/>
        <v>#DIV/0!</v>
      </c>
      <c r="I16" s="121">
        <f t="shared" ref="I16" si="8">+I15/I9</f>
        <v>-2.0357762237762169E-2</v>
      </c>
      <c r="T16" s="117" t="s">
        <v>49</v>
      </c>
      <c r="AJ16" s="117" t="s">
        <v>50</v>
      </c>
      <c r="AK16" s="117" t="s">
        <v>49</v>
      </c>
    </row>
    <row r="17" spans="1:38">
      <c r="A17" s="115">
        <v>11</v>
      </c>
      <c r="B17" s="117" t="s">
        <v>51</v>
      </c>
      <c r="C17" s="119">
        <f>C6*C43+C18</f>
        <v>20995</v>
      </c>
      <c r="D17" s="119">
        <f t="shared" ref="D17:H17" si="9">D6*D43+D18</f>
        <v>20995</v>
      </c>
      <c r="E17" s="119">
        <f t="shared" si="9"/>
        <v>20995</v>
      </c>
      <c r="F17" s="119">
        <f t="shared" si="9"/>
        <v>20995</v>
      </c>
      <c r="G17" s="119">
        <f t="shared" si="9"/>
        <v>0</v>
      </c>
      <c r="H17" s="119">
        <f t="shared" si="9"/>
        <v>0</v>
      </c>
      <c r="I17" s="119">
        <f t="shared" si="0"/>
        <v>83980</v>
      </c>
      <c r="J17" s="131"/>
      <c r="T17" s="117" t="s">
        <v>51</v>
      </c>
      <c r="AJ17" s="117" t="s">
        <v>52</v>
      </c>
      <c r="AK17" s="117" t="s">
        <v>51</v>
      </c>
    </row>
    <row r="18" spans="1:38" s="111" customFormat="1">
      <c r="A18" s="115">
        <v>12</v>
      </c>
      <c r="B18" s="122" t="s">
        <v>157</v>
      </c>
      <c r="C18" s="123">
        <f>$I$18/$I$6*C6</f>
        <v>20995</v>
      </c>
      <c r="D18" s="123">
        <f t="shared" ref="D18:H18" si="10">$I$18/$I$6*D6</f>
        <v>20995</v>
      </c>
      <c r="E18" s="123">
        <f t="shared" si="10"/>
        <v>20995</v>
      </c>
      <c r="F18" s="123">
        <f t="shared" si="10"/>
        <v>20995</v>
      </c>
      <c r="G18" s="123">
        <f t="shared" si="10"/>
        <v>0</v>
      </c>
      <c r="H18" s="123">
        <f t="shared" si="10"/>
        <v>0</v>
      </c>
      <c r="I18" s="123">
        <f>项目投资!D26</f>
        <v>83980</v>
      </c>
      <c r="J18" s="132" t="s">
        <v>158</v>
      </c>
      <c r="K18" s="132"/>
      <c r="L18" s="132"/>
    </row>
    <row r="19" spans="1:38">
      <c r="A19" s="115">
        <v>13</v>
      </c>
      <c r="B19" s="117" t="s">
        <v>53</v>
      </c>
      <c r="C19" s="119">
        <f>C6*C44</f>
        <v>8232.8189999999995</v>
      </c>
      <c r="D19" s="119">
        <f t="shared" ref="D19:H19" si="11">D6*D44</f>
        <v>8232.8189999999995</v>
      </c>
      <c r="E19" s="119">
        <f t="shared" si="11"/>
        <v>10205.601000000001</v>
      </c>
      <c r="F19" s="119">
        <f t="shared" si="11"/>
        <v>10205.601000000001</v>
      </c>
      <c r="G19" s="119">
        <f t="shared" si="11"/>
        <v>0</v>
      </c>
      <c r="H19" s="119">
        <f t="shared" si="11"/>
        <v>0</v>
      </c>
      <c r="I19" s="119">
        <f t="shared" si="0"/>
        <v>36876.840000000004</v>
      </c>
      <c r="J19" s="111"/>
      <c r="T19" s="117" t="s">
        <v>53</v>
      </c>
      <c r="AJ19" s="117" t="s">
        <v>54</v>
      </c>
      <c r="AK19" s="117" t="s">
        <v>53</v>
      </c>
      <c r="AL19" s="113" t="s">
        <v>27</v>
      </c>
    </row>
    <row r="20" spans="1:38">
      <c r="A20" s="115">
        <v>14</v>
      </c>
      <c r="B20" s="117" t="s">
        <v>55</v>
      </c>
      <c r="C20" s="119">
        <f>C6*C45</f>
        <v>11243.985000000001</v>
      </c>
      <c r="D20" s="119">
        <f t="shared" ref="D20:H20" si="12">D6*D45</f>
        <v>11243.985000000001</v>
      </c>
      <c r="E20" s="119">
        <f t="shared" si="12"/>
        <v>13938.315000000001</v>
      </c>
      <c r="F20" s="119">
        <f t="shared" si="12"/>
        <v>13938.315000000001</v>
      </c>
      <c r="G20" s="119">
        <f t="shared" si="12"/>
        <v>0</v>
      </c>
      <c r="H20" s="119">
        <f t="shared" si="12"/>
        <v>0</v>
      </c>
      <c r="I20" s="119">
        <f t="shared" si="0"/>
        <v>50364.600000000006</v>
      </c>
      <c r="T20" s="117" t="s">
        <v>55</v>
      </c>
      <c r="AJ20" s="117" t="s">
        <v>56</v>
      </c>
      <c r="AK20" s="117" t="s">
        <v>55</v>
      </c>
    </row>
    <row r="21" spans="1:38">
      <c r="A21" s="115">
        <v>15</v>
      </c>
      <c r="B21" s="117" t="s">
        <v>57</v>
      </c>
      <c r="C21" s="124">
        <f>$I$21/$I$6*C6</f>
        <v>0</v>
      </c>
      <c r="D21" s="124">
        <f t="shared" ref="D21:H21" si="13">$I$21/$I$6*D6</f>
        <v>0</v>
      </c>
      <c r="E21" s="124">
        <f t="shared" si="13"/>
        <v>0</v>
      </c>
      <c r="F21" s="124">
        <f t="shared" si="13"/>
        <v>0</v>
      </c>
      <c r="G21" s="124">
        <f t="shared" si="13"/>
        <v>0</v>
      </c>
      <c r="H21" s="124">
        <f t="shared" si="13"/>
        <v>0</v>
      </c>
      <c r="I21" s="119">
        <f>项目投资!D27</f>
        <v>0</v>
      </c>
      <c r="T21" s="117" t="s">
        <v>57</v>
      </c>
      <c r="AJ21" s="117"/>
      <c r="AK21" s="117"/>
    </row>
    <row r="22" spans="1:38">
      <c r="A22" s="115">
        <v>16</v>
      </c>
      <c r="B22" s="117" t="s">
        <v>58</v>
      </c>
      <c r="C22" s="119">
        <f>C6*C47</f>
        <v>8160.0300000000007</v>
      </c>
      <c r="D22" s="119">
        <f t="shared" ref="D22:H22" si="14">D6*D47</f>
        <v>8160.0300000000007</v>
      </c>
      <c r="E22" s="119">
        <f t="shared" si="14"/>
        <v>10115.369999999999</v>
      </c>
      <c r="F22" s="119">
        <f t="shared" si="14"/>
        <v>10115.369999999999</v>
      </c>
      <c r="G22" s="119">
        <f t="shared" si="14"/>
        <v>0</v>
      </c>
      <c r="H22" s="119">
        <f t="shared" si="14"/>
        <v>0</v>
      </c>
      <c r="I22" s="119">
        <f t="shared" si="0"/>
        <v>36550.800000000003</v>
      </c>
      <c r="T22" s="117" t="s">
        <v>58</v>
      </c>
      <c r="AJ22" s="117" t="s">
        <v>59</v>
      </c>
      <c r="AK22" s="117" t="s">
        <v>58</v>
      </c>
    </row>
    <row r="23" spans="1:38">
      <c r="A23" s="115">
        <v>17</v>
      </c>
      <c r="B23" s="120" t="s">
        <v>60</v>
      </c>
      <c r="C23" s="124">
        <f>+C22+C21+C20+C19+C17</f>
        <v>48631.834000000003</v>
      </c>
      <c r="D23" s="124">
        <f t="shared" ref="D23:H23" si="15">+D22+D21+D20+D19+D17</f>
        <v>48631.834000000003</v>
      </c>
      <c r="E23" s="124">
        <f t="shared" si="15"/>
        <v>55254.286</v>
      </c>
      <c r="F23" s="124">
        <f t="shared" si="15"/>
        <v>55254.286</v>
      </c>
      <c r="G23" s="124">
        <f t="shared" si="15"/>
        <v>0</v>
      </c>
      <c r="H23" s="124">
        <f t="shared" si="15"/>
        <v>0</v>
      </c>
      <c r="I23" s="124">
        <f t="shared" ref="I23" si="16">+I22+I21+I20+I19+I17</f>
        <v>207772.24000000002</v>
      </c>
      <c r="T23" s="120" t="s">
        <v>60</v>
      </c>
      <c r="AJ23" s="117" t="s">
        <v>61</v>
      </c>
      <c r="AK23" s="120" t="s">
        <v>60</v>
      </c>
    </row>
    <row r="24" spans="1:38">
      <c r="A24" s="115">
        <v>18</v>
      </c>
      <c r="B24" s="125" t="s">
        <v>62</v>
      </c>
      <c r="C24" s="124">
        <f>+C15-C23</f>
        <v>-70097.605999999942</v>
      </c>
      <c r="D24" s="124">
        <f t="shared" ref="D24:H24" si="17">+D15-D23</f>
        <v>-70097.605999999942</v>
      </c>
      <c r="E24" s="124">
        <f t="shared" si="17"/>
        <v>-51255.474000000002</v>
      </c>
      <c r="F24" s="124">
        <f t="shared" si="17"/>
        <v>-51255.474000000002</v>
      </c>
      <c r="G24" s="124">
        <f t="shared" si="17"/>
        <v>0</v>
      </c>
      <c r="H24" s="124">
        <f t="shared" si="17"/>
        <v>0</v>
      </c>
      <c r="I24" s="124">
        <f t="shared" ref="I24" si="18">+I15-I23</f>
        <v>-242706.15999999992</v>
      </c>
      <c r="K24" s="133"/>
      <c r="T24" s="117" t="s">
        <v>62</v>
      </c>
      <c r="AJ24" s="117" t="s">
        <v>63</v>
      </c>
      <c r="AK24" s="117" t="s">
        <v>62</v>
      </c>
    </row>
    <row r="25" spans="1:38">
      <c r="A25" s="115">
        <v>19</v>
      </c>
      <c r="B25" s="117" t="s">
        <v>159</v>
      </c>
      <c r="C25" s="124">
        <f>IF(C24&lt;0,0,C24*0.25)</f>
        <v>0</v>
      </c>
      <c r="D25" s="124">
        <f>IF(D24&lt;0,0,D24*0.15)</f>
        <v>0</v>
      </c>
      <c r="E25" s="124">
        <f t="shared" ref="E25:I25" si="19">IF(E24&lt;0,0,E24*0.25)</f>
        <v>0</v>
      </c>
      <c r="F25" s="124">
        <f>IF(F24&lt;0,0,F24*0.15)</f>
        <v>0</v>
      </c>
      <c r="G25" s="124">
        <f t="shared" si="19"/>
        <v>0</v>
      </c>
      <c r="H25" s="124">
        <f t="shared" si="19"/>
        <v>0</v>
      </c>
      <c r="I25" s="124">
        <f t="shared" si="19"/>
        <v>0</v>
      </c>
      <c r="J25" s="2"/>
      <c r="K25" s="2"/>
      <c r="L25" s="2"/>
      <c r="T25" s="117" t="s">
        <v>64</v>
      </c>
      <c r="AJ25" s="117" t="s">
        <v>65</v>
      </c>
      <c r="AK25" s="117" t="s">
        <v>64</v>
      </c>
    </row>
    <row r="26" spans="1:38">
      <c r="A26" s="115">
        <v>20</v>
      </c>
      <c r="B26" s="117" t="s">
        <v>66</v>
      </c>
      <c r="C26" s="124">
        <f t="shared" ref="C26:H26" si="20">C24-C25</f>
        <v>-70097.605999999942</v>
      </c>
      <c r="D26" s="124">
        <f t="shared" si="20"/>
        <v>-70097.605999999942</v>
      </c>
      <c r="E26" s="124">
        <f t="shared" si="20"/>
        <v>-51255.474000000002</v>
      </c>
      <c r="F26" s="124">
        <f t="shared" si="20"/>
        <v>-51255.474000000002</v>
      </c>
      <c r="G26" s="124">
        <f t="shared" si="20"/>
        <v>0</v>
      </c>
      <c r="H26" s="124">
        <f t="shared" si="20"/>
        <v>0</v>
      </c>
      <c r="I26" s="119">
        <f>+SUM(C26:H26)</f>
        <v>-242706.15999999986</v>
      </c>
      <c r="J26" s="2"/>
      <c r="K26" s="2"/>
      <c r="L26" s="2"/>
      <c r="T26" s="117" t="s">
        <v>66</v>
      </c>
      <c r="AJ26" s="117" t="s">
        <v>67</v>
      </c>
      <c r="AK26" s="117" t="s">
        <v>66</v>
      </c>
    </row>
    <row r="27" spans="1:38">
      <c r="A27" s="115">
        <v>21</v>
      </c>
      <c r="B27" s="117" t="s">
        <v>70</v>
      </c>
      <c r="C27" s="126">
        <f t="shared" ref="C27:I27" si="21">C26/C7</f>
        <v>-0.18297469590185314</v>
      </c>
      <c r="D27" s="126">
        <f t="shared" ref="D27:H27" si="22">D26/D7</f>
        <v>-0.18297469590185314</v>
      </c>
      <c r="E27" s="126">
        <f t="shared" si="22"/>
        <v>-0.10792898294377765</v>
      </c>
      <c r="F27" s="126">
        <f t="shared" si="22"/>
        <v>-0.10792898294377765</v>
      </c>
      <c r="G27" s="126" t="e">
        <f t="shared" si="22"/>
        <v>#DIV/0!</v>
      </c>
      <c r="H27" s="126" t="e">
        <f t="shared" si="22"/>
        <v>#DIV/0!</v>
      </c>
      <c r="I27" s="126">
        <f t="shared" si="21"/>
        <v>-0.1414371561771561</v>
      </c>
      <c r="J27" s="2"/>
      <c r="K27" s="2"/>
      <c r="L27" s="2"/>
      <c r="T27" s="117" t="s">
        <v>70</v>
      </c>
      <c r="AJ27" s="117" t="s">
        <v>69</v>
      </c>
      <c r="AK27" s="117" t="s">
        <v>70</v>
      </c>
    </row>
    <row r="28" spans="1:38">
      <c r="J28" s="2"/>
      <c r="K28" s="2"/>
      <c r="L28" s="2"/>
      <c r="T28" s="117"/>
    </row>
    <row r="29" spans="1:38">
      <c r="A29" s="113" t="s">
        <v>71</v>
      </c>
      <c r="I29" s="114" t="s">
        <v>160</v>
      </c>
      <c r="J29" s="2"/>
      <c r="K29" s="2"/>
      <c r="L29" s="2"/>
      <c r="T29" s="117"/>
      <c r="AJ29" s="113" t="s">
        <v>71</v>
      </c>
    </row>
    <row r="30" spans="1:38">
      <c r="A30" s="117" t="s">
        <v>75</v>
      </c>
      <c r="B30" s="120" t="s">
        <v>76</v>
      </c>
      <c r="C30" s="124"/>
      <c r="D30" s="124"/>
      <c r="E30" s="124"/>
      <c r="F30" s="124"/>
      <c r="G30" s="124"/>
      <c r="H30" s="124"/>
      <c r="I30" s="124"/>
      <c r="J30" s="2"/>
      <c r="K30" s="2"/>
      <c r="L30" s="2"/>
      <c r="N30" s="2"/>
      <c r="T30" s="120" t="s">
        <v>76</v>
      </c>
      <c r="AJ30" s="117" t="s">
        <v>77</v>
      </c>
      <c r="AK30" s="120" t="s">
        <v>76</v>
      </c>
    </row>
    <row r="31" spans="1:38">
      <c r="A31" s="115">
        <v>1</v>
      </c>
      <c r="B31" s="122" t="s">
        <v>78</v>
      </c>
      <c r="C31" s="127">
        <f>销量!C8</f>
        <v>38.31</v>
      </c>
      <c r="D31" s="127">
        <f>销量!D8</f>
        <v>38.31</v>
      </c>
      <c r="E31" s="127">
        <f>销量!E8</f>
        <v>47.49</v>
      </c>
      <c r="F31" s="127">
        <f>销量!F8</f>
        <v>47.49</v>
      </c>
      <c r="G31" s="127">
        <f>销量!G8</f>
        <v>0</v>
      </c>
      <c r="H31" s="127">
        <f>销量!H8</f>
        <v>0</v>
      </c>
      <c r="I31" s="124"/>
      <c r="J31" s="2"/>
      <c r="K31" s="2"/>
      <c r="L31" s="2"/>
      <c r="N31" s="2"/>
      <c r="T31" s="117" t="s">
        <v>78</v>
      </c>
      <c r="AJ31" s="117" t="s">
        <v>29</v>
      </c>
      <c r="AK31" s="117" t="s">
        <v>78</v>
      </c>
    </row>
    <row r="32" spans="1:38">
      <c r="A32" s="115">
        <v>2</v>
      </c>
      <c r="B32" s="117" t="s">
        <v>161</v>
      </c>
      <c r="C32" s="119">
        <f>C9/C6</f>
        <v>38.31</v>
      </c>
      <c r="D32" s="119">
        <f t="shared" ref="D32:H32" si="23">D9/D6</f>
        <v>38.31</v>
      </c>
      <c r="E32" s="119">
        <f t="shared" si="23"/>
        <v>47.49</v>
      </c>
      <c r="F32" s="119">
        <f t="shared" si="23"/>
        <v>47.49</v>
      </c>
      <c r="G32" s="119" t="e">
        <f t="shared" si="23"/>
        <v>#DIV/0!</v>
      </c>
      <c r="H32" s="119" t="e">
        <f t="shared" si="23"/>
        <v>#DIV/0!</v>
      </c>
      <c r="I32" s="124"/>
      <c r="J32" s="2"/>
      <c r="K32" s="2"/>
      <c r="L32" s="2"/>
      <c r="M32" s="2"/>
      <c r="N32" s="2"/>
      <c r="O32" s="2"/>
      <c r="P32" s="2"/>
      <c r="AJ32" s="117"/>
      <c r="AK32" s="117"/>
    </row>
    <row r="33" spans="1:37">
      <c r="A33" s="115">
        <v>3</v>
      </c>
      <c r="B33" s="122" t="s">
        <v>79</v>
      </c>
      <c r="C33" s="119">
        <f>材料成本!I18</f>
        <v>38.229999999999997</v>
      </c>
      <c r="D33" s="119">
        <f>材料成本!I19</f>
        <v>38.229999999999997</v>
      </c>
      <c r="E33" s="119">
        <f>材料成本!I20</f>
        <v>44.33</v>
      </c>
      <c r="F33" s="119">
        <f>材料成本!I21</f>
        <v>44.33</v>
      </c>
      <c r="G33" s="119">
        <f>材料成本!I22</f>
        <v>0</v>
      </c>
      <c r="H33" s="119"/>
      <c r="I33" s="124"/>
      <c r="K33" s="2"/>
      <c r="L33" s="2"/>
      <c r="M33" s="2"/>
      <c r="N33" s="2"/>
      <c r="O33" s="2"/>
      <c r="P33" s="2"/>
      <c r="T33" s="117" t="s">
        <v>79</v>
      </c>
      <c r="AJ33" s="117" t="s">
        <v>31</v>
      </c>
      <c r="AK33" s="117" t="s">
        <v>79</v>
      </c>
    </row>
    <row r="34" spans="1:37" ht="17.25" customHeight="1">
      <c r="A34" s="115">
        <v>4</v>
      </c>
      <c r="B34" s="117" t="s">
        <v>81</v>
      </c>
      <c r="C34" s="128">
        <f>C32-C33</f>
        <v>8.00000000000054E-2</v>
      </c>
      <c r="D34" s="128">
        <f t="shared" ref="D34:H34" si="24">D32-D33</f>
        <v>8.00000000000054E-2</v>
      </c>
      <c r="E34" s="128">
        <f t="shared" si="24"/>
        <v>3.1600000000000037</v>
      </c>
      <c r="F34" s="128">
        <f t="shared" si="24"/>
        <v>3.1600000000000037</v>
      </c>
      <c r="G34" s="128" t="e">
        <f t="shared" si="24"/>
        <v>#DIV/0!</v>
      </c>
      <c r="H34" s="128" t="e">
        <f t="shared" si="24"/>
        <v>#DIV/0!</v>
      </c>
      <c r="I34" s="124"/>
      <c r="K34" s="2"/>
      <c r="L34" s="2"/>
      <c r="M34" s="2"/>
      <c r="N34" s="2"/>
      <c r="O34" s="2"/>
      <c r="P34" s="2"/>
      <c r="T34" s="117" t="s">
        <v>81</v>
      </c>
      <c r="AJ34" s="117" t="s">
        <v>80</v>
      </c>
      <c r="AK34" s="117" t="s">
        <v>81</v>
      </c>
    </row>
    <row r="35" spans="1:37">
      <c r="A35" s="117" t="s">
        <v>77</v>
      </c>
      <c r="B35" s="120" t="s">
        <v>10</v>
      </c>
      <c r="C35" s="124"/>
      <c r="D35" s="124"/>
      <c r="E35" s="124"/>
      <c r="F35" s="124"/>
      <c r="G35" s="124"/>
      <c r="H35" s="124"/>
      <c r="I35" s="124"/>
      <c r="J35" s="2"/>
      <c r="K35" s="2"/>
      <c r="L35" s="2"/>
      <c r="M35" s="2"/>
      <c r="N35" s="2"/>
      <c r="O35" s="2"/>
      <c r="P35" s="2"/>
      <c r="Q35" s="2"/>
      <c r="R35" s="2"/>
      <c r="S35" s="2"/>
      <c r="T35" s="120" t="s">
        <v>10</v>
      </c>
      <c r="AJ35" s="117" t="s">
        <v>83</v>
      </c>
      <c r="AK35" s="120" t="s">
        <v>10</v>
      </c>
    </row>
    <row r="36" spans="1:37">
      <c r="A36" s="115">
        <v>1</v>
      </c>
      <c r="B36" s="117" t="s">
        <v>84</v>
      </c>
      <c r="C36" s="123">
        <f>'2023年'!C36</f>
        <v>0</v>
      </c>
      <c r="D36" s="123">
        <f>'2023年'!D36</f>
        <v>0</v>
      </c>
      <c r="E36" s="123">
        <f>'2023年'!E36</f>
        <v>0</v>
      </c>
      <c r="F36" s="123">
        <f>'2023年'!F36</f>
        <v>0</v>
      </c>
      <c r="G36" s="123">
        <f>'2023年'!G36</f>
        <v>0</v>
      </c>
      <c r="H36" s="123"/>
      <c r="I36" s="127"/>
      <c r="J36" s="2"/>
      <c r="K36" s="2"/>
      <c r="L36" s="2"/>
      <c r="M36" s="2"/>
      <c r="N36" s="2"/>
      <c r="O36" s="2"/>
      <c r="P36" s="2"/>
      <c r="Q36" s="2"/>
      <c r="R36" s="2"/>
      <c r="S36" s="2"/>
      <c r="T36" s="117" t="s">
        <v>84</v>
      </c>
      <c r="AJ36" s="117" t="s">
        <v>80</v>
      </c>
      <c r="AK36" s="117" t="s">
        <v>84</v>
      </c>
    </row>
    <row r="37" spans="1:37">
      <c r="A37" s="115">
        <v>2</v>
      </c>
      <c r="B37" s="117" t="s">
        <v>85</v>
      </c>
      <c r="C37" s="123">
        <f>'2023年'!C37</f>
        <v>0</v>
      </c>
      <c r="D37" s="123">
        <f>'2023年'!D37</f>
        <v>0</v>
      </c>
      <c r="E37" s="123">
        <f>'2023年'!E37</f>
        <v>0</v>
      </c>
      <c r="F37" s="123">
        <f>'2023年'!F37</f>
        <v>0</v>
      </c>
      <c r="G37" s="123">
        <f>'2023年'!G37</f>
        <v>0</v>
      </c>
      <c r="H37" s="123"/>
      <c r="I37" s="127"/>
      <c r="J37" s="2"/>
      <c r="K37" s="2"/>
      <c r="L37" s="2"/>
      <c r="M37" s="2"/>
      <c r="N37" s="2"/>
      <c r="O37" s="2"/>
      <c r="P37" s="2"/>
      <c r="Q37" s="2"/>
      <c r="R37" s="2"/>
      <c r="S37" s="2"/>
      <c r="T37" s="117" t="s">
        <v>85</v>
      </c>
      <c r="AJ37" s="117" t="s">
        <v>34</v>
      </c>
      <c r="AK37" s="117" t="s">
        <v>85</v>
      </c>
    </row>
    <row r="38" spans="1:37">
      <c r="A38" s="115">
        <v>3</v>
      </c>
      <c r="B38" s="117" t="s">
        <v>86</v>
      </c>
      <c r="C38" s="123">
        <f>'2023年'!C38</f>
        <v>2.2265771999999999</v>
      </c>
      <c r="D38" s="123">
        <f>'2023年'!D38</f>
        <v>2.2265771999999999</v>
      </c>
      <c r="E38" s="123">
        <f>'2023年'!E38</f>
        <v>2.7601187999999999</v>
      </c>
      <c r="F38" s="123">
        <f>'2023年'!F38</f>
        <v>2.7601187999999999</v>
      </c>
      <c r="G38" s="123">
        <f>'2023年'!G38</f>
        <v>0</v>
      </c>
      <c r="H38" s="123"/>
      <c r="I38" s="127"/>
      <c r="J38" s="2"/>
      <c r="K38" s="2"/>
      <c r="L38" s="2"/>
      <c r="M38" s="2"/>
      <c r="N38" s="2"/>
      <c r="O38" s="2"/>
      <c r="P38" s="2"/>
      <c r="Q38" s="2"/>
      <c r="R38" s="2"/>
      <c r="S38" s="2"/>
      <c r="T38" s="117" t="s">
        <v>86</v>
      </c>
      <c r="AJ38" s="117" t="s">
        <v>40</v>
      </c>
      <c r="AK38" s="117" t="s">
        <v>86</v>
      </c>
    </row>
    <row r="39" spans="1:37">
      <c r="A39" s="117" t="s">
        <v>83</v>
      </c>
      <c r="B39" s="120" t="s">
        <v>88</v>
      </c>
      <c r="C39" s="124"/>
      <c r="D39" s="124"/>
      <c r="E39" s="124"/>
      <c r="F39" s="124"/>
      <c r="G39" s="124"/>
      <c r="H39" s="124"/>
      <c r="I39" s="124"/>
      <c r="T39" s="120" t="s">
        <v>88</v>
      </c>
      <c r="AJ39" s="117" t="s">
        <v>87</v>
      </c>
      <c r="AK39" s="120" t="s">
        <v>88</v>
      </c>
    </row>
    <row r="40" spans="1:37">
      <c r="A40" s="115">
        <v>1</v>
      </c>
      <c r="B40" s="117" t="s">
        <v>90</v>
      </c>
      <c r="C40" s="124">
        <f>C34-C36-C37-C38</f>
        <v>-2.1465771999999945</v>
      </c>
      <c r="D40" s="124">
        <f t="shared" ref="D40:H40" si="25">D34-D36-D37-D38</f>
        <v>-2.1465771999999945</v>
      </c>
      <c r="E40" s="124">
        <f t="shared" si="25"/>
        <v>0.39988120000000382</v>
      </c>
      <c r="F40" s="124">
        <f t="shared" si="25"/>
        <v>0.39988120000000382</v>
      </c>
      <c r="G40" s="124" t="e">
        <f t="shared" si="25"/>
        <v>#DIV/0!</v>
      </c>
      <c r="H40" s="124" t="e">
        <f t="shared" si="25"/>
        <v>#DIV/0!</v>
      </c>
      <c r="I40" s="124"/>
      <c r="T40" s="117" t="s">
        <v>90</v>
      </c>
      <c r="AJ40" s="117" t="s">
        <v>29</v>
      </c>
      <c r="AK40" s="117" t="s">
        <v>90</v>
      </c>
    </row>
    <row r="41" spans="1:37">
      <c r="A41" s="115">
        <v>2</v>
      </c>
      <c r="B41" s="117" t="s">
        <v>91</v>
      </c>
      <c r="C41" s="124"/>
      <c r="D41" s="124"/>
      <c r="E41" s="124"/>
      <c r="F41" s="124"/>
      <c r="G41" s="124"/>
      <c r="H41" s="124"/>
      <c r="I41" s="124"/>
      <c r="T41" s="117" t="s">
        <v>91</v>
      </c>
      <c r="AJ41" s="117" t="s">
        <v>31</v>
      </c>
      <c r="AK41" s="117" t="s">
        <v>91</v>
      </c>
    </row>
    <row r="42" spans="1:37">
      <c r="A42" s="117" t="s">
        <v>87</v>
      </c>
      <c r="B42" s="120" t="s">
        <v>93</v>
      </c>
      <c r="C42" s="124"/>
      <c r="D42" s="124"/>
      <c r="E42" s="124"/>
      <c r="F42" s="124"/>
      <c r="G42" s="124"/>
      <c r="H42" s="124"/>
      <c r="I42" s="124"/>
      <c r="T42" s="120" t="s">
        <v>93</v>
      </c>
      <c r="AJ42" s="117" t="s">
        <v>92</v>
      </c>
      <c r="AK42" s="120" t="s">
        <v>93</v>
      </c>
    </row>
    <row r="43" spans="1:37">
      <c r="A43" s="115">
        <v>1</v>
      </c>
      <c r="B43" s="125" t="s">
        <v>94</v>
      </c>
      <c r="C43" s="123">
        <f>'2023年'!C43</f>
        <v>0</v>
      </c>
      <c r="D43" s="123">
        <f>'2023年'!D43</f>
        <v>0</v>
      </c>
      <c r="E43" s="123">
        <f>'2023年'!E43</f>
        <v>0</v>
      </c>
      <c r="F43" s="123">
        <f>'2023年'!F43</f>
        <v>0</v>
      </c>
      <c r="G43" s="123">
        <f>'2023年'!G43</f>
        <v>0</v>
      </c>
      <c r="H43" s="123"/>
      <c r="I43" s="124"/>
      <c r="T43" s="117" t="s">
        <v>94</v>
      </c>
      <c r="AJ43" s="117" t="s">
        <v>29</v>
      </c>
      <c r="AK43" s="117" t="s">
        <v>94</v>
      </c>
    </row>
    <row r="44" spans="1:37">
      <c r="A44" s="115">
        <v>2</v>
      </c>
      <c r="B44" s="125" t="s">
        <v>95</v>
      </c>
      <c r="C44" s="123">
        <f>'2023年'!C44</f>
        <v>0.82328190000000001</v>
      </c>
      <c r="D44" s="123">
        <f>'2023年'!D44</f>
        <v>0.82328190000000001</v>
      </c>
      <c r="E44" s="123">
        <f>'2023年'!E44</f>
        <v>1.0205601</v>
      </c>
      <c r="F44" s="123">
        <f>'2023年'!F44</f>
        <v>1.0205601</v>
      </c>
      <c r="G44" s="123">
        <f>'2023年'!G44</f>
        <v>0</v>
      </c>
      <c r="H44" s="123"/>
      <c r="I44" s="124"/>
      <c r="T44" s="117" t="s">
        <v>95</v>
      </c>
      <c r="AJ44" s="117" t="s">
        <v>31</v>
      </c>
      <c r="AK44" s="117" t="s">
        <v>95</v>
      </c>
    </row>
    <row r="45" spans="1:37">
      <c r="A45" s="115">
        <v>3</v>
      </c>
      <c r="B45" s="125" t="s">
        <v>96</v>
      </c>
      <c r="C45" s="123">
        <f>'2023年'!C45</f>
        <v>1.1243985000000001</v>
      </c>
      <c r="D45" s="123">
        <f>'2023年'!D45</f>
        <v>1.1243985000000001</v>
      </c>
      <c r="E45" s="123">
        <f>'2023年'!E45</f>
        <v>1.3938315000000001</v>
      </c>
      <c r="F45" s="123">
        <f>'2023年'!F45</f>
        <v>1.3938315000000001</v>
      </c>
      <c r="G45" s="123">
        <f>'2023年'!G45</f>
        <v>0</v>
      </c>
      <c r="H45" s="123"/>
      <c r="I45" s="124"/>
      <c r="T45" s="117" t="s">
        <v>96</v>
      </c>
      <c r="AJ45" s="117" t="s">
        <v>80</v>
      </c>
      <c r="AK45" s="117" t="s">
        <v>96</v>
      </c>
    </row>
    <row r="46" spans="1:37" s="112" customFormat="1">
      <c r="A46" s="115">
        <v>4</v>
      </c>
      <c r="B46" s="125" t="s">
        <v>97</v>
      </c>
      <c r="C46" s="129">
        <f>C21/C6</f>
        <v>0</v>
      </c>
      <c r="D46" s="129">
        <f t="shared" ref="D46:H46" si="26">D21/D6</f>
        <v>0</v>
      </c>
      <c r="E46" s="129">
        <f t="shared" si="26"/>
        <v>0</v>
      </c>
      <c r="F46" s="129">
        <f t="shared" si="26"/>
        <v>0</v>
      </c>
      <c r="G46" s="129" t="e">
        <f t="shared" si="26"/>
        <v>#DIV/0!</v>
      </c>
      <c r="H46" s="129" t="e">
        <f t="shared" si="26"/>
        <v>#DIV/0!</v>
      </c>
      <c r="I46" s="129"/>
      <c r="T46" s="125" t="s">
        <v>99</v>
      </c>
      <c r="AJ46" s="125" t="s">
        <v>37</v>
      </c>
      <c r="AK46" s="125" t="s">
        <v>99</v>
      </c>
    </row>
    <row r="47" spans="1:37" s="112" customFormat="1">
      <c r="A47" s="115">
        <v>5</v>
      </c>
      <c r="B47" s="125" t="s">
        <v>99</v>
      </c>
      <c r="C47" s="123">
        <f>'2023年'!C47</f>
        <v>0.81600300000000003</v>
      </c>
      <c r="D47" s="123">
        <f>'2023年'!D47</f>
        <v>0.81600300000000003</v>
      </c>
      <c r="E47" s="123">
        <f>'2023年'!E47</f>
        <v>1.0115369999999999</v>
      </c>
      <c r="F47" s="123">
        <f>'2023年'!F47</f>
        <v>1.0115369999999999</v>
      </c>
      <c r="G47" s="123">
        <f>'2023年'!G47</f>
        <v>0</v>
      </c>
      <c r="H47" s="129"/>
      <c r="I47" s="129"/>
      <c r="T47" s="125" t="s">
        <v>99</v>
      </c>
      <c r="AJ47" s="125" t="s">
        <v>37</v>
      </c>
      <c r="AK47" s="125" t="s">
        <v>99</v>
      </c>
    </row>
    <row r="48" spans="1:37">
      <c r="A48" s="117" t="s">
        <v>92</v>
      </c>
      <c r="B48" s="120" t="s">
        <v>110</v>
      </c>
      <c r="C48" s="124">
        <f>C40-C43-C44-C45-C47-C46</f>
        <v>-4.9102605999999946</v>
      </c>
      <c r="D48" s="124">
        <f t="shared" ref="D48:H48" si="27">D40-D43-D44-D45-D47-D46</f>
        <v>-4.9102605999999946</v>
      </c>
      <c r="E48" s="124">
        <f t="shared" si="27"/>
        <v>-3.0260473999999959</v>
      </c>
      <c r="F48" s="124">
        <f t="shared" si="27"/>
        <v>-3.0260473999999959</v>
      </c>
      <c r="G48" s="124" t="e">
        <f t="shared" si="27"/>
        <v>#DIV/0!</v>
      </c>
      <c r="H48" s="124" t="e">
        <f t="shared" si="27"/>
        <v>#DIV/0!</v>
      </c>
      <c r="I48" s="124"/>
      <c r="T48" s="120" t="s">
        <v>110</v>
      </c>
      <c r="AJ48" s="117" t="s">
        <v>109</v>
      </c>
      <c r="AK48" s="120" t="s">
        <v>110</v>
      </c>
    </row>
    <row r="51" spans="2:14">
      <c r="C51" s="130"/>
      <c r="D51" s="130"/>
      <c r="E51" s="130"/>
      <c r="F51" s="130"/>
      <c r="G51" s="130"/>
      <c r="H51" s="130"/>
    </row>
    <row r="54" spans="2:14">
      <c r="B54" s="2"/>
      <c r="C54" s="17"/>
      <c r="D54" s="17"/>
      <c r="E54" s="17"/>
      <c r="F54" s="17"/>
      <c r="G54" s="17"/>
      <c r="H54" s="17"/>
      <c r="I54" s="17"/>
      <c r="J54" s="2"/>
      <c r="K54" s="2"/>
      <c r="L54" s="2"/>
      <c r="M54" s="2"/>
      <c r="N54" s="2"/>
    </row>
    <row r="55" spans="2:14">
      <c r="B55" s="2"/>
      <c r="C55" s="17"/>
      <c r="D55" s="17"/>
      <c r="E55" s="17"/>
      <c r="F55" s="17"/>
      <c r="G55" s="17"/>
      <c r="H55" s="17"/>
      <c r="I55" s="17"/>
      <c r="J55" s="2"/>
      <c r="K55" s="2"/>
      <c r="L55" s="2"/>
      <c r="M55" s="2"/>
      <c r="N55" s="2"/>
    </row>
    <row r="56" spans="2:14">
      <c r="B56" s="2"/>
      <c r="C56" s="17"/>
      <c r="D56" s="17"/>
      <c r="E56" s="17"/>
      <c r="F56" s="17"/>
      <c r="G56" s="17"/>
      <c r="H56" s="17"/>
      <c r="I56" s="17"/>
      <c r="J56" s="2"/>
      <c r="K56" s="2"/>
      <c r="L56" s="2"/>
      <c r="M56" s="2"/>
      <c r="N56" s="2"/>
    </row>
    <row r="57" spans="2:14">
      <c r="B57" s="2"/>
      <c r="C57" s="17"/>
      <c r="D57" s="17"/>
      <c r="E57" s="17"/>
      <c r="F57" s="17"/>
      <c r="G57" s="17"/>
      <c r="H57" s="17"/>
      <c r="I57" s="17"/>
      <c r="J57" s="2"/>
      <c r="K57" s="2"/>
      <c r="L57" s="2"/>
      <c r="M57" s="2"/>
      <c r="N57" s="2"/>
    </row>
    <row r="58" spans="2:14">
      <c r="B58" s="2"/>
      <c r="C58" s="17"/>
      <c r="D58" s="17"/>
      <c r="E58" s="17"/>
      <c r="F58" s="17"/>
      <c r="G58" s="17"/>
      <c r="H58" s="17"/>
      <c r="I58" s="17"/>
      <c r="J58" s="2"/>
      <c r="K58" s="2"/>
      <c r="L58" s="2"/>
      <c r="M58" s="2"/>
      <c r="N58" s="2"/>
    </row>
    <row r="59" spans="2:14">
      <c r="B59" s="2"/>
      <c r="C59" s="17"/>
      <c r="D59" s="17"/>
      <c r="E59" s="17"/>
      <c r="F59" s="17"/>
      <c r="G59" s="17"/>
      <c r="H59" s="17"/>
      <c r="I59" s="17"/>
      <c r="J59" s="2"/>
      <c r="K59" s="2"/>
      <c r="L59" s="2"/>
      <c r="M59" s="2"/>
      <c r="N59" s="2"/>
    </row>
    <row r="60" spans="2:14">
      <c r="B60" s="2"/>
      <c r="C60" s="17"/>
      <c r="D60" s="17"/>
      <c r="E60" s="17"/>
      <c r="F60" s="17"/>
      <c r="G60" s="17"/>
      <c r="H60" s="17"/>
      <c r="I60" s="17"/>
      <c r="J60" s="2"/>
      <c r="K60" s="2"/>
      <c r="L60" s="2"/>
      <c r="M60" s="2"/>
      <c r="N60" s="2"/>
    </row>
    <row r="61" spans="2:14">
      <c r="B61" s="2"/>
      <c r="C61" s="17"/>
      <c r="D61" s="17"/>
      <c r="E61" s="17"/>
      <c r="F61" s="17"/>
      <c r="G61" s="17"/>
      <c r="H61" s="17"/>
      <c r="I61" s="17"/>
      <c r="J61" s="2"/>
      <c r="K61" s="2"/>
      <c r="L61" s="2"/>
      <c r="M61" s="2"/>
      <c r="N61" s="2"/>
    </row>
    <row r="62" spans="2:14">
      <c r="B62" s="2"/>
      <c r="C62" s="17"/>
      <c r="D62" s="17"/>
      <c r="E62" s="17"/>
      <c r="F62" s="17"/>
      <c r="G62" s="17"/>
      <c r="H62" s="17"/>
      <c r="I62" s="17"/>
      <c r="J62" s="2"/>
      <c r="K62" s="2"/>
      <c r="L62" s="2"/>
      <c r="M62" s="2"/>
      <c r="N62" s="2"/>
    </row>
    <row r="63" spans="2:14">
      <c r="B63" s="2"/>
      <c r="C63" s="17"/>
      <c r="D63" s="17"/>
      <c r="E63" s="17"/>
      <c r="F63" s="17"/>
      <c r="G63" s="17"/>
      <c r="H63" s="17"/>
      <c r="I63" s="17"/>
      <c r="J63" s="2"/>
      <c r="K63" s="2"/>
      <c r="L63" s="2"/>
      <c r="M63" s="2"/>
      <c r="N63" s="2"/>
    </row>
    <row r="64" spans="2:14">
      <c r="B64" s="2"/>
      <c r="C64" s="17"/>
      <c r="D64" s="17"/>
      <c r="E64" s="17"/>
      <c r="F64" s="17"/>
      <c r="G64" s="17"/>
      <c r="H64" s="17"/>
      <c r="I64" s="17"/>
      <c r="J64" s="2"/>
      <c r="K64" s="2"/>
      <c r="L64" s="2"/>
      <c r="M64" s="2"/>
      <c r="N64" s="2"/>
    </row>
    <row r="65" spans="2:14">
      <c r="B65" s="2"/>
      <c r="C65" s="17"/>
      <c r="D65" s="17"/>
      <c r="E65" s="17"/>
      <c r="F65" s="17"/>
      <c r="G65" s="17"/>
      <c r="H65" s="17"/>
      <c r="I65" s="17"/>
      <c r="J65" s="2"/>
      <c r="K65" s="2"/>
      <c r="L65" s="2"/>
      <c r="M65" s="2"/>
      <c r="N65" s="2"/>
    </row>
    <row r="66" spans="2:14">
      <c r="B66" s="2"/>
      <c r="C66" s="17"/>
      <c r="D66" s="17"/>
      <c r="E66" s="17"/>
      <c r="F66" s="17"/>
      <c r="G66" s="17"/>
      <c r="H66" s="17"/>
      <c r="I66" s="17"/>
      <c r="J66" s="2"/>
      <c r="K66" s="2"/>
      <c r="L66" s="2"/>
      <c r="M66" s="2"/>
      <c r="N66" s="2"/>
    </row>
    <row r="67" spans="2:14">
      <c r="B67" s="2"/>
      <c r="C67" s="17"/>
      <c r="D67" s="17"/>
      <c r="E67" s="17"/>
      <c r="F67" s="17"/>
      <c r="G67" s="17"/>
      <c r="H67" s="17"/>
      <c r="I67" s="17"/>
      <c r="J67" s="2"/>
    </row>
    <row r="68" spans="2:14">
      <c r="B68" s="2"/>
      <c r="C68" s="17"/>
      <c r="D68" s="17"/>
      <c r="E68" s="17"/>
      <c r="F68" s="17"/>
      <c r="G68" s="17"/>
      <c r="H68" s="17"/>
      <c r="I68" s="17"/>
      <c r="J68" s="2"/>
    </row>
    <row r="69" spans="2:14">
      <c r="B69" s="2"/>
      <c r="C69" s="17"/>
      <c r="D69" s="17"/>
      <c r="E69" s="17"/>
      <c r="F69" s="17"/>
      <c r="G69" s="17"/>
      <c r="H69" s="17"/>
      <c r="I69" s="17"/>
      <c r="J69" s="2"/>
    </row>
    <row r="70" spans="2:14">
      <c r="B70" s="2"/>
      <c r="C70" s="17"/>
      <c r="D70" s="17"/>
      <c r="E70" s="17"/>
      <c r="F70" s="17"/>
      <c r="G70" s="17"/>
      <c r="H70" s="17"/>
      <c r="I70" s="17"/>
      <c r="J70" s="2"/>
    </row>
    <row r="71" spans="2:14">
      <c r="B71" s="2"/>
      <c r="C71" s="17"/>
      <c r="D71" s="17"/>
      <c r="E71" s="17"/>
      <c r="F71" s="17"/>
      <c r="G71" s="17"/>
      <c r="H71" s="17"/>
      <c r="I71" s="17"/>
      <c r="J71" s="2"/>
    </row>
    <row r="72" spans="2:14">
      <c r="B72" s="2"/>
      <c r="C72" s="17"/>
      <c r="D72" s="17"/>
      <c r="E72" s="17"/>
      <c r="F72" s="17"/>
      <c r="G72" s="17"/>
      <c r="H72" s="17"/>
      <c r="I72" s="17"/>
      <c r="J72" s="2"/>
    </row>
    <row r="73" spans="2:14">
      <c r="B73" s="2"/>
      <c r="C73" s="17"/>
      <c r="D73" s="17"/>
      <c r="E73" s="17"/>
      <c r="F73" s="17"/>
      <c r="G73" s="17"/>
      <c r="H73" s="17"/>
      <c r="I73" s="17"/>
      <c r="J73" s="2"/>
    </row>
    <row r="74" spans="2:14">
      <c r="B74" s="2"/>
      <c r="C74" s="17"/>
      <c r="D74" s="17"/>
      <c r="E74" s="17"/>
      <c r="F74" s="17"/>
      <c r="G74" s="17"/>
      <c r="H74" s="17"/>
      <c r="I74" s="17"/>
      <c r="J74" s="2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4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3" activePane="bottomRight" state="frozen"/>
      <selection pane="topRight"/>
      <selection pane="bottomLeft"/>
      <selection pane="bottomRight" activeCell="F7" sqref="F7"/>
    </sheetView>
  </sheetViews>
  <sheetFormatPr defaultColWidth="9" defaultRowHeight="13.5"/>
  <cols>
    <col min="1" max="1" width="20.625" customWidth="1"/>
    <col min="2" max="2" width="14.25" style="82" customWidth="1"/>
    <col min="3" max="3" width="13.125" customWidth="1"/>
    <col min="4" max="4" width="14.5" customWidth="1"/>
    <col min="5" max="5" width="17.5" customWidth="1"/>
    <col min="6" max="6" width="12.625" customWidth="1"/>
    <col min="7" max="7" width="19.375" customWidth="1"/>
    <col min="8" max="9" width="12.625" customWidth="1"/>
    <col min="10" max="10" width="14.125" customWidth="1"/>
  </cols>
  <sheetData>
    <row r="1" spans="1:8" ht="20.25">
      <c r="A1" s="235" t="s">
        <v>166</v>
      </c>
      <c r="B1" s="235"/>
      <c r="C1" s="235"/>
      <c r="E1" s="236" t="s">
        <v>275</v>
      </c>
      <c r="F1" s="237"/>
      <c r="G1" s="237"/>
      <c r="H1" s="238"/>
    </row>
    <row r="2" spans="1:8" ht="23.45" customHeight="1">
      <c r="A2" s="83" t="s">
        <v>1</v>
      </c>
      <c r="B2" s="84" t="s">
        <v>167</v>
      </c>
      <c r="C2" s="85" t="s">
        <v>168</v>
      </c>
      <c r="E2" s="86" t="s">
        <v>169</v>
      </c>
      <c r="F2" s="86" t="s">
        <v>1</v>
      </c>
      <c r="G2" s="87" t="s">
        <v>170</v>
      </c>
      <c r="H2" s="86" t="s">
        <v>168</v>
      </c>
    </row>
    <row r="3" spans="1:8" ht="15.75" customHeight="1">
      <c r="A3" s="88" t="s">
        <v>171</v>
      </c>
      <c r="B3" s="89"/>
      <c r="C3" s="90"/>
      <c r="E3" s="243" t="s">
        <v>172</v>
      </c>
      <c r="F3" s="91" t="s">
        <v>173</v>
      </c>
      <c r="G3" s="92"/>
      <c r="H3" s="91"/>
    </row>
    <row r="4" spans="1:8" ht="15.75" customHeight="1">
      <c r="A4" s="88" t="s">
        <v>174</v>
      </c>
      <c r="B4" s="89"/>
      <c r="C4" s="93"/>
      <c r="E4" s="244"/>
      <c r="F4" s="91" t="s">
        <v>175</v>
      </c>
      <c r="G4" s="92"/>
      <c r="H4" s="91"/>
    </row>
    <row r="5" spans="1:8" ht="15.75" customHeight="1">
      <c r="A5" s="88" t="s">
        <v>176</v>
      </c>
      <c r="B5" s="94">
        <f>SUM(G3:G4)</f>
        <v>0</v>
      </c>
      <c r="C5" s="90"/>
      <c r="E5" s="245" t="s">
        <v>177</v>
      </c>
      <c r="F5" s="95" t="s">
        <v>178</v>
      </c>
      <c r="G5" s="96">
        <v>44.2</v>
      </c>
      <c r="H5" s="97"/>
    </row>
    <row r="6" spans="1:8" ht="15.75" customHeight="1">
      <c r="A6" s="88" t="s">
        <v>179</v>
      </c>
      <c r="B6" s="89"/>
      <c r="C6" s="90"/>
      <c r="E6" s="246"/>
      <c r="F6" s="95" t="s">
        <v>180</v>
      </c>
      <c r="G6" s="96"/>
      <c r="H6" s="97"/>
    </row>
    <row r="7" spans="1:8" ht="15.75" customHeight="1">
      <c r="A7" s="98" t="s">
        <v>181</v>
      </c>
      <c r="B7" s="94">
        <f>SUM(B3:B6)</f>
        <v>0</v>
      </c>
      <c r="C7" s="90"/>
      <c r="E7" s="246"/>
      <c r="F7" s="95" t="s">
        <v>182</v>
      </c>
      <c r="G7" s="96"/>
      <c r="H7" s="97"/>
    </row>
    <row r="8" spans="1:8" ht="15.75" customHeight="1">
      <c r="A8" s="99" t="s">
        <v>183</v>
      </c>
      <c r="B8" s="94">
        <f>SUM(G5:G12)</f>
        <v>44.2</v>
      </c>
      <c r="C8" s="100"/>
      <c r="E8" s="246"/>
      <c r="F8" s="95" t="s">
        <v>184</v>
      </c>
      <c r="G8" s="96"/>
      <c r="H8" s="91"/>
    </row>
    <row r="9" spans="1:8" ht="15.75" customHeight="1">
      <c r="A9" s="88" t="s">
        <v>185</v>
      </c>
      <c r="B9" s="94">
        <f>SUM(G13:G21)</f>
        <v>0</v>
      </c>
      <c r="C9" s="90"/>
      <c r="E9" s="246"/>
      <c r="F9" s="91" t="s">
        <v>186</v>
      </c>
      <c r="G9" s="96"/>
      <c r="H9" s="101"/>
    </row>
    <row r="10" spans="1:8" ht="15.75" customHeight="1">
      <c r="A10" s="93" t="s">
        <v>25</v>
      </c>
      <c r="B10" s="94">
        <f>B7+B8+B9</f>
        <v>44.2</v>
      </c>
      <c r="C10" s="90"/>
      <c r="E10" s="246"/>
      <c r="F10" s="91" t="s">
        <v>187</v>
      </c>
      <c r="G10" s="102"/>
      <c r="H10" s="91"/>
    </row>
    <row r="11" spans="1:8" ht="15.75" customHeight="1">
      <c r="E11" s="246"/>
      <c r="F11" s="91" t="s">
        <v>188</v>
      </c>
      <c r="G11" s="102"/>
      <c r="H11" s="91"/>
    </row>
    <row r="12" spans="1:8" ht="15.75" customHeight="1">
      <c r="E12" s="247"/>
      <c r="F12" s="91" t="s">
        <v>189</v>
      </c>
      <c r="G12" s="96" t="s">
        <v>131</v>
      </c>
      <c r="H12" s="101"/>
    </row>
    <row r="13" spans="1:8" ht="15.75" customHeight="1">
      <c r="E13" s="243" t="s">
        <v>57</v>
      </c>
      <c r="F13" s="91" t="s">
        <v>190</v>
      </c>
      <c r="G13" s="96"/>
      <c r="H13" s="103"/>
    </row>
    <row r="14" spans="1:8" ht="15.75" customHeight="1">
      <c r="E14" s="244"/>
      <c r="F14" s="91" t="s">
        <v>191</v>
      </c>
      <c r="G14" s="96"/>
      <c r="H14" s="91"/>
    </row>
    <row r="15" spans="1:8" ht="15.75" customHeight="1">
      <c r="E15" s="244"/>
      <c r="F15" s="91" t="s">
        <v>192</v>
      </c>
      <c r="G15" s="96"/>
      <c r="H15" s="91"/>
    </row>
    <row r="16" spans="1:8" ht="15.75" customHeight="1">
      <c r="E16" s="244"/>
      <c r="F16" s="91" t="s">
        <v>193</v>
      </c>
      <c r="G16" s="96"/>
      <c r="H16" s="91"/>
    </row>
    <row r="17" spans="1:10" ht="15.75" customHeight="1">
      <c r="E17" s="244"/>
      <c r="F17" s="91" t="s">
        <v>194</v>
      </c>
      <c r="G17" s="96"/>
      <c r="H17" s="91"/>
    </row>
    <row r="18" spans="1:10" ht="15.75" customHeight="1">
      <c r="E18" s="244"/>
      <c r="F18" s="91" t="s">
        <v>195</v>
      </c>
      <c r="G18" s="96"/>
      <c r="H18" s="91"/>
    </row>
    <row r="19" spans="1:10" ht="15.75" customHeight="1">
      <c r="E19" s="244"/>
      <c r="F19" s="91" t="s">
        <v>196</v>
      </c>
      <c r="G19" s="96"/>
      <c r="H19" s="91"/>
    </row>
    <row r="20" spans="1:10" ht="15.75" customHeight="1">
      <c r="E20" s="244"/>
      <c r="F20" s="91" t="s">
        <v>197</v>
      </c>
      <c r="G20" s="96"/>
      <c r="H20" s="91"/>
    </row>
    <row r="21" spans="1:10" ht="15.75" customHeight="1">
      <c r="E21" s="248"/>
      <c r="F21" s="91" t="s">
        <v>138</v>
      </c>
      <c r="G21" s="96"/>
      <c r="H21" s="91"/>
    </row>
    <row r="22" spans="1:10" ht="15.75" customHeight="1">
      <c r="E22" s="86" t="s">
        <v>25</v>
      </c>
      <c r="F22" s="91"/>
      <c r="G22" s="87">
        <f>SUM(G3:G21)</f>
        <v>44.2</v>
      </c>
      <c r="H22" s="91"/>
    </row>
    <row r="23" spans="1:10" ht="30.75" customHeight="1">
      <c r="E23" s="239" t="s">
        <v>198</v>
      </c>
      <c r="F23" s="239"/>
      <c r="G23" s="239"/>
      <c r="H23" s="239"/>
    </row>
    <row r="25" spans="1:10" ht="17.25">
      <c r="A25" s="41" t="s">
        <v>1</v>
      </c>
      <c r="B25" s="41" t="s">
        <v>167</v>
      </c>
      <c r="C25" s="41" t="s">
        <v>199</v>
      </c>
      <c r="D25" s="57" t="s">
        <v>200</v>
      </c>
      <c r="E25" s="57" t="s">
        <v>201</v>
      </c>
      <c r="F25" s="57" t="s">
        <v>202</v>
      </c>
      <c r="G25" s="57" t="s">
        <v>203</v>
      </c>
      <c r="H25" s="57" t="s">
        <v>204</v>
      </c>
      <c r="I25" s="57" t="s">
        <v>25</v>
      </c>
      <c r="J25" s="109" t="s">
        <v>205</v>
      </c>
    </row>
    <row r="26" spans="1:10" ht="16.5">
      <c r="A26" s="104" t="s">
        <v>157</v>
      </c>
      <c r="B26" s="105">
        <f>(B5+B8)*10000</f>
        <v>442000</v>
      </c>
      <c r="C26" s="106">
        <v>0.05</v>
      </c>
      <c r="D26" s="38">
        <f>B26*(1-C26)/5</f>
        <v>83980</v>
      </c>
      <c r="E26" s="38">
        <f t="shared" ref="E26:H27" si="0">D26</f>
        <v>83980</v>
      </c>
      <c r="F26" s="38">
        <f t="shared" si="0"/>
        <v>83980</v>
      </c>
      <c r="G26" s="38">
        <f t="shared" si="0"/>
        <v>83980</v>
      </c>
      <c r="H26" s="38">
        <f>G26</f>
        <v>83980</v>
      </c>
      <c r="I26" s="38">
        <f>SUM(D26:H26)</f>
        <v>419900</v>
      </c>
      <c r="J26" s="38">
        <f>B26*0.05</f>
        <v>22100</v>
      </c>
    </row>
    <row r="27" spans="1:10" ht="16.5">
      <c r="A27" s="104" t="s">
        <v>206</v>
      </c>
      <c r="B27" s="107">
        <f>B9*10000</f>
        <v>0</v>
      </c>
      <c r="C27" s="108"/>
      <c r="D27" s="108">
        <f>B27/5</f>
        <v>0</v>
      </c>
      <c r="E27" s="108">
        <f t="shared" si="0"/>
        <v>0</v>
      </c>
      <c r="F27" s="108">
        <f t="shared" si="0"/>
        <v>0</v>
      </c>
      <c r="G27" s="108">
        <f t="shared" si="0"/>
        <v>0</v>
      </c>
      <c r="H27" s="108">
        <f t="shared" si="0"/>
        <v>0</v>
      </c>
      <c r="I27" s="108">
        <f>SUM(D27:H27)</f>
        <v>0</v>
      </c>
      <c r="J27" s="38"/>
    </row>
    <row r="28" spans="1:10" ht="16.5">
      <c r="A28" s="240" t="s">
        <v>118</v>
      </c>
      <c r="B28" s="241"/>
      <c r="C28" s="242"/>
      <c r="D28" s="38">
        <f>SUM(D26:D27)</f>
        <v>83980</v>
      </c>
      <c r="E28" s="38">
        <f t="shared" ref="E28:H28" si="1">SUM(E26:E27)</f>
        <v>83980</v>
      </c>
      <c r="F28" s="38">
        <f t="shared" si="1"/>
        <v>83980</v>
      </c>
      <c r="G28" s="38">
        <f t="shared" si="1"/>
        <v>83980</v>
      </c>
      <c r="H28" s="38">
        <f t="shared" si="1"/>
        <v>83980</v>
      </c>
      <c r="I28" s="110"/>
      <c r="J28" s="110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3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'2023年'!Print_Area</vt:lpstr>
      <vt:lpstr>'2024年'!Print_Area</vt:lpstr>
      <vt:lpstr>'2025年'!Print_Area</vt:lpstr>
      <vt:lpstr>'2026年'!Print_Area</vt:lpstr>
      <vt:lpstr>'2027年'!Print_Area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2022-12-29T01:25:26Z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06E049501AB141869260E3C65B595B5D</vt:lpwstr>
  </property>
</Properties>
</file>