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项目类\可行性分析\陕汽H5000S\2022.12.26二次立项\"/>
    </mc:Choice>
  </mc:AlternateContent>
  <bookViews>
    <workbookView xWindow="0" yWindow="480" windowWidth="18525" windowHeight="6210" tabRatio="810" activeTab="1"/>
  </bookViews>
  <sheets>
    <sheet name="假设条件" sheetId="34" r:id="rId1"/>
    <sheet name="损益表" sheetId="2" r:id="rId2"/>
    <sheet name="现金" sheetId="36" state="hidden" r:id="rId3"/>
    <sheet name="2023年" sheetId="56" r:id="rId4"/>
    <sheet name="2024年" sheetId="57" r:id="rId5"/>
    <sheet name="2025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  <sheet name="附加值" sheetId="61" r:id="rId12"/>
  </sheets>
  <externalReferences>
    <externalReference r:id="rId13"/>
    <externalReference r:id="rId14"/>
    <externalReference r:id="rId15"/>
  </externalReferences>
  <definedNames>
    <definedName name="_xlnm.Print_Area" localSheetId="3">'2023年'!$A$1:$F$48</definedName>
    <definedName name="_xlnm.Print_Area" localSheetId="4">'2024年'!$A$1:$F$48</definedName>
    <definedName name="_xlnm.Print_Area" localSheetId="5">'2025年'!$A$1:$F$48</definedName>
    <definedName name="_xlnm.Print_Area" localSheetId="1">损益表!$A$1:$F$61</definedName>
    <definedName name="_xlnm.Print_Area" localSheetId="6">项目投资!$A$1:$C$35</definedName>
  </definedNames>
  <calcPr calcId="162913"/>
</workbook>
</file>

<file path=xl/calcChain.xml><?xml version="1.0" encoding="utf-8"?>
<calcChain xmlns="http://schemas.openxmlformats.org/spreadsheetml/2006/main">
  <c r="E6" i="53" l="1"/>
  <c r="C47" i="58" l="1"/>
  <c r="D47" i="58"/>
  <c r="D22" i="58" s="1"/>
  <c r="E47" i="58"/>
  <c r="C43" i="58"/>
  <c r="D43" i="58"/>
  <c r="E43" i="58"/>
  <c r="E17" i="58" s="1"/>
  <c r="C44" i="58"/>
  <c r="D44" i="58"/>
  <c r="E44" i="58"/>
  <c r="E19" i="58" s="1"/>
  <c r="C45" i="58"/>
  <c r="D45" i="58"/>
  <c r="E45" i="58"/>
  <c r="E20" i="58" s="1"/>
  <c r="D46" i="58"/>
  <c r="E46" i="58"/>
  <c r="C36" i="58"/>
  <c r="D36" i="58"/>
  <c r="E36" i="58"/>
  <c r="C37" i="58"/>
  <c r="D37" i="58"/>
  <c r="D12" i="58" s="1"/>
  <c r="E37" i="58"/>
  <c r="E12" i="58" s="1"/>
  <c r="C38" i="58"/>
  <c r="D38" i="58"/>
  <c r="E38" i="58"/>
  <c r="E13" i="58" s="1"/>
  <c r="D32" i="58"/>
  <c r="E32" i="58"/>
  <c r="D31" i="58"/>
  <c r="E31" i="58"/>
  <c r="E21" i="58"/>
  <c r="D21" i="58"/>
  <c r="C21" i="58"/>
  <c r="D11" i="58"/>
  <c r="E11" i="58"/>
  <c r="D13" i="58"/>
  <c r="D18" i="58"/>
  <c r="D17" i="58" s="1"/>
  <c r="E18" i="58"/>
  <c r="D19" i="58"/>
  <c r="D20" i="58"/>
  <c r="E22" i="58"/>
  <c r="D8" i="58"/>
  <c r="D9" i="58" s="1"/>
  <c r="E8" i="58"/>
  <c r="E9" i="58" s="1"/>
  <c r="C8" i="58"/>
  <c r="D7" i="58"/>
  <c r="E7" i="58"/>
  <c r="D6" i="58"/>
  <c r="E6" i="58"/>
  <c r="E21" i="57"/>
  <c r="D21" i="57"/>
  <c r="D46" i="57" s="1"/>
  <c r="C21" i="57"/>
  <c r="C47" i="57"/>
  <c r="D47" i="57"/>
  <c r="E47" i="57"/>
  <c r="C43" i="57"/>
  <c r="D43" i="57"/>
  <c r="E43" i="57"/>
  <c r="C44" i="57"/>
  <c r="D44" i="57"/>
  <c r="E44" i="57"/>
  <c r="C45" i="57"/>
  <c r="D45" i="57"/>
  <c r="E45" i="57"/>
  <c r="E46" i="57"/>
  <c r="C36" i="57"/>
  <c r="D36" i="57"/>
  <c r="E36" i="57"/>
  <c r="C37" i="57"/>
  <c r="D37" i="57"/>
  <c r="E37" i="57"/>
  <c r="C38" i="57"/>
  <c r="D38" i="57"/>
  <c r="D13" i="57" s="1"/>
  <c r="D14" i="57" s="1"/>
  <c r="E38" i="57"/>
  <c r="D31" i="57"/>
  <c r="E31" i="57"/>
  <c r="D32" i="57"/>
  <c r="E32" i="57"/>
  <c r="D11" i="57"/>
  <c r="D12" i="57"/>
  <c r="D18" i="57"/>
  <c r="D17" i="57" s="1"/>
  <c r="D19" i="57"/>
  <c r="D20" i="57"/>
  <c r="D22" i="57"/>
  <c r="D23" i="57" s="1"/>
  <c r="D9" i="57"/>
  <c r="E9" i="57"/>
  <c r="D8" i="57"/>
  <c r="E8" i="57"/>
  <c r="C8" i="57"/>
  <c r="D7" i="57"/>
  <c r="E7" i="57"/>
  <c r="D6" i="57"/>
  <c r="E6" i="57"/>
  <c r="C3" i="58"/>
  <c r="D3" i="58"/>
  <c r="E3" i="58"/>
  <c r="C4" i="58"/>
  <c r="D4" i="58"/>
  <c r="E4" i="58"/>
  <c r="C3" i="57"/>
  <c r="D3" i="57"/>
  <c r="E3" i="57"/>
  <c r="C4" i="57"/>
  <c r="D4" i="57"/>
  <c r="E4" i="57"/>
  <c r="D21" i="56"/>
  <c r="E21" i="56"/>
  <c r="C21" i="56"/>
  <c r="E47" i="56"/>
  <c r="D47" i="56"/>
  <c r="C47" i="56"/>
  <c r="E45" i="56"/>
  <c r="D45" i="56"/>
  <c r="D20" i="56" s="1"/>
  <c r="C45" i="56"/>
  <c r="E44" i="56"/>
  <c r="D44" i="56"/>
  <c r="C44" i="56"/>
  <c r="E43" i="56"/>
  <c r="D43" i="56"/>
  <c r="C43" i="56"/>
  <c r="E37" i="56"/>
  <c r="D37" i="56"/>
  <c r="C37" i="56"/>
  <c r="E36" i="56"/>
  <c r="D36" i="56"/>
  <c r="C36" i="56"/>
  <c r="C33" i="56"/>
  <c r="C10" i="56"/>
  <c r="D6" i="56"/>
  <c r="E6" i="56"/>
  <c r="D4" i="56"/>
  <c r="E4" i="56"/>
  <c r="E3" i="56"/>
  <c r="D3" i="56"/>
  <c r="D7" i="56"/>
  <c r="E7" i="56"/>
  <c r="E28" i="51"/>
  <c r="F27" i="51"/>
  <c r="F26" i="51"/>
  <c r="E27" i="51"/>
  <c r="E26" i="51"/>
  <c r="C2" i="58"/>
  <c r="C2" i="57"/>
  <c r="D31" i="56"/>
  <c r="I35" i="50"/>
  <c r="F35" i="50"/>
  <c r="I21" i="50"/>
  <c r="F21" i="50"/>
  <c r="E23" i="58" l="1"/>
  <c r="E14" i="58"/>
  <c r="D14" i="58"/>
  <c r="D23" i="58"/>
  <c r="D12" i="56"/>
  <c r="D19" i="56"/>
  <c r="D22" i="56"/>
  <c r="D11" i="56"/>
  <c r="D9" i="56" l="1"/>
  <c r="D32" i="56" l="1"/>
  <c r="G41" i="53" l="1"/>
  <c r="D43" i="53"/>
  <c r="D42" i="53"/>
  <c r="D41" i="53"/>
  <c r="F6" i="53"/>
  <c r="D6" i="53"/>
  <c r="D5" i="53"/>
  <c r="D4" i="53"/>
  <c r="E6" i="61"/>
  <c r="C6" i="61"/>
  <c r="B6" i="61"/>
  <c r="E5" i="61" l="1"/>
  <c r="E7" i="61" s="1"/>
  <c r="C5" i="61"/>
  <c r="B5" i="61"/>
  <c r="E4" i="61" l="1"/>
  <c r="C4" i="61"/>
  <c r="B4" i="61"/>
  <c r="F7" i="50" l="1"/>
  <c r="D33" i="53" l="1"/>
  <c r="D4" i="61" s="1"/>
  <c r="F33" i="53"/>
  <c r="D6" i="61" s="1"/>
  <c r="F6" i="61" s="1"/>
  <c r="G6" i="61" s="1"/>
  <c r="G33" i="53"/>
  <c r="H33" i="53"/>
  <c r="I33" i="53"/>
  <c r="F4" i="61" l="1"/>
  <c r="G4" i="61" s="1"/>
  <c r="I31" i="50"/>
  <c r="I17" i="50"/>
  <c r="I3" i="50"/>
  <c r="E10" i="50" s="1"/>
  <c r="C38" i="56" s="1"/>
  <c r="E31" i="56"/>
  <c r="E46" i="53"/>
  <c r="F46" i="53" s="1"/>
  <c r="G46" i="53" s="1"/>
  <c r="H46" i="53" s="1"/>
  <c r="I4" i="53"/>
  <c r="I5" i="53"/>
  <c r="E4" i="53"/>
  <c r="F4" i="53"/>
  <c r="G4" i="53"/>
  <c r="H4" i="53"/>
  <c r="E5" i="53"/>
  <c r="F5" i="53"/>
  <c r="G5" i="53"/>
  <c r="H5" i="53"/>
  <c r="E20" i="50" l="1"/>
  <c r="E23" i="50"/>
  <c r="E18" i="50"/>
  <c r="E21" i="50"/>
  <c r="E24" i="50"/>
  <c r="D38" i="56" s="1"/>
  <c r="E19" i="50"/>
  <c r="E22" i="50"/>
  <c r="E25" i="50"/>
  <c r="E33" i="50"/>
  <c r="E36" i="50"/>
  <c r="E39" i="50"/>
  <c r="E34" i="50"/>
  <c r="E37" i="50"/>
  <c r="E32" i="50"/>
  <c r="E35" i="50"/>
  <c r="E38" i="50"/>
  <c r="E38" i="56" s="1"/>
  <c r="E7" i="50"/>
  <c r="E5" i="50"/>
  <c r="E6" i="50"/>
  <c r="E4" i="50"/>
  <c r="E9" i="50"/>
  <c r="E8" i="50"/>
  <c r="E11" i="50"/>
  <c r="D13" i="56" l="1"/>
  <c r="D14" i="56" s="1"/>
  <c r="E19" i="56"/>
  <c r="E19" i="57"/>
  <c r="E11" i="57"/>
  <c r="E14" i="57" s="1"/>
  <c r="E11" i="56"/>
  <c r="E13" i="56"/>
  <c r="E13" i="57"/>
  <c r="E12" i="57"/>
  <c r="E12" i="56"/>
  <c r="E22" i="56"/>
  <c r="E22" i="57"/>
  <c r="E14" i="56" l="1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C3" i="56" l="1"/>
  <c r="C4" i="56"/>
  <c r="B9" i="51"/>
  <c r="L8" i="55" l="1"/>
  <c r="K9" i="55"/>
  <c r="L7" i="55"/>
  <c r="C6" i="58"/>
  <c r="C31" i="58"/>
  <c r="C6" i="57"/>
  <c r="C31" i="57"/>
  <c r="C6" i="56"/>
  <c r="F6" i="56" s="1"/>
  <c r="C31" i="56"/>
  <c r="E9" i="56" l="1"/>
  <c r="F6" i="57"/>
  <c r="D3" i="2" s="1"/>
  <c r="F6" i="58"/>
  <c r="C3" i="2"/>
  <c r="C7" i="56"/>
  <c r="C7" i="57"/>
  <c r="F7" i="57" s="1"/>
  <c r="C7" i="58"/>
  <c r="F7" i="58" s="1"/>
  <c r="L9" i="55"/>
  <c r="K10" i="55"/>
  <c r="L10" i="55" s="1"/>
  <c r="C11" i="58"/>
  <c r="F11" i="58" s="1"/>
  <c r="C11" i="56"/>
  <c r="F11" i="56" s="1"/>
  <c r="C13" i="56" l="1"/>
  <c r="F13" i="56" s="1"/>
  <c r="C13" i="57"/>
  <c r="F13" i="57" s="1"/>
  <c r="D10" i="2" s="1"/>
  <c r="D36" i="2" s="1"/>
  <c r="C13" i="58"/>
  <c r="F13" i="58" s="1"/>
  <c r="C12" i="56"/>
  <c r="C12" i="58"/>
  <c r="F12" i="58" s="1"/>
  <c r="C12" i="57"/>
  <c r="F12" i="57" s="1"/>
  <c r="E32" i="56"/>
  <c r="C9" i="56"/>
  <c r="F7" i="56"/>
  <c r="C4" i="2" s="1"/>
  <c r="D4" i="2"/>
  <c r="C11" i="57"/>
  <c r="C8" i="2"/>
  <c r="C34" i="2" s="1"/>
  <c r="C19" i="58"/>
  <c r="F19" i="58" s="1"/>
  <c r="C19" i="57"/>
  <c r="F19" i="57" s="1"/>
  <c r="C19" i="56"/>
  <c r="F19" i="56" s="1"/>
  <c r="E3" i="2"/>
  <c r="E4" i="2"/>
  <c r="F8" i="58" l="1"/>
  <c r="E5" i="2" s="1"/>
  <c r="E20" i="56"/>
  <c r="E20" i="57"/>
  <c r="C32" i="56"/>
  <c r="C20" i="56" s="1"/>
  <c r="F9" i="56"/>
  <c r="C6" i="2" s="1"/>
  <c r="C29" i="2" s="1"/>
  <c r="C9" i="57"/>
  <c r="F8" i="57"/>
  <c r="D5" i="2" s="1"/>
  <c r="F11" i="57"/>
  <c r="D8" i="2" s="1"/>
  <c r="D34" i="2" s="1"/>
  <c r="F8" i="56"/>
  <c r="C5" i="2" s="1"/>
  <c r="C14" i="56"/>
  <c r="F14" i="56" s="1"/>
  <c r="F12" i="56"/>
  <c r="C9" i="58"/>
  <c r="F9" i="58" s="1"/>
  <c r="C14" i="57"/>
  <c r="F14" i="57" s="1"/>
  <c r="C14" i="58"/>
  <c r="F14" i="58" s="1"/>
  <c r="D16" i="2"/>
  <c r="E10" i="2"/>
  <c r="E36" i="2" s="1"/>
  <c r="C10" i="2"/>
  <c r="C36" i="2" s="1"/>
  <c r="C16" i="2"/>
  <c r="E8" i="2"/>
  <c r="E34" i="2" s="1"/>
  <c r="D42" i="2" l="1"/>
  <c r="C47" i="2"/>
  <c r="C42" i="2"/>
  <c r="F20" i="56"/>
  <c r="C32" i="57"/>
  <c r="C20" i="57" s="1"/>
  <c r="F9" i="57"/>
  <c r="D6" i="2" s="1"/>
  <c r="D29" i="2" s="1"/>
  <c r="C32" i="58"/>
  <c r="C20" i="58" s="1"/>
  <c r="E6" i="2"/>
  <c r="E29" i="2" s="1"/>
  <c r="D47" i="2" l="1"/>
  <c r="F20" i="58"/>
  <c r="E17" i="2" s="1"/>
  <c r="F20" i="57"/>
  <c r="D17" i="2" s="1"/>
  <c r="E9" i="2"/>
  <c r="E35" i="2" s="1"/>
  <c r="E11" i="2"/>
  <c r="C11" i="2"/>
  <c r="C9" i="2"/>
  <c r="C35" i="2" s="1"/>
  <c r="E49" i="2" l="1"/>
  <c r="E43" i="2"/>
  <c r="D49" i="2"/>
  <c r="D43" i="2"/>
  <c r="D11" i="2"/>
  <c r="D9" i="2"/>
  <c r="D35" i="2" s="1"/>
  <c r="E16" i="2"/>
  <c r="E42" i="2" l="1"/>
  <c r="E47" i="2"/>
  <c r="C17" i="2"/>
  <c r="C49" i="2" l="1"/>
  <c r="C43" i="2"/>
  <c r="B5" i="51"/>
  <c r="I7" i="50" l="1"/>
  <c r="E45" i="53" l="1"/>
  <c r="F45" i="53" s="1"/>
  <c r="G45" i="53" s="1"/>
  <c r="H45" i="53" s="1"/>
  <c r="E44" i="53"/>
  <c r="F44" i="53" s="1"/>
  <c r="G44" i="53" s="1"/>
  <c r="H44" i="53" s="1"/>
  <c r="F43" i="53"/>
  <c r="E33" i="53"/>
  <c r="F41" i="53"/>
  <c r="H41" i="53" s="1"/>
  <c r="I9" i="55"/>
  <c r="G22" i="51"/>
  <c r="B27" i="51"/>
  <c r="B8" i="51"/>
  <c r="B7" i="5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F5" i="2"/>
  <c r="E33" i="56" l="1"/>
  <c r="E10" i="56"/>
  <c r="G43" i="53"/>
  <c r="F42" i="53"/>
  <c r="D5" i="61"/>
  <c r="D7" i="61" s="1"/>
  <c r="E10" i="36"/>
  <c r="E17" i="36" s="1"/>
  <c r="E19" i="36" s="1"/>
  <c r="C22" i="56"/>
  <c r="F22" i="56" s="1"/>
  <c r="C19" i="2" s="1"/>
  <c r="C51" i="2" s="1"/>
  <c r="C22" i="58"/>
  <c r="F22" i="58" s="1"/>
  <c r="E19" i="2" s="1"/>
  <c r="E51" i="2" s="1"/>
  <c r="C22" i="57"/>
  <c r="F22" i="57" s="1"/>
  <c r="D19" i="2" s="1"/>
  <c r="D51" i="2" s="1"/>
  <c r="K10" i="36"/>
  <c r="F3" i="2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F21" i="58"/>
  <c r="M13" i="36"/>
  <c r="K17" i="36"/>
  <c r="K19" i="36" s="1"/>
  <c r="M14" i="36"/>
  <c r="D33" i="56" l="1"/>
  <c r="D34" i="56" s="1"/>
  <c r="D40" i="56" s="1"/>
  <c r="D10" i="56"/>
  <c r="D15" i="56" s="1"/>
  <c r="D16" i="56" s="1"/>
  <c r="G42" i="53"/>
  <c r="E33" i="57"/>
  <c r="E34" i="57" s="1"/>
  <c r="E40" i="57" s="1"/>
  <c r="E48" i="57" s="1"/>
  <c r="E10" i="57"/>
  <c r="H43" i="53"/>
  <c r="F5" i="61"/>
  <c r="G5" i="61" s="1"/>
  <c r="F7" i="61"/>
  <c r="G7" i="61" s="1"/>
  <c r="F18" i="56"/>
  <c r="E34" i="56"/>
  <c r="E40" i="56" s="1"/>
  <c r="E15" i="56"/>
  <c r="E16" i="56" s="1"/>
  <c r="C34" i="56"/>
  <c r="C40" i="56" s="1"/>
  <c r="G17" i="36"/>
  <c r="G19" i="36" s="1"/>
  <c r="J26" i="51"/>
  <c r="E23" i="36"/>
  <c r="C18" i="36"/>
  <c r="D18" i="36" s="1"/>
  <c r="E18" i="36" s="1"/>
  <c r="C19" i="36"/>
  <c r="M10" i="36"/>
  <c r="D19" i="36"/>
  <c r="E22" i="36"/>
  <c r="H17" i="36"/>
  <c r="H19" i="36" s="1"/>
  <c r="F21" i="56"/>
  <c r="F21" i="57"/>
  <c r="G27" i="51"/>
  <c r="M17" i="36"/>
  <c r="D10" i="57" l="1"/>
  <c r="D15" i="57" s="1"/>
  <c r="D33" i="57"/>
  <c r="D34" i="57" s="1"/>
  <c r="D40" i="57" s="1"/>
  <c r="D48" i="57" s="1"/>
  <c r="H42" i="53"/>
  <c r="E10" i="58"/>
  <c r="E15" i="58" s="1"/>
  <c r="E33" i="58"/>
  <c r="E34" i="58" s="1"/>
  <c r="E40" i="58" s="1"/>
  <c r="E48" i="58" s="1"/>
  <c r="D46" i="56"/>
  <c r="D48" i="56" s="1"/>
  <c r="C60" i="2"/>
  <c r="D18" i="56"/>
  <c r="D17" i="56" s="1"/>
  <c r="D23" i="56" s="1"/>
  <c r="D24" i="56" s="1"/>
  <c r="D25" i="56" s="1"/>
  <c r="D26" i="56" s="1"/>
  <c r="D27" i="56" s="1"/>
  <c r="F18" i="58"/>
  <c r="E60" i="2" s="1"/>
  <c r="F28" i="51"/>
  <c r="F18" i="57"/>
  <c r="D60" i="2" s="1"/>
  <c r="M19" i="36"/>
  <c r="C33" i="57"/>
  <c r="C34" i="57" s="1"/>
  <c r="C40" i="57" s="1"/>
  <c r="C10" i="57"/>
  <c r="E15" i="57"/>
  <c r="E16" i="57" s="1"/>
  <c r="F9" i="2"/>
  <c r="F35" i="2" s="1"/>
  <c r="I22" i="36"/>
  <c r="F10" i="56"/>
  <c r="C7" i="2" s="1"/>
  <c r="C30" i="2" s="1"/>
  <c r="F17" i="2"/>
  <c r="F43" i="2" s="1"/>
  <c r="F6" i="36"/>
  <c r="F5" i="36" s="1"/>
  <c r="F17" i="36" s="1"/>
  <c r="F19" i="36" s="1"/>
  <c r="F4" i="2"/>
  <c r="L6" i="36" s="1"/>
  <c r="L5" i="36" s="1"/>
  <c r="L17" i="36" s="1"/>
  <c r="L19" i="36" s="1"/>
  <c r="I23" i="36"/>
  <c r="C15" i="56"/>
  <c r="C20" i="36"/>
  <c r="D20" i="36" s="1"/>
  <c r="E20" i="36" s="1"/>
  <c r="F16" i="2"/>
  <c r="E18" i="2"/>
  <c r="E50" i="2" s="1"/>
  <c r="C46" i="58"/>
  <c r="C18" i="2"/>
  <c r="C50" i="2" s="1"/>
  <c r="C46" i="56"/>
  <c r="C48" i="56" s="1"/>
  <c r="D18" i="2"/>
  <c r="D50" i="2" s="1"/>
  <c r="C46" i="57"/>
  <c r="I27" i="51"/>
  <c r="F19" i="2"/>
  <c r="D33" i="58" l="1"/>
  <c r="D34" i="58" s="1"/>
  <c r="D40" i="58" s="1"/>
  <c r="D48" i="58" s="1"/>
  <c r="D10" i="58"/>
  <c r="D15" i="58" s="1"/>
  <c r="D16" i="57"/>
  <c r="D24" i="57"/>
  <c r="D25" i="57" s="1"/>
  <c r="D26" i="57" s="1"/>
  <c r="D27" i="57" s="1"/>
  <c r="E24" i="58"/>
  <c r="E25" i="58" s="1"/>
  <c r="E26" i="58" s="1"/>
  <c r="E27" i="58" s="1"/>
  <c r="E16" i="58"/>
  <c r="C18" i="58"/>
  <c r="C17" i="58" s="1"/>
  <c r="C23" i="58" s="1"/>
  <c r="C18" i="57"/>
  <c r="C17" i="57" s="1"/>
  <c r="E18" i="57"/>
  <c r="E17" i="57" s="1"/>
  <c r="E23" i="57" s="1"/>
  <c r="E24" i="57" s="1"/>
  <c r="C31" i="2"/>
  <c r="C32" i="2" s="1"/>
  <c r="G26" i="51"/>
  <c r="F42" i="2"/>
  <c r="F20" i="36"/>
  <c r="G20" i="36" s="1"/>
  <c r="H20" i="36" s="1"/>
  <c r="I24" i="36" s="1"/>
  <c r="F18" i="2"/>
  <c r="F18" i="36"/>
  <c r="G18" i="36" s="1"/>
  <c r="H18" i="36" s="1"/>
  <c r="E24" i="36" s="1"/>
  <c r="F10" i="2"/>
  <c r="F10" i="57"/>
  <c r="D7" i="2" s="1"/>
  <c r="D30" i="2" s="1"/>
  <c r="F8" i="2"/>
  <c r="F34" i="2" s="1"/>
  <c r="C10" i="58"/>
  <c r="F6" i="2"/>
  <c r="E46" i="56"/>
  <c r="E48" i="56" s="1"/>
  <c r="C16" i="56"/>
  <c r="F15" i="56"/>
  <c r="F16" i="56" s="1"/>
  <c r="C13" i="2" s="1"/>
  <c r="C48" i="57"/>
  <c r="C15" i="57"/>
  <c r="F15" i="57" s="1"/>
  <c r="C33" i="58"/>
  <c r="C34" i="58" s="1"/>
  <c r="C40" i="58" s="1"/>
  <c r="C48" i="58" s="1"/>
  <c r="F11" i="2"/>
  <c r="D16" i="58" l="1"/>
  <c r="D24" i="58"/>
  <c r="D25" i="58" s="1"/>
  <c r="D26" i="58" s="1"/>
  <c r="D27" i="58" s="1"/>
  <c r="F17" i="58"/>
  <c r="F23" i="58" s="1"/>
  <c r="E20" i="2" s="1"/>
  <c r="G28" i="51"/>
  <c r="F17" i="57"/>
  <c r="D14" i="2" s="1"/>
  <c r="D41" i="2" s="1"/>
  <c r="C23" i="57"/>
  <c r="C24" i="57" s="1"/>
  <c r="D31" i="2"/>
  <c r="D32" i="2" s="1"/>
  <c r="I20" i="36"/>
  <c r="J20" i="36" s="1"/>
  <c r="K20" i="36" s="1"/>
  <c r="L20" i="36" s="1"/>
  <c r="E25" i="57"/>
  <c r="E26" i="57" s="1"/>
  <c r="E27" i="57" s="1"/>
  <c r="I18" i="36"/>
  <c r="J18" i="36" s="1"/>
  <c r="K18" i="36" s="1"/>
  <c r="L18" i="36" s="1"/>
  <c r="F10" i="58"/>
  <c r="E7" i="2" s="1"/>
  <c r="E30" i="2" s="1"/>
  <c r="F47" i="2"/>
  <c r="F36" i="2"/>
  <c r="F29" i="2"/>
  <c r="F51" i="2"/>
  <c r="F49" i="2"/>
  <c r="F50" i="2"/>
  <c r="C12" i="2"/>
  <c r="C38" i="2" s="1"/>
  <c r="C16" i="57"/>
  <c r="C15" i="58"/>
  <c r="F15" i="58" s="1"/>
  <c r="H28" i="51"/>
  <c r="I26" i="51"/>
  <c r="F60" i="2" s="1"/>
  <c r="F23" i="57" l="1"/>
  <c r="F24" i="57" s="1"/>
  <c r="F25" i="57" s="1"/>
  <c r="F26" i="57" s="1"/>
  <c r="F27" i="57" s="1"/>
  <c r="D24" i="2" s="1"/>
  <c r="E14" i="2"/>
  <c r="E48" i="2" s="1"/>
  <c r="F24" i="58"/>
  <c r="D48" i="2"/>
  <c r="C25" i="57"/>
  <c r="C26" i="57" s="1"/>
  <c r="C27" i="57" s="1"/>
  <c r="E31" i="2"/>
  <c r="E32" i="2" s="1"/>
  <c r="F16" i="58"/>
  <c r="C16" i="58"/>
  <c r="D12" i="2"/>
  <c r="D38" i="2" s="1"/>
  <c r="F16" i="57"/>
  <c r="D13" i="2" s="1"/>
  <c r="C24" i="58"/>
  <c r="D21" i="2" l="1"/>
  <c r="D53" i="2" s="1"/>
  <c r="F25" i="58"/>
  <c r="F26" i="58" s="1"/>
  <c r="E41" i="2"/>
  <c r="D20" i="2"/>
  <c r="D39" i="2" s="1"/>
  <c r="C25" i="58"/>
  <c r="C26" i="58" s="1"/>
  <c r="D22" i="2"/>
  <c r="F7" i="2"/>
  <c r="E13" i="2"/>
  <c r="E12" i="2"/>
  <c r="E38" i="2" s="1"/>
  <c r="E39" i="2" s="1"/>
  <c r="D23" i="2"/>
  <c r="F27" i="58" l="1"/>
  <c r="E24" i="2" s="1"/>
  <c r="C27" i="58"/>
  <c r="D52" i="2"/>
  <c r="D59" i="2"/>
  <c r="D58" i="2" s="1"/>
  <c r="F12" i="2"/>
  <c r="F30" i="2"/>
  <c r="F31" i="2" s="1"/>
  <c r="F32" i="2" s="1"/>
  <c r="E21" i="2"/>
  <c r="E53" i="2" s="1"/>
  <c r="E22" i="2"/>
  <c r="E23" i="2" l="1"/>
  <c r="E52" i="2" s="1"/>
  <c r="F13" i="2"/>
  <c r="F38" i="2"/>
  <c r="E59" i="2" l="1"/>
  <c r="E58" i="2" s="1"/>
  <c r="E18" i="56" l="1"/>
  <c r="E17" i="56" s="1"/>
  <c r="E23" i="56" s="1"/>
  <c r="E24" i="56" s="1"/>
  <c r="E25" i="56" s="1"/>
  <c r="C18" i="56"/>
  <c r="C17" i="56" s="1"/>
  <c r="C23" i="56" l="1"/>
  <c r="C24" i="56" s="1"/>
  <c r="C25" i="56" s="1"/>
  <c r="F17" i="56"/>
  <c r="E26" i="56"/>
  <c r="E27" i="56" s="1"/>
  <c r="C14" i="2" l="1"/>
  <c r="F23" i="56"/>
  <c r="C26" i="56"/>
  <c r="C48" i="2" l="1"/>
  <c r="C41" i="2"/>
  <c r="C27" i="56"/>
  <c r="F24" i="56"/>
  <c r="C20" i="2"/>
  <c r="F14" i="2"/>
  <c r="F25" i="56" l="1"/>
  <c r="F26" i="56" s="1"/>
  <c r="F20" i="2"/>
  <c r="C39" i="2"/>
  <c r="F41" i="2"/>
  <c r="F48" i="2"/>
  <c r="C21" i="2"/>
  <c r="C53" i="2" s="1"/>
  <c r="C22" i="2" l="1"/>
  <c r="C23" i="2"/>
  <c r="C52" i="2" s="1"/>
  <c r="F27" i="56"/>
  <c r="C24" i="2" s="1"/>
  <c r="F39" i="2"/>
  <c r="F21" i="2"/>
  <c r="F22" i="2" s="1"/>
  <c r="C59" i="2" l="1"/>
  <c r="C58" i="2" s="1"/>
  <c r="F23" i="2"/>
  <c r="F53" i="2"/>
  <c r="F24" i="2" l="1"/>
  <c r="F52" i="2"/>
  <c r="F59" i="2"/>
  <c r="F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<sst xmlns="http://schemas.openxmlformats.org/spreadsheetml/2006/main" count="982" uniqueCount="293">
  <si>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</si>
  <si>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</si>
  <si>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</si>
  <si>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</si>
  <si>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</si>
  <si>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</si>
  <si>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</si>
  <si>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</si>
  <si>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</si>
  <si>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</si>
  <si>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</si>
  <si>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</si>
  <si>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</si>
  <si>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</si>
  <si>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</si>
  <si>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</si>
  <si>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</si>
  <si>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</si>
  <si>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</si>
  <si>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</si>
  <si>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</si>
  <si>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</si>
  <si>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</si>
  <si>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</si>
  <si>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</si>
  <si>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</si>
  <si>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</si>
  <si>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</si>
  <si>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</si>
  <si>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</si>
  <si>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</si>
  <si>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</si>
  <si>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</si>
  <si>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</si>
  <si>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</si>
  <si>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</si>
  <si>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</si>
  <si>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</si>
  <si>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</si>
  <si>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</si>
  <si>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</si>
  <si>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</si>
  <si>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</si>
  <si>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</si>
  <si>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</si>
  <si>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</si>
  <si>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</si>
  <si>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</si>
  <si>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</si>
  <si>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</si>
  <si>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</si>
  <si>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</si>
  <si>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</si>
  <si>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</si>
  <si>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</si>
  <si>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</si>
  <si>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</si>
  <si>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</si>
  <si>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</si>
  <si>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</si>
  <si>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</si>
  <si>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</si>
  <si>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</si>
  <si>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</si>
  <si>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</si>
  <si>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</si>
  <si>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</si>
  <si>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</si>
  <si>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</si>
  <si>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</si>
  <si>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</si>
  <si>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</si>
  <si>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</si>
  <si>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</si>
  <si>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</si>
  <si>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</si>
  <si>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</si>
  <si>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</si>
  <si>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</si>
  <si>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</si>
  <si>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</si>
  <si>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</si>
  <si>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</si>
  <si>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</si>
  <si>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</si>
  <si>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</si>
  <si>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</si>
  <si>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</si>
  <si>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</si>
  <si>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</si>
  <si>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</si>
  <si>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</si>
  <si>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</si>
  <si>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</si>
  <si>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</si>
  <si>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</si>
  <si>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</si>
  <si>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</si>
  <si>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</si>
  <si>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</si>
  <si>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</si>
  <si>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</si>
  <si>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</si>
  <si>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</si>
  <si>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</si>
  <si>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</si>
  <si>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</si>
  <si>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</si>
  <si>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</si>
  <si>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</si>
  <si>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</si>
  <si>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</si>
  <si>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</si>
  <si>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</si>
  <si>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</si>
  <si>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</si>
  <si>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</si>
  <si>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</si>
  <si>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</si>
  <si>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</si>
  <si>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</si>
  <si>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</si>
  <si>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</si>
  <si>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</si>
  <si>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</si>
  <si>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</si>
  <si>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</si>
  <si>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</si>
  <si>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</si>
  <si>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</si>
  <si>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</si>
  <si>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</si>
  <si>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</si>
  <si>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</si>
  <si>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</si>
  <si>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</si>
  <si>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</si>
  <si>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</si>
  <si>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</si>
  <si>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</si>
  <si>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</si>
  <si>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</si>
  <si>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</si>
  <si>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</si>
  <si>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</si>
  <si>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</si>
  <si>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</si>
  <si>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</si>
  <si>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</si>
  <si>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</si>
  <si>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</si>
  <si>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</si>
  <si>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</si>
  <si>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</si>
  <si>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</si>
  <si>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</si>
  <si>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</si>
  <si>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</si>
  <si>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</si>
  <si>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</si>
  <si>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</si>
  <si>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</si>
  <si>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</si>
  <si>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</si>
  <si>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</si>
  <si>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</si>
  <si>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</si>
  <si>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</si>
  <si>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</si>
  <si>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</si>
  <si>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</si>
  <si>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</si>
  <si>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</si>
  <si>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</si>
  <si>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</si>
  <si>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</si>
  <si>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</si>
  <si>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</si>
  <si>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</si>
  <si>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</si>
  <si>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</si>
  <si>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</si>
  <si>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</si>
  <si>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</si>
  <si>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</si>
  <si>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</si>
  <si>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</si>
  <si>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</si>
  <si>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</si>
  <si>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</si>
  <si>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</si>
  <si>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</si>
  <si>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</si>
  <si>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</si>
  <si>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</si>
  <si>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</si>
  <si>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</si>
  <si>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</si>
  <si>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</si>
  <si>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</si>
  <si>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</si>
  <si>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</si>
  <si>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</si>
  <si>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</si>
  <si>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</si>
  <si>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</si>
  <si>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</si>
  <si>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</si>
  <si>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</si>
  <si>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</si>
  <si>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</si>
  <si>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</si>
  <si>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</si>
  <si>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</si>
  <si>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</si>
  <si>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</si>
  <si>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</si>
  <si>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</si>
  <si>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</si>
  <si>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</si>
  <si>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</si>
  <si>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</si>
  <si>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</si>
  <si>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</si>
  <si>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</si>
  <si>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</si>
  <si>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</si>
  <si>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</si>
  <si>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</si>
  <si>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</si>
  <si>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</si>
  <si>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</si>
  <si>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</si>
  <si>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</si>
  <si>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</si>
  <si>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</si>
  <si>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</si>
  <si>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</si>
  <si>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</si>
  <si>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</si>
  <si>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</si>
  <si>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</si>
  <si>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</si>
  <si>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</si>
  <si>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</si>
  <si>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</si>
  <si>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t>产品图号</t>
    <phoneticPr fontId="38" type="noConversion"/>
  </si>
  <si>
    <t>所得税(税率15%）</t>
    <phoneticPr fontId="38" type="noConversion"/>
  </si>
  <si>
    <t xml:space="preserve">H5000S座椅项目研发费用预算表 </t>
    <phoneticPr fontId="38" type="noConversion"/>
  </si>
  <si>
    <t>H5000S</t>
    <phoneticPr fontId="38" type="noConversion"/>
  </si>
  <si>
    <r>
      <t>研发费用按照产销量摊销，</t>
    </r>
    <r>
      <rPr>
        <sz val="12"/>
        <color rgb="FFFF0000"/>
        <rFont val="微软雅黑"/>
        <family val="2"/>
        <charset val="134"/>
      </rPr>
      <t>营销部门需承诺未完成摊销部分客户支付</t>
    </r>
    <r>
      <rPr>
        <sz val="12"/>
        <rFont val="微软雅黑"/>
        <family val="2"/>
        <charset val="134"/>
      </rPr>
      <t>。</t>
    </r>
    <phoneticPr fontId="38" type="noConversion"/>
  </si>
  <si>
    <t>采购</t>
    <phoneticPr fontId="38" type="noConversion"/>
  </si>
  <si>
    <t>开发费分摊情况</t>
    <phoneticPr fontId="35" type="noConversion"/>
  </si>
  <si>
    <t>产品应用场景</t>
    <phoneticPr fontId="35" type="noConversion"/>
  </si>
  <si>
    <t>如是工程车、公路用车？</t>
    <phoneticPr fontId="35" type="noConversion"/>
  </si>
  <si>
    <t>三包周期</t>
    <phoneticPr fontId="35" type="noConversion"/>
  </si>
  <si>
    <t xml:space="preserve">   5 年</t>
    <phoneticPr fontId="38" type="noConversion"/>
  </si>
  <si>
    <t>西安工厂</t>
    <phoneticPr fontId="35" type="noConversion"/>
  </si>
  <si>
    <t>陕西重型汽车厂</t>
    <phoneticPr fontId="35" type="noConversion"/>
  </si>
  <si>
    <t>承兑汇票</t>
    <phoneticPr fontId="35" type="noConversion"/>
  </si>
  <si>
    <t>同现有产品</t>
  </si>
  <si>
    <t>平台车型（包括牵引、载货、自卸）</t>
    <phoneticPr fontId="35" type="noConversion"/>
  </si>
  <si>
    <t>24个月（自卸12个月）</t>
    <phoneticPr fontId="35" type="noConversion"/>
  </si>
  <si>
    <t>2个装配治具</t>
    <phoneticPr fontId="35" type="noConversion"/>
  </si>
  <si>
    <t>2套检具</t>
    <phoneticPr fontId="35" type="noConversion"/>
  </si>
  <si>
    <t>供应商年降：     5  年  4 %</t>
    <phoneticPr fontId="38" type="noConversion"/>
  </si>
  <si>
    <t>材料成本年降汇总表4%</t>
    <phoneticPr fontId="38" type="noConversion"/>
  </si>
  <si>
    <t>合计</t>
    <phoneticPr fontId="38" type="noConversion"/>
  </si>
  <si>
    <t>DZ16231510320</t>
  </si>
  <si>
    <t xml:space="preserve"> </t>
    <phoneticPr fontId="38" type="noConversion"/>
  </si>
  <si>
    <r>
      <t xml:space="preserve">陕汽H5000S座椅项目投资收益分析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</si>
  <si>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验证样件+评审样件+小批量试装样件</t>
  </si>
  <si>
    <t>副驾强检及主副驾DVP</t>
  </si>
  <si>
    <t>H5000S经济型空气主座椅</t>
    <phoneticPr fontId="35" type="noConversion"/>
  </si>
  <si>
    <t>副座椅</t>
    <phoneticPr fontId="35" type="noConversion"/>
  </si>
  <si>
    <t>底支架</t>
    <phoneticPr fontId="35" type="noConversion"/>
  </si>
  <si>
    <t>DZ16231510230</t>
  </si>
  <si>
    <t>暂无</t>
  </si>
  <si>
    <t>前后调节、靠背调节、气动升降、阻尼可调、速降、气动腰脱、集成式安全带</t>
  </si>
  <si>
    <t>座垫折叠、靠背调节、集成式安全带</t>
  </si>
  <si>
    <t>无（底支架）</t>
  </si>
  <si>
    <t>产品附加值汇总表</t>
    <phoneticPr fontId="38" type="noConversion"/>
  </si>
  <si>
    <t>名称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</si>
  <si>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</si>
  <si>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</si>
  <si>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</si>
  <si>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</si>
  <si>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</si>
  <si>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部分成本预估。供应商年降幅度与产品销价降幅一致。</t>
    <phoneticPr fontId="38" type="noConversion"/>
  </si>
  <si>
    <t>财务费用按集团平均水平，未考虑投资资金时间价值。</t>
    <phoneticPr fontId="38" type="noConversion"/>
  </si>
  <si>
    <t>变动费用参考西安工厂2021年实际及2022预算暂估。</t>
    <phoneticPr fontId="38" type="noConversion"/>
  </si>
  <si>
    <t>西安工厂平均值</t>
    <phoneticPr fontId="38" type="noConversion"/>
  </si>
  <si>
    <t>陕汽重型汽车有限公司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</si>
</sst>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0"/>
      <color rgb="FF58666E"/>
      <name val="微软雅黑"/>
      <family val="2"/>
      <charset val="134"/>
    </font>
    <font>
      <sz val="10"/>
      <color rgb="FF58666E"/>
      <name val="Arial"/>
      <family val="2"/>
    </font>
    <font>
      <sz val="11"/>
      <color theme="1"/>
      <name val="Arial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medium">
        <color rgb="FFF4F4F4"/>
      </bottom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thick">
        <color rgb="FFF4F4F4"/>
      </bottom>
      <diagonal/>
    </border>
    <border>
      <left/>
      <right style="medium">
        <color rgb="FFF4F4F4"/>
      </right>
      <top/>
      <bottom style="medium">
        <color rgb="FFF4F4F4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0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1" fillId="0" borderId="1" xfId="0" applyFont="1" applyBorder="1">
      <alignment vertical="center"/>
    </xf>
    <xf numFmtId="0" fontId="27" fillId="0" borderId="1" xfId="0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1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1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27" fillId="0" borderId="0" xfId="0" applyFont="1">
      <alignment vertical="center"/>
    </xf>
    <xf numFmtId="43" fontId="2" fillId="7" borderId="0" xfId="0" applyNumberFormat="1" applyFont="1" applyFill="1">
      <alignment vertical="center"/>
    </xf>
    <xf numFmtId="0" fontId="27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horizontal="left" vertical="center" wrapText="1" indent="1"/>
    </xf>
    <xf numFmtId="0" fontId="51" fillId="0" borderId="17" xfId="0" applyFont="1" applyBorder="1" applyAlignment="1">
      <alignment vertical="center" wrapText="1"/>
    </xf>
    <xf numFmtId="0" fontId="51" fillId="0" borderId="17" xfId="0" applyFont="1" applyBorder="1" applyAlignment="1">
      <alignment vertical="top" wrapText="1"/>
    </xf>
    <xf numFmtId="4" fontId="51" fillId="0" borderId="17" xfId="0" applyNumberFormat="1" applyFont="1" applyBorder="1" applyAlignment="1">
      <alignment vertical="top" wrapText="1"/>
    </xf>
    <xf numFmtId="0" fontId="51" fillId="10" borderId="18" xfId="0" applyFont="1" applyFill="1" applyBorder="1" applyAlignment="1">
      <alignment horizontal="center" vertical="top" wrapText="1"/>
    </xf>
    <xf numFmtId="0" fontId="0" fillId="0" borderId="19" xfId="0" applyBorder="1">
      <alignment vertical="center"/>
    </xf>
    <xf numFmtId="43" fontId="41" fillId="8" borderId="4" xfId="1" applyFont="1" applyFill="1" applyBorder="1" applyAlignment="1" applyProtection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 vertical="center"/>
    </xf>
    <xf numFmtId="43" fontId="41" fillId="8" borderId="1" xfId="1" applyFont="1" applyFill="1" applyBorder="1" applyAlignment="1" applyProtection="1">
      <alignment vertical="center"/>
    </xf>
    <xf numFmtId="0" fontId="41" fillId="9" borderId="1" xfId="0" applyFont="1" applyFill="1" applyBorder="1" applyAlignment="1">
      <alignment horizontal="center" vertical="center"/>
    </xf>
    <xf numFmtId="43" fontId="10" fillId="8" borderId="1" xfId="1" applyFont="1" applyFill="1" applyBorder="1" applyAlignment="1" applyProtection="1">
      <alignment vertical="center"/>
    </xf>
    <xf numFmtId="0" fontId="4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top" wrapText="1"/>
    </xf>
    <xf numFmtId="43" fontId="48" fillId="0" borderId="1" xfId="1" applyFont="1" applyBorder="1" applyAlignment="1">
      <alignment horizontal="left" vertical="center" wrapText="1"/>
    </xf>
    <xf numFmtId="43" fontId="48" fillId="0" borderId="1" xfId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 readingOrder="1"/>
    </xf>
    <xf numFmtId="0" fontId="0" fillId="0" borderId="1" xfId="0" applyNumberFormat="1" applyBorder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43" fontId="0" fillId="0" borderId="1" xfId="1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8</xdr:col>
      <xdr:colOff>265987</xdr:colOff>
      <xdr:row>67</xdr:row>
      <xdr:rowOff>9053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11115675"/>
          <a:ext cx="5704762" cy="378095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8</xdr:col>
      <xdr:colOff>104083</xdr:colOff>
      <xdr:row>86</xdr:row>
      <xdr:rowOff>190005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0" y="15097125"/>
          <a:ext cx="5542858" cy="39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70</xdr:row>
      <xdr:rowOff>95250</xdr:rowOff>
    </xdr:from>
    <xdr:to>
      <xdr:col>16</xdr:col>
      <xdr:colOff>227700</xdr:colOff>
      <xdr:row>74</xdr:row>
      <xdr:rowOff>161812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5275" y="15611475"/>
          <a:ext cx="7200000" cy="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33402;BOM/L6000&amp;H5000S&#24231;&#26885;&#20027;&#39550;&#24037;&#33402;BOM-20221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33402;BOM/&#21103;&#39550;BOMH5000S&#32763;&#25240;&#21103;&#39550;EBOM-&#24037;&#33402;BOM202212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座椅配置表及主机信息"/>
      <sheetName val="主驾驶首页 (2)"/>
      <sheetName val="主驾驶座椅  "/>
      <sheetName val="靠背泡棉"/>
      <sheetName val="靠背骨架焊接总成"/>
      <sheetName val="坐垫泡沫"/>
      <sheetName val="座盆"/>
      <sheetName val="调角器总成"/>
      <sheetName val="护面"/>
      <sheetName val="参考X5000S靠背面套"/>
      <sheetName val="参考X5000S 坐垫面套"/>
      <sheetName val="底座模块化"/>
      <sheetName val="靠背骨架"/>
      <sheetName val="SHT0014987靠背骨架"/>
      <sheetName val="底支架 已删除"/>
    </sheetNames>
    <sheetDataSet>
      <sheetData sheetId="0" refreshError="1"/>
      <sheetData sheetId="1" refreshError="1"/>
      <sheetData sheetId="2" refreshError="1"/>
      <sheetData sheetId="3">
        <row r="12">
          <cell r="BI12">
            <v>1233.6742770364078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副驾驶员首页"/>
      <sheetName val="H5000S翻折副驾"/>
      <sheetName val="靠背泡沫总成"/>
      <sheetName val="2.0靠背骨架"/>
      <sheetName val="副驾座框"/>
      <sheetName val="副驾底座"/>
      <sheetName val="副驾调角器"/>
      <sheetName val="面套MBOM"/>
      <sheetName val="护面"/>
      <sheetName val="底座模块化总成"/>
      <sheetName val="主驾驶调角器总成"/>
      <sheetName val="驾驶员靠背焊接总成"/>
      <sheetName val="阻尼调节手柄总成"/>
      <sheetName val="升降速降开关气管总成"/>
      <sheetName val="驾驶员四孔腰托开关总成"/>
    </sheetNames>
    <sheetDataSet>
      <sheetData sheetId="0"/>
      <sheetData sheetId="1"/>
      <sheetData sheetId="2">
        <row r="57">
          <cell r="BA57">
            <v>489.3680198264226</v>
          </cell>
          <cell r="BB57">
            <v>35.200000000000003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D7" sqref="D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6</v>
      </c>
    </row>
    <row r="5" spans="1:4" s="140" customFormat="1" ht="33.75" customHeight="1">
      <c r="A5" s="143">
        <v>3</v>
      </c>
      <c r="B5" s="234" t="s">
        <v>7</v>
      </c>
      <c r="C5" s="145" t="s">
        <v>288</v>
      </c>
    </row>
    <row r="6" spans="1:4" s="140" customFormat="1" ht="33.75" customHeight="1">
      <c r="A6" s="143">
        <v>4</v>
      </c>
      <c r="B6" s="235"/>
      <c r="C6" s="144" t="s">
        <v>8</v>
      </c>
    </row>
    <row r="7" spans="1:4" s="140" customFormat="1" ht="33.75" customHeight="1">
      <c r="A7" s="143">
        <v>5</v>
      </c>
      <c r="B7" s="146" t="s">
        <v>9</v>
      </c>
      <c r="C7" s="144" t="s">
        <v>290</v>
      </c>
    </row>
    <row r="8" spans="1:4" s="140" customFormat="1" ht="33.75" customHeight="1">
      <c r="A8" s="143">
        <v>6</v>
      </c>
      <c r="B8" s="234" t="s">
        <v>10</v>
      </c>
      <c r="C8" s="144" t="s">
        <v>11</v>
      </c>
    </row>
    <row r="9" spans="1:4" s="140" customFormat="1" ht="33.75" customHeight="1">
      <c r="A9" s="143">
        <v>7</v>
      </c>
      <c r="B9" s="235"/>
      <c r="C9" s="144" t="s">
        <v>250</v>
      </c>
    </row>
    <row r="10" spans="1:4" s="140" customFormat="1" ht="33.75" customHeight="1">
      <c r="A10" s="143">
        <v>8</v>
      </c>
      <c r="B10" s="235"/>
      <c r="C10" s="145" t="s">
        <v>289</v>
      </c>
    </row>
    <row r="11" spans="1:4" s="140" customFormat="1" ht="33.75" customHeight="1">
      <c r="A11" s="143">
        <v>9</v>
      </c>
      <c r="B11" s="235"/>
      <c r="C11" s="144" t="s">
        <v>12</v>
      </c>
    </row>
    <row r="12" spans="1:4" s="140" customFormat="1" ht="33.75" customHeight="1">
      <c r="A12" s="143">
        <v>10</v>
      </c>
      <c r="B12" s="146" t="s">
        <v>13</v>
      </c>
      <c r="C12" s="144" t="s">
        <v>14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pane xSplit="2" ySplit="1" topLeftCell="C2" activePane="bottomRight" state="frozen"/>
      <selection pane="topRight"/>
      <selection pane="bottomLeft"/>
      <selection pane="bottomRight" activeCell="G3" sqref="G3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214" t="s">
        <v>15</v>
      </c>
      <c r="B1" s="214" t="s">
        <v>202</v>
      </c>
      <c r="C1" s="214" t="s">
        <v>203</v>
      </c>
      <c r="D1" s="214" t="s">
        <v>204</v>
      </c>
      <c r="E1" s="214" t="s">
        <v>205</v>
      </c>
    </row>
    <row r="2" spans="1:6" ht="27" customHeight="1">
      <c r="A2" s="214">
        <v>1</v>
      </c>
      <c r="B2" s="214" t="s">
        <v>206</v>
      </c>
      <c r="C2" s="215" t="s">
        <v>257</v>
      </c>
      <c r="D2" s="214"/>
      <c r="E2" s="214"/>
    </row>
    <row r="3" spans="1:6" ht="27" customHeight="1">
      <c r="A3" s="214">
        <v>2</v>
      </c>
      <c r="B3" s="214" t="s">
        <v>207</v>
      </c>
      <c r="C3" s="216" t="s">
        <v>258</v>
      </c>
      <c r="D3" s="214"/>
      <c r="E3" s="214"/>
    </row>
    <row r="4" spans="1:6" ht="27" customHeight="1">
      <c r="A4" s="214">
        <v>3</v>
      </c>
      <c r="B4" s="214" t="s">
        <v>208</v>
      </c>
      <c r="C4" s="215" t="s">
        <v>259</v>
      </c>
      <c r="D4" s="214"/>
      <c r="E4" s="214"/>
    </row>
    <row r="5" spans="1:6" ht="27" customHeight="1">
      <c r="A5" s="214">
        <v>4</v>
      </c>
      <c r="B5" s="214" t="s">
        <v>209</v>
      </c>
      <c r="C5" s="215"/>
      <c r="D5" s="214"/>
      <c r="E5" s="214"/>
    </row>
    <row r="6" spans="1:6" ht="27" customHeight="1">
      <c r="A6" s="214">
        <v>5</v>
      </c>
      <c r="B6" s="214" t="s">
        <v>210</v>
      </c>
      <c r="C6" s="215"/>
      <c r="D6" s="214"/>
      <c r="E6" s="214"/>
    </row>
    <row r="7" spans="1:6" ht="27" customHeight="1">
      <c r="A7" s="214">
        <v>6</v>
      </c>
      <c r="B7" s="214" t="s">
        <v>211</v>
      </c>
      <c r="C7" s="215" t="s">
        <v>260</v>
      </c>
      <c r="D7" s="214"/>
      <c r="E7" s="214"/>
    </row>
    <row r="8" spans="1:6" ht="27" customHeight="1">
      <c r="A8" s="214">
        <v>7</v>
      </c>
      <c r="B8" s="214" t="s">
        <v>212</v>
      </c>
      <c r="C8" s="215" t="s">
        <v>260</v>
      </c>
      <c r="D8" s="214"/>
      <c r="E8" s="214"/>
    </row>
    <row r="9" spans="1:6" ht="27" customHeight="1">
      <c r="A9" s="214">
        <v>8</v>
      </c>
      <c r="B9" s="214" t="s">
        <v>213</v>
      </c>
      <c r="C9" s="215" t="s">
        <v>260</v>
      </c>
      <c r="D9" s="214"/>
      <c r="E9" s="214"/>
    </row>
    <row r="10" spans="1:6" ht="27" customHeight="1">
      <c r="A10" s="214">
        <v>9</v>
      </c>
      <c r="B10" s="214" t="s">
        <v>214</v>
      </c>
      <c r="C10" s="215" t="s">
        <v>260</v>
      </c>
      <c r="D10" s="214"/>
      <c r="E10" s="214"/>
    </row>
    <row r="11" spans="1:6" ht="27" customHeight="1">
      <c r="A11" s="214">
        <v>10</v>
      </c>
      <c r="B11" s="214" t="s">
        <v>215</v>
      </c>
      <c r="C11" s="215"/>
      <c r="D11" s="214"/>
      <c r="E11" s="214"/>
      <c r="F11" s="164" t="s">
        <v>251</v>
      </c>
    </row>
    <row r="12" spans="1:6" ht="27" customHeight="1">
      <c r="A12" s="214">
        <v>11</v>
      </c>
      <c r="B12" s="214" t="s">
        <v>216</v>
      </c>
      <c r="C12" s="215"/>
      <c r="D12" s="214"/>
      <c r="E12" s="214"/>
    </row>
    <row r="13" spans="1:6" ht="27" customHeight="1">
      <c r="A13" s="214">
        <v>12</v>
      </c>
      <c r="B13" s="214" t="s">
        <v>252</v>
      </c>
      <c r="C13" s="217"/>
      <c r="D13" s="214"/>
      <c r="E13" s="214"/>
    </row>
    <row r="14" spans="1:6" ht="27" customHeight="1">
      <c r="A14" s="214">
        <v>13</v>
      </c>
      <c r="B14" s="214" t="s">
        <v>253</v>
      </c>
      <c r="C14" s="217" t="s">
        <v>261</v>
      </c>
      <c r="D14" s="214"/>
      <c r="E14" s="214" t="s">
        <v>254</v>
      </c>
    </row>
    <row r="15" spans="1:6" ht="27" customHeight="1">
      <c r="A15" s="214">
        <v>14</v>
      </c>
      <c r="B15" s="214" t="s">
        <v>255</v>
      </c>
      <c r="C15" s="217" t="s">
        <v>262</v>
      </c>
      <c r="D15" s="214"/>
      <c r="E15" s="214"/>
    </row>
  </sheetData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topLeftCell="A28" workbookViewId="0">
      <selection activeCell="F42" sqref="F42"/>
    </sheetView>
  </sheetViews>
  <sheetFormatPr defaultColWidth="9" defaultRowHeight="13.5"/>
  <cols>
    <col min="1" max="2" width="9" style="68"/>
    <col min="3" max="3" width="15.75" style="68" hidden="1" customWidth="1"/>
    <col min="4" max="5" width="15.75" style="68" customWidth="1"/>
    <col min="6" max="8" width="11.125" style="68" customWidth="1"/>
    <col min="9" max="9" width="12.875" style="151" customWidth="1"/>
    <col min="10" max="16384" width="9" style="68"/>
  </cols>
  <sheetData>
    <row r="1" spans="1:12" s="148" customFormat="1" ht="18.75" customHeight="1">
      <c r="G1" s="295" t="s">
        <v>217</v>
      </c>
      <c r="H1" s="295"/>
      <c r="I1" s="149"/>
    </row>
    <row r="2" spans="1:12" ht="39" customHeight="1">
      <c r="A2" s="301" t="s">
        <v>218</v>
      </c>
      <c r="B2" s="301"/>
      <c r="C2" s="297" t="s">
        <v>291</v>
      </c>
      <c r="D2" s="302"/>
      <c r="E2" s="302"/>
      <c r="F2" s="302"/>
      <c r="G2" s="302"/>
      <c r="H2" s="298"/>
      <c r="I2" s="150" t="s">
        <v>225</v>
      </c>
      <c r="K2" s="169"/>
      <c r="L2" s="169"/>
    </row>
    <row r="3" spans="1:12" ht="34.5" customHeight="1">
      <c r="A3" s="301"/>
      <c r="B3" s="301"/>
      <c r="C3" s="159" t="s">
        <v>227</v>
      </c>
      <c r="D3" s="159" t="s">
        <v>228</v>
      </c>
      <c r="E3" s="159" t="s">
        <v>227</v>
      </c>
      <c r="F3" s="160" t="s">
        <v>231</v>
      </c>
      <c r="G3" s="160" t="s">
        <v>230</v>
      </c>
      <c r="H3" s="160" t="s">
        <v>229</v>
      </c>
      <c r="I3" s="163">
        <f>销量!C8</f>
        <v>1550</v>
      </c>
    </row>
    <row r="4" spans="1:12" ht="24" customHeight="1">
      <c r="A4" s="296" t="s">
        <v>219</v>
      </c>
      <c r="B4" s="296"/>
      <c r="C4" s="3"/>
      <c r="D4" s="152"/>
      <c r="E4" s="153">
        <f>$I$3*F4</f>
        <v>43.4</v>
      </c>
      <c r="F4" s="179">
        <v>2.8000000000000001E-2</v>
      </c>
      <c r="G4" s="153"/>
      <c r="H4" s="154"/>
      <c r="J4" s="167"/>
      <c r="K4" s="69"/>
      <c r="L4" s="69"/>
    </row>
    <row r="5" spans="1:12" ht="24" customHeight="1">
      <c r="A5" s="296" t="s">
        <v>220</v>
      </c>
      <c r="B5" s="155" t="s">
        <v>221</v>
      </c>
      <c r="C5" s="3"/>
      <c r="D5" s="152"/>
      <c r="E5" s="153">
        <f t="shared" ref="E5:E6" si="0">$I$3*F5</f>
        <v>46.5</v>
      </c>
      <c r="F5" s="154">
        <v>0.03</v>
      </c>
      <c r="G5" s="154"/>
      <c r="H5" s="154"/>
      <c r="J5" s="168"/>
      <c r="K5" s="69"/>
      <c r="L5" s="69"/>
    </row>
    <row r="6" spans="1:12" ht="24" customHeight="1">
      <c r="A6" s="296"/>
      <c r="B6" s="155" t="s">
        <v>222</v>
      </c>
      <c r="C6" s="3"/>
      <c r="D6" s="152"/>
      <c r="E6" s="153">
        <f t="shared" si="0"/>
        <v>17.05</v>
      </c>
      <c r="F6" s="179">
        <v>1.0999999999999999E-2</v>
      </c>
      <c r="G6" s="153"/>
      <c r="H6" s="154"/>
      <c r="J6" s="167"/>
      <c r="K6" s="69"/>
      <c r="L6" s="69"/>
    </row>
    <row r="7" spans="1:12" ht="24" customHeight="1">
      <c r="A7" s="297" t="s">
        <v>223</v>
      </c>
      <c r="B7" s="298"/>
      <c r="C7" s="156"/>
      <c r="D7" s="157"/>
      <c r="E7" s="153">
        <f>$I$3*F7</f>
        <v>106.94999999999999</v>
      </c>
      <c r="F7" s="178">
        <f>SUM(F4:F6)</f>
        <v>6.8999999999999992E-2</v>
      </c>
      <c r="G7" s="153"/>
      <c r="H7" s="158"/>
      <c r="I7" s="151">
        <f>SUM(I4:I6)</f>
        <v>0</v>
      </c>
      <c r="J7" s="167"/>
      <c r="K7" s="69"/>
      <c r="L7" s="69"/>
    </row>
    <row r="8" spans="1:12" ht="24" customHeight="1">
      <c r="A8" s="296" t="s">
        <v>47</v>
      </c>
      <c r="B8" s="296"/>
      <c r="C8" s="3"/>
      <c r="D8" s="152"/>
      <c r="E8" s="153">
        <f>$I$3*F8</f>
        <v>85.25</v>
      </c>
      <c r="F8" s="180">
        <v>5.5E-2</v>
      </c>
      <c r="G8" s="153"/>
      <c r="H8" s="154"/>
      <c r="I8" s="151">
        <v>5.5E-2</v>
      </c>
      <c r="J8" s="168"/>
      <c r="K8" s="69"/>
      <c r="L8" s="69"/>
    </row>
    <row r="9" spans="1:12" ht="24" customHeight="1">
      <c r="A9" s="299" t="s">
        <v>224</v>
      </c>
      <c r="B9" s="155" t="s">
        <v>221</v>
      </c>
      <c r="C9" s="3"/>
      <c r="D9" s="152"/>
      <c r="E9" s="153">
        <f>$I$3*F9</f>
        <v>12.4</v>
      </c>
      <c r="F9" s="154">
        <v>8.0000000000000002E-3</v>
      </c>
      <c r="G9" s="153"/>
      <c r="H9" s="154"/>
      <c r="I9" s="151">
        <v>8.0000000000000002E-3</v>
      </c>
      <c r="J9" s="151"/>
      <c r="K9" s="69"/>
      <c r="L9" s="69"/>
    </row>
    <row r="10" spans="1:12" ht="24" customHeight="1">
      <c r="A10" s="300"/>
      <c r="B10" s="155" t="s">
        <v>222</v>
      </c>
      <c r="C10" s="3"/>
      <c r="D10" s="152"/>
      <c r="E10" s="153">
        <f>$I$3*F10</f>
        <v>62</v>
      </c>
      <c r="F10" s="151">
        <v>0.04</v>
      </c>
      <c r="G10" s="153"/>
      <c r="H10" s="154"/>
      <c r="I10" s="151">
        <v>0.109</v>
      </c>
      <c r="J10" s="151"/>
      <c r="K10" s="69"/>
      <c r="L10" s="69"/>
    </row>
    <row r="11" spans="1:12" ht="24" customHeight="1">
      <c r="A11" s="296" t="s">
        <v>50</v>
      </c>
      <c r="B11" s="296"/>
      <c r="C11" s="3"/>
      <c r="D11" s="152"/>
      <c r="E11" s="153">
        <f t="shared" ref="E11" si="1">$I$3*F11</f>
        <v>33.015000000000001</v>
      </c>
      <c r="F11" s="154">
        <v>2.1299999999999999E-2</v>
      </c>
      <c r="G11" s="153"/>
      <c r="H11" s="154"/>
      <c r="J11" s="151"/>
      <c r="K11" s="69"/>
      <c r="L11" s="69"/>
    </row>
    <row r="15" spans="1:12">
      <c r="A15" s="148"/>
      <c r="B15" s="148"/>
      <c r="C15" s="148"/>
      <c r="D15" s="148"/>
      <c r="E15" s="148"/>
      <c r="F15" s="148"/>
      <c r="G15" s="295" t="s">
        <v>217</v>
      </c>
      <c r="H15" s="295"/>
      <c r="I15" s="149"/>
    </row>
    <row r="16" spans="1:12">
      <c r="A16" s="301" t="s">
        <v>218</v>
      </c>
      <c r="B16" s="301"/>
      <c r="C16" s="297" t="s">
        <v>291</v>
      </c>
      <c r="D16" s="302"/>
      <c r="E16" s="302"/>
      <c r="F16" s="302"/>
      <c r="G16" s="302"/>
      <c r="H16" s="298"/>
      <c r="I16" s="150" t="s">
        <v>225</v>
      </c>
    </row>
    <row r="17" spans="1:9" ht="27">
      <c r="A17" s="301"/>
      <c r="B17" s="301"/>
      <c r="C17" s="159" t="s">
        <v>227</v>
      </c>
      <c r="D17" s="159" t="s">
        <v>228</v>
      </c>
      <c r="E17" s="159" t="s">
        <v>226</v>
      </c>
      <c r="F17" s="160" t="s">
        <v>231</v>
      </c>
      <c r="G17" s="160" t="s">
        <v>230</v>
      </c>
      <c r="H17" s="160" t="s">
        <v>229</v>
      </c>
      <c r="I17" s="163">
        <f>销量!D8</f>
        <v>680</v>
      </c>
    </row>
    <row r="18" spans="1:9">
      <c r="A18" s="296" t="s">
        <v>219</v>
      </c>
      <c r="B18" s="296"/>
      <c r="C18" s="3"/>
      <c r="D18" s="152"/>
      <c r="E18" s="153">
        <f>$I$17*F18</f>
        <v>19.04</v>
      </c>
      <c r="F18" s="179">
        <v>2.8000000000000001E-2</v>
      </c>
      <c r="G18" s="153"/>
      <c r="H18" s="154"/>
    </row>
    <row r="19" spans="1:9">
      <c r="A19" s="296" t="s">
        <v>220</v>
      </c>
      <c r="B19" s="175" t="s">
        <v>221</v>
      </c>
      <c r="C19" s="3"/>
      <c r="D19" s="152"/>
      <c r="E19" s="153">
        <f t="shared" ref="E19:E25" si="2">$I$17*F19</f>
        <v>20.399999999999999</v>
      </c>
      <c r="F19" s="154">
        <v>0.03</v>
      </c>
      <c r="G19" s="154"/>
      <c r="H19" s="154"/>
    </row>
    <row r="20" spans="1:9">
      <c r="A20" s="296"/>
      <c r="B20" s="175" t="s">
        <v>222</v>
      </c>
      <c r="C20" s="3"/>
      <c r="D20" s="152"/>
      <c r="E20" s="153">
        <f t="shared" si="2"/>
        <v>7.4799999999999995</v>
      </c>
      <c r="F20" s="179">
        <v>1.0999999999999999E-2</v>
      </c>
      <c r="G20" s="153"/>
      <c r="H20" s="154"/>
    </row>
    <row r="21" spans="1:9">
      <c r="A21" s="297" t="s">
        <v>223</v>
      </c>
      <c r="B21" s="298"/>
      <c r="C21" s="156"/>
      <c r="D21" s="157"/>
      <c r="E21" s="153">
        <f t="shared" si="2"/>
        <v>46.919999999999995</v>
      </c>
      <c r="F21" s="178">
        <f>SUM(F18:F20)</f>
        <v>6.8999999999999992E-2</v>
      </c>
      <c r="G21" s="153"/>
      <c r="H21" s="158"/>
      <c r="I21" s="151">
        <f>SUM(I18:I20)</f>
        <v>0</v>
      </c>
    </row>
    <row r="22" spans="1:9">
      <c r="A22" s="296" t="s">
        <v>47</v>
      </c>
      <c r="B22" s="296"/>
      <c r="C22" s="3"/>
      <c r="D22" s="152"/>
      <c r="E22" s="153">
        <f t="shared" si="2"/>
        <v>37.4</v>
      </c>
      <c r="F22" s="180">
        <v>5.5E-2</v>
      </c>
      <c r="G22" s="153"/>
      <c r="H22" s="154"/>
      <c r="I22" s="151">
        <v>5.5E-2</v>
      </c>
    </row>
    <row r="23" spans="1:9">
      <c r="A23" s="299" t="s">
        <v>224</v>
      </c>
      <c r="B23" s="175" t="s">
        <v>221</v>
      </c>
      <c r="C23" s="3"/>
      <c r="D23" s="152"/>
      <c r="E23" s="153">
        <f t="shared" si="2"/>
        <v>5.44</v>
      </c>
      <c r="F23" s="154">
        <v>8.0000000000000002E-3</v>
      </c>
      <c r="G23" s="153"/>
      <c r="H23" s="154"/>
      <c r="I23" s="151">
        <v>8.0000000000000002E-3</v>
      </c>
    </row>
    <row r="24" spans="1:9">
      <c r="A24" s="300"/>
      <c r="B24" s="175" t="s">
        <v>222</v>
      </c>
      <c r="C24" s="3"/>
      <c r="D24" s="152"/>
      <c r="E24" s="153">
        <f t="shared" si="2"/>
        <v>27.2</v>
      </c>
      <c r="F24" s="151">
        <v>0.04</v>
      </c>
      <c r="G24" s="153"/>
      <c r="H24" s="154"/>
      <c r="I24" s="151">
        <v>0.109</v>
      </c>
    </row>
    <row r="25" spans="1:9">
      <c r="A25" s="296" t="s">
        <v>50</v>
      </c>
      <c r="B25" s="296"/>
      <c r="C25" s="3"/>
      <c r="D25" s="152"/>
      <c r="E25" s="153">
        <f t="shared" si="2"/>
        <v>14.484</v>
      </c>
      <c r="F25" s="154">
        <v>2.1299999999999999E-2</v>
      </c>
      <c r="G25" s="153"/>
      <c r="H25" s="154"/>
    </row>
    <row r="29" spans="1:9">
      <c r="A29" s="148"/>
      <c r="B29" s="148"/>
      <c r="C29" s="148"/>
      <c r="D29" s="148"/>
      <c r="E29" s="148"/>
      <c r="F29" s="148"/>
      <c r="G29" s="295" t="s">
        <v>217</v>
      </c>
      <c r="H29" s="295"/>
      <c r="I29" s="149"/>
    </row>
    <row r="30" spans="1:9" ht="29.25" customHeight="1">
      <c r="A30" s="301" t="s">
        <v>218</v>
      </c>
      <c r="B30" s="301"/>
      <c r="C30" s="297" t="s">
        <v>291</v>
      </c>
      <c r="D30" s="302"/>
      <c r="E30" s="302"/>
      <c r="F30" s="302"/>
      <c r="G30" s="302"/>
      <c r="H30" s="298"/>
      <c r="I30" s="150" t="s">
        <v>225</v>
      </c>
    </row>
    <row r="31" spans="1:9" ht="27">
      <c r="A31" s="301"/>
      <c r="B31" s="301"/>
      <c r="C31" s="159" t="s">
        <v>227</v>
      </c>
      <c r="D31" s="159" t="s">
        <v>228</v>
      </c>
      <c r="E31" s="159" t="s">
        <v>226</v>
      </c>
      <c r="F31" s="160" t="s">
        <v>231</v>
      </c>
      <c r="G31" s="160" t="s">
        <v>230</v>
      </c>
      <c r="H31" s="160" t="s">
        <v>229</v>
      </c>
      <c r="I31" s="163">
        <f>销量!E8</f>
        <v>40</v>
      </c>
    </row>
    <row r="32" spans="1:9">
      <c r="A32" s="296" t="s">
        <v>219</v>
      </c>
      <c r="B32" s="296"/>
      <c r="C32" s="3"/>
      <c r="D32" s="152"/>
      <c r="E32" s="153">
        <f>$I$31*F32</f>
        <v>1.1200000000000001</v>
      </c>
      <c r="F32" s="179">
        <v>2.8000000000000001E-2</v>
      </c>
      <c r="G32" s="153"/>
      <c r="H32" s="154"/>
    </row>
    <row r="33" spans="1:9">
      <c r="A33" s="296" t="s">
        <v>220</v>
      </c>
      <c r="B33" s="175" t="s">
        <v>221</v>
      </c>
      <c r="C33" s="3"/>
      <c r="D33" s="152"/>
      <c r="E33" s="153">
        <f t="shared" ref="E33:E39" si="3">$I$31*F33</f>
        <v>1.2</v>
      </c>
      <c r="F33" s="154">
        <v>0.03</v>
      </c>
      <c r="G33" s="154"/>
      <c r="H33" s="154"/>
    </row>
    <row r="34" spans="1:9">
      <c r="A34" s="296"/>
      <c r="B34" s="175" t="s">
        <v>222</v>
      </c>
      <c r="C34" s="3"/>
      <c r="D34" s="152"/>
      <c r="E34" s="153">
        <f t="shared" si="3"/>
        <v>0.43999999999999995</v>
      </c>
      <c r="F34" s="179">
        <v>1.0999999999999999E-2</v>
      </c>
      <c r="G34" s="153"/>
      <c r="H34" s="154"/>
    </row>
    <row r="35" spans="1:9">
      <c r="A35" s="297" t="s">
        <v>223</v>
      </c>
      <c r="B35" s="298"/>
      <c r="C35" s="156"/>
      <c r="D35" s="157"/>
      <c r="E35" s="153">
        <f t="shared" si="3"/>
        <v>2.76</v>
      </c>
      <c r="F35" s="178">
        <f>SUM(F32:F34)</f>
        <v>6.8999999999999992E-2</v>
      </c>
      <c r="G35" s="153"/>
      <c r="H35" s="158"/>
      <c r="I35" s="151">
        <f>SUM(I32:I34)</f>
        <v>0</v>
      </c>
    </row>
    <row r="36" spans="1:9">
      <c r="A36" s="296" t="s">
        <v>47</v>
      </c>
      <c r="B36" s="296"/>
      <c r="C36" s="3"/>
      <c r="D36" s="152"/>
      <c r="E36" s="153">
        <f t="shared" si="3"/>
        <v>2.2000000000000002</v>
      </c>
      <c r="F36" s="180">
        <v>5.5E-2</v>
      </c>
      <c r="G36" s="153"/>
      <c r="H36" s="154"/>
      <c r="I36" s="151">
        <v>5.5E-2</v>
      </c>
    </row>
    <row r="37" spans="1:9">
      <c r="A37" s="299" t="s">
        <v>224</v>
      </c>
      <c r="B37" s="175" t="s">
        <v>221</v>
      </c>
      <c r="C37" s="3"/>
      <c r="D37" s="152"/>
      <c r="E37" s="153">
        <f t="shared" si="3"/>
        <v>0.32</v>
      </c>
      <c r="F37" s="154">
        <v>8.0000000000000002E-3</v>
      </c>
      <c r="G37" s="153"/>
      <c r="H37" s="154"/>
      <c r="I37" s="151">
        <v>8.0000000000000002E-3</v>
      </c>
    </row>
    <row r="38" spans="1:9">
      <c r="A38" s="300"/>
      <c r="B38" s="175" t="s">
        <v>222</v>
      </c>
      <c r="C38" s="3"/>
      <c r="D38" s="152"/>
      <c r="E38" s="153">
        <f t="shared" si="3"/>
        <v>1.6</v>
      </c>
      <c r="F38" s="151">
        <v>0.04</v>
      </c>
      <c r="G38" s="153"/>
      <c r="H38" s="154"/>
      <c r="I38" s="151">
        <v>0.109</v>
      </c>
    </row>
    <row r="39" spans="1:9">
      <c r="A39" s="296" t="s">
        <v>50</v>
      </c>
      <c r="B39" s="296"/>
      <c r="C39" s="3"/>
      <c r="D39" s="152"/>
      <c r="E39" s="153">
        <f t="shared" si="3"/>
        <v>0.85199999999999998</v>
      </c>
      <c r="F39" s="154">
        <v>2.1299999999999999E-2</v>
      </c>
      <c r="G39" s="153"/>
      <c r="H39" s="154"/>
    </row>
  </sheetData>
  <mergeCells count="27">
    <mergeCell ref="A36:B36"/>
    <mergeCell ref="A37:A38"/>
    <mergeCell ref="A39:B39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7"/>
  <sheetViews>
    <sheetView workbookViewId="0">
      <selection activeCell="K2" sqref="K2"/>
    </sheetView>
  </sheetViews>
  <sheetFormatPr defaultRowHeight="13.5"/>
  <cols>
    <col min="2" max="2" width="19.375" bestFit="1" customWidth="1"/>
    <col min="3" max="3" width="11.875" customWidth="1"/>
    <col min="4" max="4" width="13.375" customWidth="1"/>
    <col min="5" max="5" width="15.125" bestFit="1" customWidth="1"/>
    <col min="6" max="6" width="9.5" bestFit="1" customWidth="1"/>
    <col min="7" max="7" width="12.375" customWidth="1"/>
  </cols>
  <sheetData>
    <row r="2" spans="2:8" ht="28.5" customHeight="1">
      <c r="B2" s="303" t="s">
        <v>281</v>
      </c>
      <c r="C2" s="303"/>
      <c r="D2" s="303"/>
      <c r="E2" s="303"/>
      <c r="F2" s="303"/>
      <c r="G2" s="303"/>
      <c r="H2" s="303"/>
    </row>
    <row r="3" spans="2:8" ht="24.75" customHeight="1">
      <c r="B3" s="230" t="s">
        <v>246</v>
      </c>
      <c r="C3" s="230" t="s">
        <v>282</v>
      </c>
      <c r="D3" s="230" t="s">
        <v>283</v>
      </c>
      <c r="E3" s="230" t="s">
        <v>284</v>
      </c>
      <c r="F3" s="230" t="s">
        <v>285</v>
      </c>
      <c r="G3" s="230" t="s">
        <v>286</v>
      </c>
      <c r="H3" s="230" t="s">
        <v>287</v>
      </c>
    </row>
    <row r="4" spans="2:8" ht="49.5">
      <c r="B4" s="189" t="str">
        <f>销量!C6</f>
        <v>DZ16231510230</v>
      </c>
      <c r="C4" s="190" t="str">
        <f>销量!C5</f>
        <v>H5000S经济型空气主座椅</v>
      </c>
      <c r="D4" s="31">
        <f>材料成本!D33</f>
        <v>1233.6742770364078</v>
      </c>
      <c r="E4" s="231">
        <f>销量!C8</f>
        <v>1550</v>
      </c>
      <c r="F4" s="31">
        <f>E4-D4</f>
        <v>316.32572296359217</v>
      </c>
      <c r="G4" s="191">
        <f>F4/E4</f>
        <v>0.2040811115894143</v>
      </c>
      <c r="H4" s="1"/>
    </row>
    <row r="5" spans="2:8" ht="22.5" customHeight="1">
      <c r="B5" s="189" t="str">
        <f>销量!D6</f>
        <v>暂无</v>
      </c>
      <c r="C5" s="190" t="str">
        <f>销量!D5</f>
        <v>副座椅</v>
      </c>
      <c r="D5" s="31">
        <f>材料成本!E33</f>
        <v>489.3680198264226</v>
      </c>
      <c r="E5" s="231">
        <f>销量!D8</f>
        <v>680</v>
      </c>
      <c r="F5" s="192">
        <f>E5-D5</f>
        <v>190.6319801735774</v>
      </c>
      <c r="G5" s="191">
        <f>F5/E5</f>
        <v>0.28034114731408444</v>
      </c>
      <c r="H5" s="1"/>
    </row>
    <row r="6" spans="2:8" ht="25.5" customHeight="1">
      <c r="B6" s="1" t="str">
        <f>销量!E6</f>
        <v>暂无</v>
      </c>
      <c r="C6" s="233" t="str">
        <f>销量!E5</f>
        <v>底支架</v>
      </c>
      <c r="D6" s="232">
        <f>材料成本!F33</f>
        <v>35.200000000000003</v>
      </c>
      <c r="E6" s="232">
        <f>销量!E8</f>
        <v>40</v>
      </c>
      <c r="F6" s="192">
        <f>E6-D6</f>
        <v>4.7999999999999972</v>
      </c>
      <c r="G6" s="191">
        <f>F6/E6</f>
        <v>0.11999999999999993</v>
      </c>
      <c r="H6" s="184"/>
    </row>
    <row r="7" spans="2:8" ht="25.5" customHeight="1">
      <c r="B7" s="184" t="s">
        <v>267</v>
      </c>
      <c r="C7" s="2"/>
      <c r="D7" s="232">
        <f>SUM(D4:D6)</f>
        <v>1758.2422968628305</v>
      </c>
      <c r="E7" s="232">
        <f>SUM(E4:E6)</f>
        <v>2270</v>
      </c>
      <c r="F7" s="192">
        <f>E7-D7</f>
        <v>511.75770313716953</v>
      </c>
      <c r="G7" s="191">
        <f t="shared" ref="G7" si="0">F7/E7</f>
        <v>0.22544392208685882</v>
      </c>
      <c r="H7" s="2"/>
    </row>
  </sheetData>
  <mergeCells count="1">
    <mergeCell ref="B2:H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workbookViewId="0">
      <pane xSplit="2" ySplit="6" topLeftCell="C16" activePane="bottomRight" state="frozen"/>
      <selection pane="topRight"/>
      <selection pane="bottomLeft"/>
      <selection pane="bottomRight" activeCell="H6" sqref="H6"/>
    </sheetView>
  </sheetViews>
  <sheetFormatPr defaultColWidth="9" defaultRowHeight="16.5"/>
  <cols>
    <col min="1" max="1" width="5.125" style="111" customWidth="1"/>
    <col min="2" max="2" width="35.75" style="111" customWidth="1"/>
    <col min="3" max="5" width="13" style="112" customWidth="1"/>
    <col min="6" max="6" width="16.5" style="112" customWidth="1"/>
    <col min="7" max="7" width="15.5" style="111" customWidth="1"/>
    <col min="8" max="33" width="9" style="111"/>
    <col min="34" max="34" width="4.375" style="111" customWidth="1"/>
    <col min="35" max="35" width="13.875" style="111" customWidth="1"/>
    <col min="36" max="16384" width="9" style="111"/>
  </cols>
  <sheetData>
    <row r="1" spans="1:36" ht="27" customHeight="1">
      <c r="A1" s="236" t="s">
        <v>270</v>
      </c>
      <c r="B1" s="236"/>
      <c r="C1" s="236"/>
      <c r="D1" s="236"/>
      <c r="E1" s="236"/>
      <c r="F1" s="236"/>
    </row>
    <row r="2" spans="1:36" ht="15.75" customHeight="1">
      <c r="A2" s="237" t="s">
        <v>15</v>
      </c>
      <c r="B2" s="113" t="s">
        <v>1</v>
      </c>
      <c r="C2" s="113" t="s">
        <v>235</v>
      </c>
      <c r="D2" s="113" t="s">
        <v>236</v>
      </c>
      <c r="E2" s="113" t="s">
        <v>237</v>
      </c>
      <c r="F2" s="52" t="s">
        <v>17</v>
      </c>
      <c r="AJ2" s="111" t="s">
        <v>18</v>
      </c>
    </row>
    <row r="3" spans="1:36" s="49" customFormat="1" ht="15.75" customHeight="1">
      <c r="A3" s="238"/>
      <c r="B3" s="54" t="s">
        <v>3</v>
      </c>
      <c r="C3" s="114">
        <f>'2023年'!F6</f>
        <v>9000</v>
      </c>
      <c r="D3" s="114">
        <f>'2024年'!F6</f>
        <v>15000</v>
      </c>
      <c r="E3" s="114">
        <f>'2025年'!F6</f>
        <v>15000</v>
      </c>
      <c r="F3" s="114">
        <f t="shared" ref="F3:F11" si="0">SUM(C3:E3)</f>
        <v>39000</v>
      </c>
      <c r="G3" s="70"/>
      <c r="AH3" s="53" t="s">
        <v>15</v>
      </c>
      <c r="AI3" s="54" t="s">
        <v>3</v>
      </c>
      <c r="AJ3" s="49" t="s">
        <v>19</v>
      </c>
    </row>
    <row r="4" spans="1:36" s="49" customFormat="1" ht="15.75" customHeight="1">
      <c r="A4" s="63">
        <v>1</v>
      </c>
      <c r="B4" s="54" t="s">
        <v>20</v>
      </c>
      <c r="C4" s="114">
        <f>'2023年'!F7</f>
        <v>6810000</v>
      </c>
      <c r="D4" s="114">
        <f>'2024年'!F7</f>
        <v>11350000</v>
      </c>
      <c r="E4" s="114">
        <f>'2025年'!F7</f>
        <v>11350000</v>
      </c>
      <c r="F4" s="114">
        <f t="shared" si="0"/>
        <v>29510000</v>
      </c>
      <c r="G4" s="70"/>
      <c r="AH4" s="53" t="s">
        <v>21</v>
      </c>
      <c r="AI4" s="54" t="s">
        <v>20</v>
      </c>
      <c r="AJ4" s="49" t="s">
        <v>19</v>
      </c>
    </row>
    <row r="5" spans="1:36" s="49" customFormat="1" ht="15.75" customHeight="1">
      <c r="A5" s="63">
        <v>2</v>
      </c>
      <c r="B5" s="51" t="s">
        <v>22</v>
      </c>
      <c r="C5" s="114">
        <f>'2023年'!F8</f>
        <v>0</v>
      </c>
      <c r="D5" s="114">
        <f>'2024年'!F8</f>
        <v>454000.00000000041</v>
      </c>
      <c r="E5" s="114">
        <f>'2025年'!F8</f>
        <v>889840.00000000023</v>
      </c>
      <c r="F5" s="114">
        <f t="shared" si="0"/>
        <v>1343840.0000000007</v>
      </c>
      <c r="G5" s="70"/>
      <c r="AH5" s="53" t="s">
        <v>23</v>
      </c>
      <c r="AI5" s="51" t="s">
        <v>24</v>
      </c>
      <c r="AJ5" s="49" t="s">
        <v>19</v>
      </c>
    </row>
    <row r="6" spans="1:36" s="49" customFormat="1" ht="15.75" customHeight="1">
      <c r="A6" s="63">
        <v>3</v>
      </c>
      <c r="B6" s="54" t="s">
        <v>25</v>
      </c>
      <c r="C6" s="115">
        <f>'2023年'!F9</f>
        <v>6810000</v>
      </c>
      <c r="D6" s="115">
        <f>'2024年'!F9</f>
        <v>10896000</v>
      </c>
      <c r="E6" s="115">
        <f>'2025年'!F9</f>
        <v>10460160</v>
      </c>
      <c r="F6" s="114">
        <f t="shared" si="0"/>
        <v>28166160</v>
      </c>
      <c r="G6" s="70"/>
      <c r="AH6" s="53" t="s">
        <v>26</v>
      </c>
      <c r="AI6" s="54" t="s">
        <v>25</v>
      </c>
      <c r="AJ6" s="49" t="s">
        <v>27</v>
      </c>
    </row>
    <row r="7" spans="1:36" s="49" customFormat="1" ht="15.75" customHeight="1">
      <c r="A7" s="63">
        <v>4</v>
      </c>
      <c r="B7" s="53" t="s">
        <v>28</v>
      </c>
      <c r="C7" s="114">
        <f>'2023年'!F10</f>
        <v>5274726.8905884912</v>
      </c>
      <c r="D7" s="114">
        <f>'2024年'!F10</f>
        <v>8439563.024941586</v>
      </c>
      <c r="E7" s="114">
        <f>'2025年'!F10</f>
        <v>8101980.503943922</v>
      </c>
      <c r="F7" s="114">
        <f t="shared" si="0"/>
        <v>21816270.419473998</v>
      </c>
      <c r="G7" s="70"/>
      <c r="AH7" s="53" t="s">
        <v>29</v>
      </c>
      <c r="AI7" s="53" t="s">
        <v>28</v>
      </c>
      <c r="AJ7" s="49" t="s">
        <v>30</v>
      </c>
    </row>
    <row r="8" spans="1:36" s="49" customFormat="1" ht="15.75" customHeight="1">
      <c r="A8" s="63">
        <v>5</v>
      </c>
      <c r="B8" s="53" t="s">
        <v>31</v>
      </c>
      <c r="C8" s="114">
        <f>'2023年'!F11</f>
        <v>190680</v>
      </c>
      <c r="D8" s="114">
        <f>'2024年'!F11</f>
        <v>317800</v>
      </c>
      <c r="E8" s="114">
        <f>'2025年'!F11</f>
        <v>317800</v>
      </c>
      <c r="F8" s="114">
        <f t="shared" si="0"/>
        <v>826280</v>
      </c>
      <c r="G8" s="70"/>
      <c r="AH8" s="53" t="s">
        <v>32</v>
      </c>
      <c r="AI8" s="53" t="s">
        <v>31</v>
      </c>
    </row>
    <row r="9" spans="1:36" s="49" customFormat="1" ht="15.75" customHeight="1">
      <c r="A9" s="63">
        <v>6</v>
      </c>
      <c r="B9" s="53" t="s">
        <v>33</v>
      </c>
      <c r="C9" s="114">
        <f>'2023年'!F12</f>
        <v>74910</v>
      </c>
      <c r="D9" s="114">
        <f>'2024年'!F12</f>
        <v>124850</v>
      </c>
      <c r="E9" s="114">
        <f>'2025年'!F12</f>
        <v>124850</v>
      </c>
      <c r="F9" s="114">
        <f t="shared" si="0"/>
        <v>324610</v>
      </c>
      <c r="G9" s="70"/>
      <c r="AH9" s="53" t="s">
        <v>34</v>
      </c>
      <c r="AI9" s="53" t="s">
        <v>33</v>
      </c>
    </row>
    <row r="10" spans="1:36" s="49" customFormat="1" ht="15.75" customHeight="1">
      <c r="A10" s="63">
        <v>7</v>
      </c>
      <c r="B10" s="116" t="s">
        <v>35</v>
      </c>
      <c r="C10" s="114">
        <f>'2023年'!F13</f>
        <v>272400</v>
      </c>
      <c r="D10" s="114">
        <f>'2024年'!F13</f>
        <v>454000</v>
      </c>
      <c r="E10" s="114">
        <f>'2025年'!F13</f>
        <v>454000</v>
      </c>
      <c r="F10" s="114">
        <f t="shared" si="0"/>
        <v>1180400</v>
      </c>
      <c r="G10" s="70"/>
      <c r="AH10" s="53" t="s">
        <v>36</v>
      </c>
      <c r="AI10" s="53" t="s">
        <v>35</v>
      </c>
      <c r="AJ10" s="49" t="s">
        <v>19</v>
      </c>
    </row>
    <row r="11" spans="1:36" s="49" customFormat="1" ht="15.75" customHeight="1">
      <c r="A11" s="63">
        <v>8</v>
      </c>
      <c r="B11" s="117" t="s">
        <v>37</v>
      </c>
      <c r="C11" s="118">
        <f>'2023年'!F14</f>
        <v>537990</v>
      </c>
      <c r="D11" s="118">
        <f>'2024年'!F14</f>
        <v>896650</v>
      </c>
      <c r="E11" s="118">
        <f>'2025年'!F14</f>
        <v>896650</v>
      </c>
      <c r="F11" s="118">
        <f t="shared" si="0"/>
        <v>2331290</v>
      </c>
      <c r="G11" s="70"/>
      <c r="AH11" s="53" t="s">
        <v>38</v>
      </c>
      <c r="AI11" s="56" t="s">
        <v>37</v>
      </c>
    </row>
    <row r="12" spans="1:36" s="49" customFormat="1" ht="15.75" customHeight="1">
      <c r="A12" s="63">
        <v>9</v>
      </c>
      <c r="B12" s="119" t="s">
        <v>39</v>
      </c>
      <c r="C12" s="114">
        <f>'2023年'!F15</f>
        <v>997283.10941150878</v>
      </c>
      <c r="D12" s="114">
        <f>'2024年'!F15</f>
        <v>1559786.9750584145</v>
      </c>
      <c r="E12" s="114">
        <f>'2025年'!F15</f>
        <v>1461529.496056078</v>
      </c>
      <c r="F12" s="114">
        <f>F6-F7-F11</f>
        <v>4018599.5805260018</v>
      </c>
      <c r="G12" s="70"/>
      <c r="I12" s="111"/>
      <c r="J12" s="111"/>
      <c r="K12" s="111"/>
      <c r="L12" s="111"/>
      <c r="M12" s="111"/>
      <c r="N12" s="111"/>
      <c r="AH12" s="53" t="s">
        <v>40</v>
      </c>
      <c r="AI12" s="56" t="s">
        <v>39</v>
      </c>
    </row>
    <row r="13" spans="1:36" ht="15.75" customHeight="1">
      <c r="A13" s="63">
        <v>10</v>
      </c>
      <c r="B13" s="120" t="s">
        <v>41</v>
      </c>
      <c r="C13" s="121">
        <f>'2023年'!F16</f>
        <v>0.14644392208685886</v>
      </c>
      <c r="D13" s="121">
        <f>'2024年'!F16</f>
        <v>0.14315225542019222</v>
      </c>
      <c r="E13" s="121">
        <f>'2025年'!F16</f>
        <v>0.1397234359757478</v>
      </c>
      <c r="F13" s="121">
        <f>+F12/F6</f>
        <v>0.14267474091342242</v>
      </c>
      <c r="G13" s="70"/>
      <c r="AH13" s="120" t="s">
        <v>42</v>
      </c>
      <c r="AI13" s="120" t="s">
        <v>41</v>
      </c>
    </row>
    <row r="14" spans="1:36" ht="15.75" customHeight="1">
      <c r="A14" s="63">
        <v>11</v>
      </c>
      <c r="B14" s="120" t="s">
        <v>43</v>
      </c>
      <c r="C14" s="114">
        <f>'2023年'!F17</f>
        <v>301200</v>
      </c>
      <c r="D14" s="114">
        <f>'2024年'!F17</f>
        <v>437400</v>
      </c>
      <c r="E14" s="114">
        <f>'2025年'!F17</f>
        <v>437400</v>
      </c>
      <c r="F14" s="114">
        <f>SUM(C14:E14)</f>
        <v>1176000</v>
      </c>
      <c r="G14" s="70"/>
      <c r="AH14" s="120" t="s">
        <v>44</v>
      </c>
      <c r="AI14" s="120" t="s">
        <v>43</v>
      </c>
    </row>
    <row r="15" spans="1:36" ht="15.75" hidden="1" customHeight="1">
      <c r="A15" s="161"/>
      <c r="B15" s="120"/>
      <c r="C15" s="114"/>
      <c r="D15" s="114"/>
      <c r="E15" s="114"/>
      <c r="F15" s="114"/>
      <c r="G15" s="70"/>
      <c r="AH15" s="120"/>
      <c r="AI15" s="120"/>
    </row>
    <row r="16" spans="1:36" ht="15.75" customHeight="1">
      <c r="A16" s="63">
        <v>12</v>
      </c>
      <c r="B16" s="120" t="s">
        <v>45</v>
      </c>
      <c r="C16" s="122">
        <f>'2023年'!F19</f>
        <v>54480</v>
      </c>
      <c r="D16" s="122">
        <f>'2024年'!F19</f>
        <v>90800</v>
      </c>
      <c r="E16" s="122">
        <f>'2025年'!F19</f>
        <v>90800</v>
      </c>
      <c r="F16" s="114">
        <f>SUM(C16:E16)</f>
        <v>236080</v>
      </c>
      <c r="G16" s="70"/>
      <c r="O16" s="70"/>
      <c r="AH16" s="120" t="s">
        <v>46</v>
      </c>
      <c r="AI16" s="120" t="s">
        <v>45</v>
      </c>
      <c r="AJ16" s="111" t="s">
        <v>19</v>
      </c>
    </row>
    <row r="17" spans="1:36" ht="15.75" customHeight="1">
      <c r="A17" s="63">
        <v>13</v>
      </c>
      <c r="B17" s="120" t="s">
        <v>47</v>
      </c>
      <c r="C17" s="122">
        <f>'2023年'!F20</f>
        <v>374550</v>
      </c>
      <c r="D17" s="122">
        <f>'2024年'!F20</f>
        <v>624250</v>
      </c>
      <c r="E17" s="122">
        <f>'2025年'!F20</f>
        <v>624250</v>
      </c>
      <c r="F17" s="114">
        <f>SUM(C17:E17)</f>
        <v>1623050</v>
      </c>
      <c r="G17" s="70"/>
      <c r="AH17" s="120" t="s">
        <v>48</v>
      </c>
      <c r="AI17" s="120" t="s">
        <v>47</v>
      </c>
    </row>
    <row r="18" spans="1:36" s="48" customFormat="1" ht="15.75" customHeight="1">
      <c r="A18" s="63">
        <v>14</v>
      </c>
      <c r="B18" s="61" t="s">
        <v>49</v>
      </c>
      <c r="C18" s="123">
        <f>'2023年'!F21</f>
        <v>133333.33333333334</v>
      </c>
      <c r="D18" s="123">
        <f>'2024年'!F21</f>
        <v>133333.33333333334</v>
      </c>
      <c r="E18" s="123">
        <f>'2025年'!F21</f>
        <v>133333.33333333334</v>
      </c>
      <c r="F18" s="114">
        <f>SUM(C18:E18)</f>
        <v>400000</v>
      </c>
      <c r="G18" s="70"/>
      <c r="H18" s="48" t="s">
        <v>269</v>
      </c>
      <c r="AH18" s="61"/>
      <c r="AI18" s="61"/>
    </row>
    <row r="19" spans="1:36" s="49" customFormat="1" ht="15.75" customHeight="1">
      <c r="A19" s="63">
        <v>15</v>
      </c>
      <c r="B19" s="53" t="s">
        <v>50</v>
      </c>
      <c r="C19" s="122">
        <f>'2023年'!F22</f>
        <v>145053</v>
      </c>
      <c r="D19" s="122">
        <f>'2024年'!F22</f>
        <v>241755</v>
      </c>
      <c r="E19" s="122">
        <f>'2025年'!F22</f>
        <v>241755</v>
      </c>
      <c r="F19" s="114">
        <f>SUM(C19:E19)</f>
        <v>628563</v>
      </c>
      <c r="G19" s="70"/>
      <c r="AH19" s="53" t="s">
        <v>51</v>
      </c>
      <c r="AI19" s="53" t="s">
        <v>50</v>
      </c>
    </row>
    <row r="20" spans="1:36" s="109" customFormat="1" ht="15.75" customHeight="1">
      <c r="A20" s="63">
        <v>16</v>
      </c>
      <c r="B20" s="124" t="s">
        <v>52</v>
      </c>
      <c r="C20" s="118">
        <f>'2023年'!F23</f>
        <v>1008616.3333333334</v>
      </c>
      <c r="D20" s="118">
        <f>'2024年'!F23</f>
        <v>1527538.3333333335</v>
      </c>
      <c r="E20" s="118">
        <f>'2025年'!F23</f>
        <v>1527538.3333333335</v>
      </c>
      <c r="F20" s="118">
        <f>SUM(C20:E20)</f>
        <v>4063693.0000000005</v>
      </c>
      <c r="G20" s="70"/>
      <c r="AH20" s="137" t="s">
        <v>53</v>
      </c>
      <c r="AI20" s="138" t="s">
        <v>52</v>
      </c>
    </row>
    <row r="21" spans="1:36" ht="15.75" customHeight="1">
      <c r="A21" s="63">
        <v>17</v>
      </c>
      <c r="B21" s="120" t="s">
        <v>54</v>
      </c>
      <c r="C21" s="125">
        <f>'2023年'!F24</f>
        <v>-11333.223921824596</v>
      </c>
      <c r="D21" s="125">
        <f>'2024年'!F24</f>
        <v>32248.641725081019</v>
      </c>
      <c r="E21" s="125">
        <f>'2025年'!F24</f>
        <v>-66008.837277255487</v>
      </c>
      <c r="F21" s="125">
        <f>+F12-F20</f>
        <v>-45093.419473998714</v>
      </c>
      <c r="G21" s="70"/>
      <c r="AH21" s="120" t="s">
        <v>55</v>
      </c>
      <c r="AI21" s="120" t="s">
        <v>54</v>
      </c>
    </row>
    <row r="22" spans="1:36" ht="15.75" customHeight="1">
      <c r="A22" s="63">
        <v>18</v>
      </c>
      <c r="B22" s="120" t="s">
        <v>56</v>
      </c>
      <c r="C22" s="125">
        <f>'2023年'!F25</f>
        <v>0</v>
      </c>
      <c r="D22" s="125">
        <f>'2024年'!F25</f>
        <v>4837.2962587621523</v>
      </c>
      <c r="E22" s="125">
        <f>'2025年'!F25</f>
        <v>0</v>
      </c>
      <c r="F22" s="125">
        <f>IF(F21&lt;0,0,F21*0.15)</f>
        <v>0</v>
      </c>
      <c r="G22" s="70"/>
      <c r="AH22" s="120" t="s">
        <v>57</v>
      </c>
      <c r="AI22" s="120" t="s">
        <v>56</v>
      </c>
    </row>
    <row r="23" spans="1:36" ht="15.75" customHeight="1">
      <c r="A23" s="63">
        <v>19</v>
      </c>
      <c r="B23" s="120" t="s">
        <v>58</v>
      </c>
      <c r="C23" s="125">
        <f>'2023年'!F26</f>
        <v>-11333.223921824596</v>
      </c>
      <c r="D23" s="125">
        <f>'2024年'!F26</f>
        <v>27411.345466318868</v>
      </c>
      <c r="E23" s="125">
        <f>'2025年'!F26</f>
        <v>-66008.837277255487</v>
      </c>
      <c r="F23" s="125">
        <f>F21-F22</f>
        <v>-45093.419473998714</v>
      </c>
      <c r="G23" s="70"/>
      <c r="AH23" s="120" t="s">
        <v>59</v>
      </c>
      <c r="AI23" s="120" t="s">
        <v>58</v>
      </c>
    </row>
    <row r="24" spans="1:36" ht="15.75" customHeight="1">
      <c r="A24" s="63">
        <v>20</v>
      </c>
      <c r="B24" s="120" t="s">
        <v>60</v>
      </c>
      <c r="C24" s="126">
        <f>'2023年'!F27</f>
        <v>-1.6642032190638174E-3</v>
      </c>
      <c r="D24" s="126">
        <f>'2024年'!F27</f>
        <v>2.4150965168562881E-3</v>
      </c>
      <c r="E24" s="126">
        <f>'2025年'!F27</f>
        <v>-5.8157565883044477E-3</v>
      </c>
      <c r="F24" s="126">
        <f>(F23/F4)*100%</f>
        <v>-1.5280724999660695E-3</v>
      </c>
      <c r="G24" s="70"/>
      <c r="AH24" s="139" t="s">
        <v>61</v>
      </c>
      <c r="AI24" s="139" t="s">
        <v>62</v>
      </c>
    </row>
    <row r="25" spans="1:36" s="110" customFormat="1" ht="15.75" customHeight="1">
      <c r="C25" s="127"/>
      <c r="D25" s="127"/>
      <c r="E25" s="127"/>
      <c r="F25" s="127"/>
      <c r="G25" s="136"/>
    </row>
    <row r="26" spans="1:36" s="110" customFormat="1" ht="15.75" hidden="1" customHeight="1">
      <c r="A26" s="110" t="s">
        <v>63</v>
      </c>
      <c r="C26" s="128"/>
      <c r="D26" s="128"/>
      <c r="E26" s="128"/>
      <c r="F26" s="128"/>
      <c r="G26" s="136"/>
      <c r="AH26" s="110" t="s">
        <v>63</v>
      </c>
    </row>
    <row r="27" spans="1:36" ht="15.75" hidden="1" customHeight="1">
      <c r="A27" s="120" t="s">
        <v>15</v>
      </c>
      <c r="B27" s="129" t="s">
        <v>1</v>
      </c>
      <c r="C27" s="113" t="s">
        <v>16</v>
      </c>
      <c r="D27" s="113" t="s">
        <v>64</v>
      </c>
      <c r="E27" s="113" t="s">
        <v>65</v>
      </c>
      <c r="F27" s="52" t="s">
        <v>17</v>
      </c>
      <c r="AJ27" s="111" t="s">
        <v>18</v>
      </c>
    </row>
    <row r="28" spans="1:36" s="49" customFormat="1" ht="15.75" hidden="1" customHeight="1">
      <c r="A28" s="53" t="s">
        <v>66</v>
      </c>
      <c r="B28" s="56" t="s">
        <v>67</v>
      </c>
      <c r="C28" s="60"/>
      <c r="D28" s="60"/>
      <c r="E28" s="60"/>
      <c r="F28" s="60"/>
      <c r="G28" s="70"/>
      <c r="AH28" s="53" t="s">
        <v>68</v>
      </c>
      <c r="AI28" s="56" t="s">
        <v>67</v>
      </c>
    </row>
    <row r="29" spans="1:36" s="49" customFormat="1" ht="15.75" hidden="1" customHeight="1">
      <c r="A29" s="53" t="s">
        <v>21</v>
      </c>
      <c r="B29" s="53" t="s">
        <v>69</v>
      </c>
      <c r="C29" s="55">
        <f t="shared" ref="C29:E29" si="1">+C6/C3</f>
        <v>756.66666666666663</v>
      </c>
      <c r="D29" s="55">
        <f t="shared" si="1"/>
        <v>726.4</v>
      </c>
      <c r="E29" s="55">
        <f t="shared" si="1"/>
        <v>697.34400000000005</v>
      </c>
      <c r="F29" s="55">
        <f>+F6/F3</f>
        <v>722.20923076923077</v>
      </c>
      <c r="G29" s="70"/>
      <c r="AH29" s="53" t="s">
        <v>21</v>
      </c>
      <c r="AI29" s="53" t="s">
        <v>69</v>
      </c>
    </row>
    <row r="30" spans="1:36" s="49" customFormat="1" ht="15.75" hidden="1" customHeight="1">
      <c r="A30" s="53" t="s">
        <v>23</v>
      </c>
      <c r="B30" s="53" t="s">
        <v>70</v>
      </c>
      <c r="C30" s="55">
        <f t="shared" ref="C30:E30" si="2">+C7/C3</f>
        <v>586.08076562094345</v>
      </c>
      <c r="D30" s="55">
        <f t="shared" si="2"/>
        <v>562.63753499610573</v>
      </c>
      <c r="E30" s="55">
        <f t="shared" si="2"/>
        <v>540.13203359626152</v>
      </c>
      <c r="F30" s="55">
        <f>+F7/F3</f>
        <v>559.39154921728198</v>
      </c>
      <c r="G30" s="70"/>
      <c r="AH30" s="53" t="s">
        <v>23</v>
      </c>
      <c r="AI30" s="53" t="s">
        <v>70</v>
      </c>
    </row>
    <row r="31" spans="1:36" s="49" customFormat="1" ht="15.75" hidden="1" customHeight="1">
      <c r="A31" s="53" t="s">
        <v>71</v>
      </c>
      <c r="B31" s="53" t="s">
        <v>72</v>
      </c>
      <c r="C31" s="60">
        <f t="shared" ref="C31:F31" si="3">C29-C30</f>
        <v>170.58590104572318</v>
      </c>
      <c r="D31" s="60">
        <f t="shared" si="3"/>
        <v>163.76246500389425</v>
      </c>
      <c r="E31" s="60">
        <f t="shared" si="3"/>
        <v>157.21196640373853</v>
      </c>
      <c r="F31" s="60">
        <f t="shared" si="3"/>
        <v>162.81768155194879</v>
      </c>
      <c r="G31" s="70"/>
      <c r="AH31" s="53" t="s">
        <v>71</v>
      </c>
      <c r="AI31" s="53" t="s">
        <v>72</v>
      </c>
    </row>
    <row r="32" spans="1:36" s="49" customFormat="1" ht="15.75" hidden="1" customHeight="1">
      <c r="A32" s="53">
        <v>3.1</v>
      </c>
      <c r="B32" s="53" t="s">
        <v>73</v>
      </c>
      <c r="C32" s="130">
        <f t="shared" ref="C32:F32" si="4">C31/C29</f>
        <v>0.22544392208685884</v>
      </c>
      <c r="D32" s="130">
        <f t="shared" si="4"/>
        <v>0.22544392208685882</v>
      </c>
      <c r="E32" s="130">
        <f t="shared" si="4"/>
        <v>0.22544392208685887</v>
      </c>
      <c r="F32" s="130">
        <f t="shared" si="4"/>
        <v>0.22544392208685896</v>
      </c>
      <c r="G32" s="70"/>
      <c r="AH32" s="53"/>
      <c r="AI32" s="53"/>
    </row>
    <row r="33" spans="1:35" s="49" customFormat="1" ht="15.75" hidden="1" customHeight="1">
      <c r="A33" s="53" t="s">
        <v>68</v>
      </c>
      <c r="B33" s="56" t="s">
        <v>9</v>
      </c>
      <c r="C33" s="60"/>
      <c r="D33" s="60"/>
      <c r="E33" s="60"/>
      <c r="F33" s="60"/>
      <c r="G33" s="70"/>
      <c r="AH33" s="53" t="s">
        <v>74</v>
      </c>
      <c r="AI33" s="56" t="s">
        <v>9</v>
      </c>
    </row>
    <row r="34" spans="1:35" s="49" customFormat="1" ht="15.75" hidden="1" customHeight="1">
      <c r="A34" s="53" t="s">
        <v>21</v>
      </c>
      <c r="B34" s="61" t="s">
        <v>75</v>
      </c>
      <c r="C34" s="55">
        <f t="shared" ref="C34:E34" si="5">+C8/C3</f>
        <v>21.186666666666667</v>
      </c>
      <c r="D34" s="55">
        <f t="shared" si="5"/>
        <v>21.186666666666667</v>
      </c>
      <c r="E34" s="55">
        <f t="shared" si="5"/>
        <v>21.186666666666667</v>
      </c>
      <c r="F34" s="55">
        <f>+F8/F3</f>
        <v>21.186666666666667</v>
      </c>
      <c r="G34" s="70"/>
      <c r="AH34" s="53" t="s">
        <v>71</v>
      </c>
      <c r="AI34" s="53" t="s">
        <v>75</v>
      </c>
    </row>
    <row r="35" spans="1:35" s="49" customFormat="1" ht="15.75" hidden="1" customHeight="1">
      <c r="A35" s="53" t="s">
        <v>23</v>
      </c>
      <c r="B35" s="61" t="s">
        <v>76</v>
      </c>
      <c r="C35" s="55">
        <f t="shared" ref="C35:E35" si="6">+C9/C3</f>
        <v>8.3233333333333341</v>
      </c>
      <c r="D35" s="55">
        <f t="shared" si="6"/>
        <v>8.3233333333333341</v>
      </c>
      <c r="E35" s="55">
        <f t="shared" si="6"/>
        <v>8.3233333333333341</v>
      </c>
      <c r="F35" s="55">
        <f>+F9/F3</f>
        <v>8.3233333333333341</v>
      </c>
      <c r="G35" s="70"/>
      <c r="AH35" s="53" t="s">
        <v>26</v>
      </c>
      <c r="AI35" s="53" t="s">
        <v>76</v>
      </c>
    </row>
    <row r="36" spans="1:35" s="49" customFormat="1" ht="15.75" hidden="1" customHeight="1">
      <c r="A36" s="53" t="s">
        <v>71</v>
      </c>
      <c r="B36" s="61" t="s">
        <v>77</v>
      </c>
      <c r="C36" s="55">
        <f t="shared" ref="C36:E36" si="7">+C10/C3</f>
        <v>30.266666666666666</v>
      </c>
      <c r="D36" s="55">
        <f t="shared" si="7"/>
        <v>30.266666666666666</v>
      </c>
      <c r="E36" s="55">
        <f t="shared" si="7"/>
        <v>30.266666666666666</v>
      </c>
      <c r="F36" s="55">
        <f>+F10/F3</f>
        <v>30.266666666666666</v>
      </c>
      <c r="G36" s="70"/>
      <c r="AH36" s="53" t="s">
        <v>32</v>
      </c>
      <c r="AI36" s="53" t="s">
        <v>77</v>
      </c>
    </row>
    <row r="37" spans="1:35" s="49" customFormat="1" ht="15.75" hidden="1" customHeight="1">
      <c r="A37" s="53" t="s">
        <v>78</v>
      </c>
      <c r="B37" s="119" t="s">
        <v>79</v>
      </c>
      <c r="C37" s="55"/>
      <c r="D37" s="55"/>
      <c r="E37" s="55"/>
      <c r="F37" s="55"/>
      <c r="G37" s="70"/>
      <c r="AH37" s="53" t="s">
        <v>78</v>
      </c>
      <c r="AI37" s="56" t="s">
        <v>79</v>
      </c>
    </row>
    <row r="38" spans="1:35" s="49" customFormat="1" hidden="1">
      <c r="A38" s="53" t="s">
        <v>21</v>
      </c>
      <c r="B38" s="61" t="s">
        <v>80</v>
      </c>
      <c r="C38" s="55">
        <f t="shared" ref="C38:E38" si="8">+C12/C3</f>
        <v>110.80923437905653</v>
      </c>
      <c r="D38" s="55">
        <f t="shared" si="8"/>
        <v>103.98579833722764</v>
      </c>
      <c r="E38" s="55">
        <f t="shared" si="8"/>
        <v>97.435299737071873</v>
      </c>
      <c r="F38" s="55">
        <f>+F12/F3</f>
        <v>103.0410148852821</v>
      </c>
      <c r="G38" s="70"/>
      <c r="AH38" s="53" t="s">
        <v>21</v>
      </c>
      <c r="AI38" s="53" t="s">
        <v>81</v>
      </c>
    </row>
    <row r="39" spans="1:35" s="49" customFormat="1" ht="15.75" customHeight="1">
      <c r="A39" s="53" t="s">
        <v>23</v>
      </c>
      <c r="B39" s="61" t="s">
        <v>82</v>
      </c>
      <c r="C39" s="114">
        <f t="shared" ref="C39:E39" si="9">+C20/C38</f>
        <v>9102.2768904174172</v>
      </c>
      <c r="D39" s="114">
        <f t="shared" si="9"/>
        <v>14689.874557480454</v>
      </c>
      <c r="E39" s="114">
        <f t="shared" si="9"/>
        <v>15677.463275172135</v>
      </c>
      <c r="F39" s="185">
        <f t="shared" ref="F39" si="10">+F20/F38</f>
        <v>39437.625925212422</v>
      </c>
      <c r="G39" s="70"/>
      <c r="AH39" s="53" t="s">
        <v>23</v>
      </c>
      <c r="AI39" s="53" t="s">
        <v>82</v>
      </c>
    </row>
    <row r="40" spans="1:35" s="49" customFormat="1" ht="15.75" hidden="1" customHeight="1">
      <c r="A40" s="53" t="s">
        <v>83</v>
      </c>
      <c r="B40" s="56" t="s">
        <v>84</v>
      </c>
      <c r="C40" s="60"/>
      <c r="D40" s="60"/>
      <c r="E40" s="60"/>
      <c r="F40" s="60"/>
      <c r="G40" s="70"/>
      <c r="AH40" s="53" t="s">
        <v>83</v>
      </c>
      <c r="AI40" s="56" t="s">
        <v>84</v>
      </c>
    </row>
    <row r="41" spans="1:35" s="49" customFormat="1" ht="15.75" hidden="1" customHeight="1">
      <c r="A41" s="53" t="s">
        <v>21</v>
      </c>
      <c r="B41" s="53" t="s">
        <v>85</v>
      </c>
      <c r="C41" s="60">
        <f t="shared" ref="C41:E41" si="11">+C14/C3</f>
        <v>33.466666666666669</v>
      </c>
      <c r="D41" s="60">
        <f t="shared" si="11"/>
        <v>29.16</v>
      </c>
      <c r="E41" s="60">
        <f t="shared" si="11"/>
        <v>29.16</v>
      </c>
      <c r="F41" s="60">
        <f>+F14/F3</f>
        <v>30.153846153846153</v>
      </c>
      <c r="G41" s="70"/>
      <c r="AH41" s="53" t="s">
        <v>21</v>
      </c>
      <c r="AI41" s="53" t="s">
        <v>85</v>
      </c>
    </row>
    <row r="42" spans="1:35" s="49" customFormat="1" ht="15.75" hidden="1" customHeight="1">
      <c r="A42" s="53" t="s">
        <v>23</v>
      </c>
      <c r="B42" s="53" t="s">
        <v>86</v>
      </c>
      <c r="C42" s="60">
        <f t="shared" ref="C42:E42" si="12">+C16/C3</f>
        <v>6.0533333333333337</v>
      </c>
      <c r="D42" s="60">
        <f t="shared" si="12"/>
        <v>6.0533333333333337</v>
      </c>
      <c r="E42" s="60">
        <f t="shared" si="12"/>
        <v>6.0533333333333337</v>
      </c>
      <c r="F42" s="60">
        <f>+F16/F3</f>
        <v>6.0533333333333337</v>
      </c>
      <c r="G42" s="70"/>
      <c r="AH42" s="53" t="s">
        <v>23</v>
      </c>
      <c r="AI42" s="53" t="s">
        <v>86</v>
      </c>
    </row>
    <row r="43" spans="1:35" s="49" customFormat="1" ht="15.75" hidden="1" customHeight="1">
      <c r="A43" s="53" t="s">
        <v>71</v>
      </c>
      <c r="B43" s="53" t="s">
        <v>87</v>
      </c>
      <c r="C43" s="60">
        <f t="shared" ref="C43:E43" si="13">+C17/C3</f>
        <v>41.616666666666667</v>
      </c>
      <c r="D43" s="60">
        <f t="shared" si="13"/>
        <v>41.616666666666667</v>
      </c>
      <c r="E43" s="60">
        <f t="shared" si="13"/>
        <v>41.616666666666667</v>
      </c>
      <c r="F43" s="60">
        <f>+F17/F3</f>
        <v>41.616666666666667</v>
      </c>
      <c r="G43" s="70"/>
      <c r="AH43" s="53" t="s">
        <v>71</v>
      </c>
      <c r="AI43" s="53" t="s">
        <v>87</v>
      </c>
    </row>
    <row r="44" spans="1:35" s="49" customFormat="1" ht="15.75" hidden="1" customHeight="1">
      <c r="A44" s="53" t="s">
        <v>26</v>
      </c>
      <c r="B44" s="53" t="s">
        <v>88</v>
      </c>
      <c r="C44" s="60"/>
      <c r="D44" s="60"/>
      <c r="E44" s="60"/>
      <c r="F44" s="60"/>
      <c r="G44" s="70"/>
      <c r="AH44" s="53" t="s">
        <v>26</v>
      </c>
      <c r="AI44" s="53" t="s">
        <v>89</v>
      </c>
    </row>
    <row r="45" spans="1:35" s="49" customFormat="1" ht="15.75" hidden="1" customHeight="1">
      <c r="A45" s="53" t="s">
        <v>29</v>
      </c>
      <c r="B45" s="53" t="s">
        <v>90</v>
      </c>
      <c r="C45" s="60"/>
      <c r="D45" s="60"/>
      <c r="E45" s="60"/>
      <c r="F45" s="60"/>
      <c r="G45" s="70"/>
      <c r="AH45" s="53" t="s">
        <v>29</v>
      </c>
      <c r="AI45" s="53" t="s">
        <v>90</v>
      </c>
    </row>
    <row r="46" spans="1:35" s="49" customFormat="1" ht="15.75" hidden="1" customHeight="1">
      <c r="A46" s="53" t="s">
        <v>91</v>
      </c>
      <c r="B46" s="56" t="s">
        <v>92</v>
      </c>
      <c r="C46" s="60"/>
      <c r="D46" s="60"/>
      <c r="E46" s="60"/>
      <c r="F46" s="60"/>
      <c r="G46" s="70"/>
      <c r="AH46" s="53" t="s">
        <v>91</v>
      </c>
      <c r="AI46" s="56" t="s">
        <v>92</v>
      </c>
    </row>
    <row r="47" spans="1:35" s="49" customFormat="1" ht="15.75" hidden="1" customHeight="1">
      <c r="A47" s="53" t="s">
        <v>21</v>
      </c>
      <c r="B47" s="53" t="s">
        <v>93</v>
      </c>
      <c r="C47" s="131">
        <f t="shared" ref="C47:E47" si="14">+(C10+C16)/C6</f>
        <v>4.8000000000000001E-2</v>
      </c>
      <c r="D47" s="131">
        <f t="shared" si="14"/>
        <v>0.05</v>
      </c>
      <c r="E47" s="131">
        <f t="shared" si="14"/>
        <v>5.2083333333333336E-2</v>
      </c>
      <c r="F47" s="131">
        <f>+(F10+F16)/F6</f>
        <v>5.0290135396518373E-2</v>
      </c>
      <c r="G47" s="70"/>
      <c r="AH47" s="53" t="s">
        <v>21</v>
      </c>
      <c r="AI47" s="53" t="s">
        <v>93</v>
      </c>
    </row>
    <row r="48" spans="1:35" s="49" customFormat="1" ht="15.75" hidden="1" customHeight="1">
      <c r="A48" s="53" t="s">
        <v>23</v>
      </c>
      <c r="B48" s="53" t="s">
        <v>94</v>
      </c>
      <c r="C48" s="131">
        <f t="shared" ref="C48:E48" si="15">+(C8+C9+C14)/C6</f>
        <v>8.3229074889867846E-2</v>
      </c>
      <c r="D48" s="131">
        <f t="shared" si="15"/>
        <v>8.0768171806167396E-2</v>
      </c>
      <c r="E48" s="131">
        <f t="shared" si="15"/>
        <v>8.4133512298091045E-2</v>
      </c>
      <c r="F48" s="131">
        <f>+(F8+F9+F14)/F6</f>
        <v>8.2612965345648826E-2</v>
      </c>
      <c r="G48" s="70"/>
      <c r="AH48" s="53" t="s">
        <v>23</v>
      </c>
      <c r="AI48" s="53" t="s">
        <v>94</v>
      </c>
    </row>
    <row r="49" spans="1:35" s="49" customFormat="1" ht="15.75" hidden="1" customHeight="1">
      <c r="A49" s="53" t="s">
        <v>71</v>
      </c>
      <c r="B49" s="53" t="s">
        <v>95</v>
      </c>
      <c r="C49" s="131">
        <f t="shared" ref="C49:E49" si="16">+C17/C6</f>
        <v>5.5E-2</v>
      </c>
      <c r="D49" s="131">
        <f t="shared" si="16"/>
        <v>5.7291666666666664E-2</v>
      </c>
      <c r="E49" s="131">
        <f t="shared" si="16"/>
        <v>5.9678819444444448E-2</v>
      </c>
      <c r="F49" s="131">
        <f>+F17/F6</f>
        <v>5.7624113475177305E-2</v>
      </c>
      <c r="G49" s="70"/>
      <c r="AH49" s="53" t="s">
        <v>71</v>
      </c>
      <c r="AI49" s="53" t="s">
        <v>95</v>
      </c>
    </row>
    <row r="50" spans="1:35" s="49" customFormat="1" ht="15.75" hidden="1" customHeight="1">
      <c r="A50" s="53" t="s">
        <v>26</v>
      </c>
      <c r="B50" s="53" t="s">
        <v>96</v>
      </c>
      <c r="C50" s="131">
        <f t="shared" ref="C50:E50" si="17">+C18/C6</f>
        <v>1.9579050416054823E-2</v>
      </c>
      <c r="D50" s="131">
        <f t="shared" si="17"/>
        <v>1.2236906510034264E-2</v>
      </c>
      <c r="E50" s="131">
        <f t="shared" si="17"/>
        <v>1.2746777614619025E-2</v>
      </c>
      <c r="F50" s="131">
        <f>+F18/F6</f>
        <v>1.4201438889788313E-2</v>
      </c>
      <c r="G50" s="70"/>
      <c r="AH50" s="53" t="s">
        <v>26</v>
      </c>
      <c r="AI50" s="53" t="s">
        <v>96</v>
      </c>
    </row>
    <row r="51" spans="1:35" s="49" customFormat="1" ht="15.75" hidden="1" customHeight="1">
      <c r="A51" s="53" t="s">
        <v>29</v>
      </c>
      <c r="B51" s="53" t="s">
        <v>97</v>
      </c>
      <c r="C51" s="131">
        <f t="shared" ref="C51:E51" si="18">+C19/C6</f>
        <v>2.1299999999999999E-2</v>
      </c>
      <c r="D51" s="131">
        <f t="shared" si="18"/>
        <v>2.2187499999999999E-2</v>
      </c>
      <c r="E51" s="131">
        <f t="shared" si="18"/>
        <v>2.3111979166666668E-2</v>
      </c>
      <c r="F51" s="131">
        <f>+F19/F6</f>
        <v>2.2316247582205028E-2</v>
      </c>
      <c r="G51" s="70"/>
      <c r="AH51" s="53" t="s">
        <v>29</v>
      </c>
      <c r="AI51" s="53" t="s">
        <v>97</v>
      </c>
    </row>
    <row r="52" spans="1:35" s="49" customFormat="1" ht="15.75" hidden="1" customHeight="1">
      <c r="A52" s="53" t="s">
        <v>32</v>
      </c>
      <c r="B52" s="53" t="s">
        <v>98</v>
      </c>
      <c r="C52" s="131">
        <f t="shared" ref="C52:E52" si="19">+C23/C6</f>
        <v>-1.6642032190638174E-3</v>
      </c>
      <c r="D52" s="131">
        <f t="shared" si="19"/>
        <v>2.5157255383919668E-3</v>
      </c>
      <c r="E52" s="131">
        <f t="shared" si="19"/>
        <v>-6.3104997702956248E-3</v>
      </c>
      <c r="F52" s="131">
        <f>+F23/F6</f>
        <v>-1.6009786024789574E-3</v>
      </c>
      <c r="G52" s="70"/>
      <c r="AH52" s="53" t="s">
        <v>32</v>
      </c>
      <c r="AI52" s="53" t="s">
        <v>99</v>
      </c>
    </row>
    <row r="53" spans="1:35" s="49" customFormat="1" ht="15.75" hidden="1" customHeight="1">
      <c r="A53" s="53" t="s">
        <v>100</v>
      </c>
      <c r="B53" s="56" t="s">
        <v>101</v>
      </c>
      <c r="C53" s="60">
        <f t="shared" ref="C53:E53" si="20">+C21/C3</f>
        <v>-1.2592471024249552</v>
      </c>
      <c r="D53" s="60">
        <f t="shared" si="20"/>
        <v>2.1499094483387347</v>
      </c>
      <c r="E53" s="60">
        <f t="shared" si="20"/>
        <v>-4.4005891518170328</v>
      </c>
      <c r="F53" s="60">
        <f>+F21/F3</f>
        <v>-1.1562415249743261</v>
      </c>
      <c r="G53" s="70"/>
      <c r="AH53" s="53" t="s">
        <v>100</v>
      </c>
      <c r="AI53" s="56" t="s">
        <v>101</v>
      </c>
    </row>
    <row r="54" spans="1:35" s="49" customFormat="1" ht="15.75" hidden="1" customHeight="1">
      <c r="A54" s="53" t="s">
        <v>102</v>
      </c>
      <c r="B54" s="132" t="s">
        <v>103</v>
      </c>
      <c r="C54" s="60"/>
      <c r="D54" s="60"/>
      <c r="E54" s="60"/>
      <c r="F54" s="60"/>
      <c r="G54" s="70"/>
      <c r="AH54" s="53"/>
      <c r="AI54" s="56"/>
    </row>
    <row r="55" spans="1:35" s="49" customFormat="1" ht="15.75" hidden="1" customHeight="1">
      <c r="A55" s="53" t="s">
        <v>21</v>
      </c>
      <c r="B55" s="53" t="s">
        <v>104</v>
      </c>
      <c r="C55" s="60"/>
      <c r="D55" s="60"/>
      <c r="E55" s="60"/>
      <c r="F55" s="60"/>
      <c r="G55" s="70"/>
    </row>
    <row r="56" spans="1:35" s="49" customFormat="1" ht="15.75" hidden="1" customHeight="1">
      <c r="A56" s="53">
        <v>1.1000000000000001</v>
      </c>
      <c r="B56" s="133" t="s">
        <v>105</v>
      </c>
      <c r="C56" s="60"/>
      <c r="D56" s="60"/>
      <c r="E56" s="60"/>
      <c r="F56" s="60"/>
      <c r="G56" s="70"/>
    </row>
    <row r="57" spans="1:35" s="49" customFormat="1" ht="15.75" hidden="1" customHeight="1">
      <c r="A57" s="53">
        <v>1.2</v>
      </c>
      <c r="B57" s="53" t="s">
        <v>106</v>
      </c>
      <c r="C57" s="60"/>
      <c r="D57" s="60"/>
      <c r="E57" s="60"/>
      <c r="F57" s="60"/>
      <c r="G57" s="70"/>
    </row>
    <row r="58" spans="1:35" ht="15.75" hidden="1" customHeight="1">
      <c r="A58" s="120" t="s">
        <v>23</v>
      </c>
      <c r="B58" s="120" t="s">
        <v>107</v>
      </c>
      <c r="C58" s="134">
        <f t="shared" ref="C58:E58" si="21">C59+C60</f>
        <v>85566.776078175404</v>
      </c>
      <c r="D58" s="134">
        <f t="shared" si="21"/>
        <v>124311.34546631886</v>
      </c>
      <c r="E58" s="134">
        <f t="shared" si="21"/>
        <v>30891.162722744513</v>
      </c>
      <c r="F58" s="134">
        <f t="shared" ref="F58" si="22">F59+F60</f>
        <v>245606.58052600129</v>
      </c>
      <c r="G58" s="70"/>
    </row>
    <row r="59" spans="1:35" ht="15.75" hidden="1" customHeight="1">
      <c r="A59" s="120" t="s">
        <v>71</v>
      </c>
      <c r="B59" s="120" t="s">
        <v>108</v>
      </c>
      <c r="C59" s="134">
        <f t="shared" ref="C59:E59" si="23">C23</f>
        <v>-11333.223921824596</v>
      </c>
      <c r="D59" s="134">
        <f t="shared" si="23"/>
        <v>27411.345466318868</v>
      </c>
      <c r="E59" s="134">
        <f t="shared" si="23"/>
        <v>-66008.837277255487</v>
      </c>
      <c r="F59" s="134">
        <f t="shared" ref="F59" si="24">F23</f>
        <v>-45093.419473998714</v>
      </c>
      <c r="G59" s="70"/>
    </row>
    <row r="60" spans="1:35" ht="15.75" hidden="1" customHeight="1">
      <c r="A60" s="120" t="s">
        <v>26</v>
      </c>
      <c r="B60" s="120" t="s">
        <v>109</v>
      </c>
      <c r="C60" s="134">
        <f>'2023年'!F18</f>
        <v>96900</v>
      </c>
      <c r="D60" s="134">
        <f>'2024年'!F18</f>
        <v>96900</v>
      </c>
      <c r="E60" s="134">
        <f>'2025年'!F18</f>
        <v>96900</v>
      </c>
      <c r="F60" s="134">
        <f>项目投资!I26</f>
        <v>290700</v>
      </c>
      <c r="G60" s="70"/>
    </row>
    <row r="61" spans="1:35" ht="15.75" hidden="1" customHeight="1">
      <c r="A61" s="120" t="s">
        <v>29</v>
      </c>
      <c r="B61" s="120" t="s">
        <v>110</v>
      </c>
      <c r="C61" s="135"/>
      <c r="D61" s="135"/>
      <c r="E61" s="135"/>
      <c r="F61" s="134"/>
      <c r="G61" s="70"/>
    </row>
    <row r="63" spans="1:35">
      <c r="B63"/>
    </row>
  </sheetData>
  <mergeCells count="2">
    <mergeCell ref="A1:F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spans="1:13" ht="18.75">
      <c r="A1" s="75" t="s">
        <v>111</v>
      </c>
      <c r="B1" s="76"/>
      <c r="C1" s="77"/>
      <c r="D1" s="77"/>
      <c r="E1" s="76"/>
      <c r="F1" s="77"/>
      <c r="G1" s="77"/>
      <c r="H1" s="76"/>
      <c r="I1" s="77"/>
      <c r="J1" s="77"/>
      <c r="K1" s="77"/>
      <c r="L1" s="77"/>
      <c r="M1" s="77"/>
    </row>
    <row r="2" spans="1:13" ht="12">
      <c r="A2" s="74" t="s">
        <v>112</v>
      </c>
      <c r="B2" s="78"/>
    </row>
    <row r="3" spans="1:13" ht="16.899999999999999" customHeight="1">
      <c r="A3" s="79" t="s">
        <v>15</v>
      </c>
      <c r="B3" s="79" t="s">
        <v>113</v>
      </c>
      <c r="C3" s="239" t="s">
        <v>114</v>
      </c>
      <c r="D3" s="239"/>
      <c r="E3" s="239"/>
      <c r="F3" s="81"/>
      <c r="G3" s="82"/>
      <c r="H3" s="83"/>
      <c r="I3" s="83"/>
      <c r="J3" s="83" t="s">
        <v>115</v>
      </c>
      <c r="K3" s="83"/>
      <c r="L3" s="83"/>
      <c r="M3" s="104"/>
    </row>
    <row r="4" spans="1:13" ht="16.149999999999999" customHeight="1">
      <c r="A4" s="84"/>
      <c r="B4" s="84" t="s">
        <v>116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117</v>
      </c>
    </row>
    <row r="5" spans="1:13" ht="15.6" customHeight="1">
      <c r="A5" s="86">
        <v>1</v>
      </c>
      <c r="B5" s="87" t="s">
        <v>118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 t="e">
        <f t="shared" si="1"/>
        <v>#REF!</v>
      </c>
      <c r="G5" s="88">
        <f t="shared" si="1"/>
        <v>6810000</v>
      </c>
      <c r="H5" s="88">
        <f t="shared" si="1"/>
        <v>11350000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>
        <f t="shared" si="1"/>
        <v>29510000</v>
      </c>
      <c r="M5" s="92" t="e">
        <f t="shared" ref="M5:M17" si="2">SUM(C5:L5)</f>
        <v>#REF!</v>
      </c>
    </row>
    <row r="6" spans="1:13" ht="15.6" customHeight="1">
      <c r="A6" s="86">
        <v>1.1000000000000001</v>
      </c>
      <c r="B6" s="89" t="s">
        <v>119</v>
      </c>
      <c r="C6" s="90"/>
      <c r="D6" s="90"/>
      <c r="E6" s="90" t="e">
        <f>损益表!#REF!</f>
        <v>#REF!</v>
      </c>
      <c r="F6" s="90" t="e">
        <f>损益表!#REF!</f>
        <v>#REF!</v>
      </c>
      <c r="G6" s="90">
        <f>损益表!C4</f>
        <v>6810000</v>
      </c>
      <c r="H6" s="90">
        <f>损益表!D4</f>
        <v>11350000</v>
      </c>
      <c r="I6" s="90" t="e">
        <f>损益表!#REF!</f>
        <v>#REF!</v>
      </c>
      <c r="J6" s="90" t="e">
        <f>损益表!#REF!</f>
        <v>#REF!</v>
      </c>
      <c r="K6" s="90" t="e">
        <f>损益表!#REF!</f>
        <v>#REF!</v>
      </c>
      <c r="L6" s="90">
        <f>损益表!F4</f>
        <v>29510000</v>
      </c>
      <c r="M6" s="92" t="e">
        <f t="shared" si="2"/>
        <v>#REF!</v>
      </c>
    </row>
    <row r="7" spans="1:13" ht="15.6" customHeight="1">
      <c r="A7" s="86">
        <v>1.2</v>
      </c>
      <c r="B7" s="89" t="s">
        <v>120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spans="1:13" ht="15.6" customHeight="1">
      <c r="A8" s="86">
        <v>1.3</v>
      </c>
      <c r="B8" s="89" t="s">
        <v>121</v>
      </c>
      <c r="C8" s="90" t="s">
        <v>122</v>
      </c>
      <c r="D8" s="90" t="s">
        <v>122</v>
      </c>
      <c r="E8" s="90" t="s">
        <v>122</v>
      </c>
      <c r="F8" s="90" t="s">
        <v>122</v>
      </c>
      <c r="G8" s="90" t="s">
        <v>122</v>
      </c>
      <c r="H8" s="90" t="s">
        <v>122</v>
      </c>
      <c r="I8" s="90" t="s">
        <v>122</v>
      </c>
      <c r="J8" s="90" t="s">
        <v>122</v>
      </c>
      <c r="K8" s="90" t="s">
        <v>122</v>
      </c>
      <c r="L8" s="90"/>
      <c r="M8" s="92">
        <f t="shared" si="2"/>
        <v>0</v>
      </c>
    </row>
    <row r="9" spans="1:13" s="73" customFormat="1" ht="15.6" customHeight="1">
      <c r="A9" s="91">
        <v>1.4</v>
      </c>
      <c r="B9" s="92" t="s">
        <v>123</v>
      </c>
      <c r="C9" s="90" t="s">
        <v>122</v>
      </c>
      <c r="D9" s="90" t="s">
        <v>122</v>
      </c>
      <c r="E9" s="90" t="s">
        <v>122</v>
      </c>
      <c r="F9" s="90" t="s">
        <v>122</v>
      </c>
      <c r="G9" s="90" t="s">
        <v>122</v>
      </c>
      <c r="H9" s="90" t="s">
        <v>122</v>
      </c>
      <c r="I9" s="90" t="s">
        <v>122</v>
      </c>
      <c r="J9" s="90" t="s">
        <v>122</v>
      </c>
      <c r="K9" s="90" t="s">
        <v>122</v>
      </c>
      <c r="L9" s="90" t="s">
        <v>122</v>
      </c>
      <c r="M9" s="92">
        <f t="shared" si="2"/>
        <v>0</v>
      </c>
    </row>
    <row r="10" spans="1:13" ht="15.6" customHeight="1">
      <c r="A10" s="91">
        <v>2</v>
      </c>
      <c r="B10" s="87" t="s">
        <v>124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spans="1:13" ht="15" customHeight="1">
      <c r="A11" s="86">
        <v>2.1</v>
      </c>
      <c r="B11" s="86" t="s">
        <v>125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pans="1:13" s="73" customFormat="1" ht="15" customHeight="1">
      <c r="A12" s="86">
        <v>2.2000000000000002</v>
      </c>
      <c r="B12" s="92" t="s">
        <v>126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spans="1:13" ht="15" customHeight="1">
      <c r="A13" s="86">
        <v>2.2999999999999998</v>
      </c>
      <c r="B13" s="89" t="s">
        <v>127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spans="1:13" ht="15" customHeight="1">
      <c r="A14" s="86">
        <v>2.4</v>
      </c>
      <c r="B14" s="89" t="s">
        <v>128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spans="1:13" ht="15" customHeight="1">
      <c r="A15" s="86">
        <v>2.5</v>
      </c>
      <c r="B15" s="89" t="s">
        <v>56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spans="1:13" ht="15" customHeight="1">
      <c r="A16" s="86">
        <v>2.6</v>
      </c>
      <c r="B16" s="89" t="s">
        <v>129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spans="1:18" ht="12">
      <c r="A17" s="86">
        <v>3</v>
      </c>
      <c r="B17" s="87" t="s">
        <v>130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 t="e">
        <f t="shared" si="4"/>
        <v>#REF!</v>
      </c>
      <c r="G17" s="88">
        <f t="shared" si="4"/>
        <v>6810000</v>
      </c>
      <c r="H17" s="88">
        <f t="shared" si="4"/>
        <v>11350000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>
        <f t="shared" si="4"/>
        <v>29510000</v>
      </c>
      <c r="M17" s="92" t="e">
        <f t="shared" si="2"/>
        <v>#REF!</v>
      </c>
    </row>
    <row r="18" spans="1:18" ht="12">
      <c r="A18" s="93">
        <v>4</v>
      </c>
      <c r="B18" s="89" t="s">
        <v>131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122</v>
      </c>
    </row>
    <row r="19" spans="1:18" s="73" customFormat="1" ht="12">
      <c r="A19" s="93">
        <v>5</v>
      </c>
      <c r="B19" s="89" t="s">
        <v>132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 t="e">
        <f t="shared" si="6"/>
        <v>#REF!</v>
      </c>
      <c r="G19" s="90">
        <f t="shared" si="6"/>
        <v>6810000</v>
      </c>
      <c r="H19" s="90">
        <f t="shared" si="6"/>
        <v>11350000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>
        <f t="shared" si="6"/>
        <v>29510000</v>
      </c>
      <c r="M19" s="92" t="e">
        <f>SUM(C19:L19)</f>
        <v>#REF!</v>
      </c>
    </row>
    <row r="20" spans="1:18" s="73" customFormat="1" ht="12">
      <c r="A20" s="86">
        <v>6</v>
      </c>
      <c r="B20" s="89" t="s">
        <v>133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122</v>
      </c>
    </row>
    <row r="21" spans="1:18" ht="12">
      <c r="A21" s="94"/>
      <c r="B21" s="95" t="s">
        <v>134</v>
      </c>
      <c r="C21" s="95"/>
      <c r="D21" s="95"/>
      <c r="E21" s="95" t="s">
        <v>135</v>
      </c>
      <c r="F21" s="95"/>
      <c r="G21" s="95"/>
      <c r="H21" s="95"/>
      <c r="I21" s="95" t="s">
        <v>136</v>
      </c>
      <c r="J21" s="95"/>
      <c r="K21" s="95"/>
      <c r="L21" s="95"/>
      <c r="M21" s="106"/>
    </row>
    <row r="22" spans="1:18" ht="12">
      <c r="A22" s="96"/>
      <c r="B22" s="97" t="s">
        <v>137</v>
      </c>
      <c r="C22" s="97"/>
      <c r="D22" s="98" t="s">
        <v>138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spans="1:18" ht="12">
      <c r="A23" s="96"/>
      <c r="B23" s="97" t="s">
        <v>139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4">
        <f>30.9-29.82</f>
        <v>1.0799999999999983</v>
      </c>
    </row>
    <row r="24" spans="1:18" ht="12">
      <c r="A24" s="101"/>
      <c r="B24" s="102" t="s">
        <v>140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D10" sqref="D10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5" width="12.875" style="50" bestFit="1" customWidth="1"/>
    <col min="6" max="6" width="18.75" style="50" customWidth="1"/>
    <col min="7" max="7" width="12.375" style="49" customWidth="1"/>
    <col min="8" max="8" width="10.125" style="49" customWidth="1"/>
    <col min="9" max="15" width="9" style="49" customWidth="1"/>
    <col min="16" max="32" width="9" style="49"/>
    <col min="33" max="33" width="4.375" style="49" customWidth="1"/>
    <col min="34" max="34" width="13.875" style="49" customWidth="1"/>
    <col min="35" max="16384" width="9" style="49"/>
  </cols>
  <sheetData>
    <row r="1" spans="1:35">
      <c r="A1" s="240" t="s">
        <v>141</v>
      </c>
      <c r="B1" s="240"/>
      <c r="C1" s="241" t="s">
        <v>238</v>
      </c>
      <c r="D1" s="242"/>
      <c r="E1" s="242"/>
      <c r="F1" s="243"/>
    </row>
    <row r="2" spans="1:35">
      <c r="A2" s="240" t="s">
        <v>142</v>
      </c>
      <c r="B2" s="240"/>
      <c r="C2" s="244" t="s">
        <v>292</v>
      </c>
      <c r="D2" s="244"/>
      <c r="E2" s="244"/>
      <c r="F2" s="244"/>
    </row>
    <row r="3" spans="1:35" ht="28.5">
      <c r="A3" s="240" t="s">
        <v>143</v>
      </c>
      <c r="B3" s="240"/>
      <c r="C3" s="162" t="str">
        <f>销量!C5</f>
        <v>H5000S经济型空气主座椅</v>
      </c>
      <c r="D3" s="162" t="str">
        <f>销量!D5</f>
        <v>副座椅</v>
      </c>
      <c r="E3" s="162" t="str">
        <f>销量!E5</f>
        <v>底支架</v>
      </c>
      <c r="F3" s="245" t="s">
        <v>17</v>
      </c>
    </row>
    <row r="4" spans="1:35">
      <c r="A4" s="240" t="s">
        <v>144</v>
      </c>
      <c r="B4" s="240"/>
      <c r="C4" s="162" t="str">
        <f>销量!C6</f>
        <v>DZ16231510230</v>
      </c>
      <c r="D4" s="162" t="str">
        <f>销量!D6</f>
        <v>暂无</v>
      </c>
      <c r="E4" s="162" t="str">
        <f>销量!E6</f>
        <v>暂无</v>
      </c>
      <c r="F4" s="246"/>
    </row>
    <row r="5" spans="1:35">
      <c r="A5" s="240" t="s">
        <v>145</v>
      </c>
      <c r="B5" s="240"/>
      <c r="C5" s="52"/>
      <c r="D5" s="52"/>
      <c r="E5" s="52"/>
      <c r="F5" s="247"/>
      <c r="AI5" s="49" t="s">
        <v>18</v>
      </c>
    </row>
    <row r="6" spans="1:35" ht="17.25">
      <c r="A6" s="53" t="s">
        <v>15</v>
      </c>
      <c r="B6" s="54" t="s">
        <v>146</v>
      </c>
      <c r="C6" s="23">
        <f>销量!C10</f>
        <v>3000</v>
      </c>
      <c r="D6" s="23">
        <f>销量!D10</f>
        <v>3000</v>
      </c>
      <c r="E6" s="23">
        <f>销量!E10</f>
        <v>3000</v>
      </c>
      <c r="F6" s="55">
        <f t="shared" ref="F6:F15" si="0">SUM(C6:E6)</f>
        <v>9000</v>
      </c>
      <c r="Q6" s="54" t="s">
        <v>3</v>
      </c>
      <c r="AG6" s="53" t="s">
        <v>15</v>
      </c>
      <c r="AH6" s="54" t="s">
        <v>3</v>
      </c>
      <c r="AI6" s="49" t="s">
        <v>19</v>
      </c>
    </row>
    <row r="7" spans="1:35">
      <c r="A7" s="161">
        <v>1</v>
      </c>
      <c r="B7" s="54" t="s">
        <v>20</v>
      </c>
      <c r="C7" s="55">
        <f>C6*销量!C8</f>
        <v>4650000</v>
      </c>
      <c r="D7" s="55">
        <f>D6*销量!D8</f>
        <v>2040000</v>
      </c>
      <c r="E7" s="55">
        <f>E6*销量!E8</f>
        <v>120000</v>
      </c>
      <c r="F7" s="55">
        <f t="shared" si="0"/>
        <v>6810000</v>
      </c>
      <c r="G7" s="50"/>
      <c r="Q7" s="54" t="s">
        <v>20</v>
      </c>
      <c r="AG7" s="53" t="s">
        <v>21</v>
      </c>
      <c r="AH7" s="54" t="s">
        <v>20</v>
      </c>
      <c r="AI7" s="49" t="s">
        <v>19</v>
      </c>
    </row>
    <row r="8" spans="1:35">
      <c r="A8" s="161">
        <v>2</v>
      </c>
      <c r="B8" s="161" t="s">
        <v>22</v>
      </c>
      <c r="C8" s="55"/>
      <c r="D8" s="55"/>
      <c r="E8" s="55"/>
      <c r="F8" s="55">
        <f t="shared" si="0"/>
        <v>0</v>
      </c>
      <c r="G8" s="70"/>
      <c r="Q8" s="161" t="s">
        <v>24</v>
      </c>
      <c r="AG8" s="53" t="s">
        <v>23</v>
      </c>
      <c r="AH8" s="161" t="s">
        <v>24</v>
      </c>
      <c r="AI8" s="49" t="s">
        <v>19</v>
      </c>
    </row>
    <row r="9" spans="1:35">
      <c r="A9" s="161">
        <v>3</v>
      </c>
      <c r="B9" s="54" t="s">
        <v>25</v>
      </c>
      <c r="C9" s="55">
        <f>+C7-C8</f>
        <v>4650000</v>
      </c>
      <c r="D9" s="55">
        <f t="shared" ref="D9" si="1">+D7-D8</f>
        <v>2040000</v>
      </c>
      <c r="E9" s="55">
        <f t="shared" ref="E9" si="2">+E7-E8</f>
        <v>120000</v>
      </c>
      <c r="F9" s="55">
        <f t="shared" si="0"/>
        <v>6810000</v>
      </c>
      <c r="Q9" s="54" t="s">
        <v>25</v>
      </c>
      <c r="AG9" s="53" t="s">
        <v>26</v>
      </c>
      <c r="AH9" s="54" t="s">
        <v>25</v>
      </c>
      <c r="AI9" s="49" t="s">
        <v>27</v>
      </c>
    </row>
    <row r="10" spans="1:35">
      <c r="A10" s="161">
        <v>4</v>
      </c>
      <c r="B10" s="53" t="s">
        <v>28</v>
      </c>
      <c r="C10" s="55">
        <f>C6*材料成本!F41</f>
        <v>3701022.8311092234</v>
      </c>
      <c r="D10" s="55">
        <f>D6*材料成本!F42</f>
        <v>1468104.0594792678</v>
      </c>
      <c r="E10" s="55">
        <f>E6*材料成本!F43</f>
        <v>105600.00000000001</v>
      </c>
      <c r="F10" s="55">
        <f t="shared" si="0"/>
        <v>5274726.8905884912</v>
      </c>
      <c r="Q10" s="53" t="s">
        <v>28</v>
      </c>
      <c r="AG10" s="53" t="s">
        <v>29</v>
      </c>
      <c r="AH10" s="53" t="s">
        <v>28</v>
      </c>
      <c r="AI10" s="49" t="s">
        <v>30</v>
      </c>
    </row>
    <row r="11" spans="1:35">
      <c r="A11" s="161">
        <v>5</v>
      </c>
      <c r="B11" s="53" t="s">
        <v>31</v>
      </c>
      <c r="C11" s="55">
        <f>+C6*C36</f>
        <v>130200</v>
      </c>
      <c r="D11" s="55">
        <f>+D6*D36</f>
        <v>57120</v>
      </c>
      <c r="E11" s="55">
        <f>+E6*E36</f>
        <v>3360.0000000000005</v>
      </c>
      <c r="F11" s="55">
        <f t="shared" si="0"/>
        <v>190680</v>
      </c>
      <c r="Q11" s="53" t="s">
        <v>31</v>
      </c>
      <c r="AG11" s="53" t="s">
        <v>32</v>
      </c>
      <c r="AH11" s="53" t="s">
        <v>31</v>
      </c>
    </row>
    <row r="12" spans="1:35">
      <c r="A12" s="161">
        <v>6</v>
      </c>
      <c r="B12" s="53" t="s">
        <v>33</v>
      </c>
      <c r="C12" s="55">
        <f>+C6*C37</f>
        <v>51150</v>
      </c>
      <c r="D12" s="55">
        <f t="shared" ref="D12" si="3">+D6*D37</f>
        <v>22440</v>
      </c>
      <c r="E12" s="55">
        <f t="shared" ref="E12" si="4">+E6*E37</f>
        <v>1319.9999999999998</v>
      </c>
      <c r="F12" s="55">
        <f t="shared" si="0"/>
        <v>74910</v>
      </c>
      <c r="Q12" s="53" t="s">
        <v>33</v>
      </c>
      <c r="AG12" s="53" t="s">
        <v>34</v>
      </c>
      <c r="AH12" s="53" t="s">
        <v>33</v>
      </c>
    </row>
    <row r="13" spans="1:35">
      <c r="A13" s="161">
        <v>7</v>
      </c>
      <c r="B13" s="53" t="s">
        <v>35</v>
      </c>
      <c r="C13" s="55">
        <f>+C6*C38</f>
        <v>186000</v>
      </c>
      <c r="D13" s="55">
        <f t="shared" ref="D13" si="5">+D6*D38</f>
        <v>81600</v>
      </c>
      <c r="E13" s="55">
        <f t="shared" ref="E13" si="6">+E6*E38</f>
        <v>4800</v>
      </c>
      <c r="F13" s="55">
        <f t="shared" si="0"/>
        <v>272400</v>
      </c>
      <c r="Q13" s="53" t="s">
        <v>35</v>
      </c>
      <c r="AG13" s="53" t="s">
        <v>36</v>
      </c>
      <c r="AH13" s="53" t="s">
        <v>35</v>
      </c>
      <c r="AI13" s="49" t="s">
        <v>19</v>
      </c>
    </row>
    <row r="14" spans="1:35">
      <c r="A14" s="161">
        <v>8</v>
      </c>
      <c r="B14" s="56" t="s">
        <v>37</v>
      </c>
      <c r="C14" s="55">
        <f>SUM(C11:C13)</f>
        <v>367350</v>
      </c>
      <c r="D14" s="55">
        <f t="shared" ref="D14" si="7">SUM(D11:D13)</f>
        <v>161160</v>
      </c>
      <c r="E14" s="55">
        <f t="shared" ref="E14" si="8">SUM(E11:E13)</f>
        <v>9480</v>
      </c>
      <c r="F14" s="55">
        <f t="shared" si="0"/>
        <v>537990</v>
      </c>
      <c r="Q14" s="56" t="s">
        <v>37</v>
      </c>
      <c r="AG14" s="53" t="s">
        <v>38</v>
      </c>
      <c r="AH14" s="56" t="s">
        <v>37</v>
      </c>
    </row>
    <row r="15" spans="1:35">
      <c r="A15" s="161">
        <v>9</v>
      </c>
      <c r="B15" s="56" t="s">
        <v>39</v>
      </c>
      <c r="C15" s="55">
        <f>+C9-C10-C14</f>
        <v>581627.16889077658</v>
      </c>
      <c r="D15" s="55">
        <f t="shared" ref="D15" si="9">+D9-D10-D14</f>
        <v>410735.9405207322</v>
      </c>
      <c r="E15" s="55">
        <f t="shared" ref="E15" si="10">+E9-E10-E14</f>
        <v>4919.9999999999854</v>
      </c>
      <c r="F15" s="55">
        <f t="shared" si="0"/>
        <v>997283.10941150878</v>
      </c>
      <c r="Q15" s="56" t="s">
        <v>39</v>
      </c>
      <c r="AG15" s="53" t="s">
        <v>40</v>
      </c>
      <c r="AH15" s="56" t="s">
        <v>39</v>
      </c>
    </row>
    <row r="16" spans="1:35">
      <c r="A16" s="161">
        <v>10</v>
      </c>
      <c r="B16" s="53" t="s">
        <v>41</v>
      </c>
      <c r="C16" s="57">
        <f>+C15/C9</f>
        <v>0.12508111158941432</v>
      </c>
      <c r="D16" s="57">
        <f t="shared" ref="D16" si="11">+D15/D9</f>
        <v>0.20134114731408442</v>
      </c>
      <c r="E16" s="57">
        <f t="shared" ref="E16" si="12">+E15/E9</f>
        <v>4.0999999999999877E-2</v>
      </c>
      <c r="F16" s="57">
        <f t="shared" ref="F16" si="13">+F15/F9</f>
        <v>0.14644392208685886</v>
      </c>
      <c r="Q16" s="53" t="s">
        <v>41</v>
      </c>
      <c r="AG16" s="53" t="s">
        <v>42</v>
      </c>
      <c r="AH16" s="53" t="s">
        <v>41</v>
      </c>
    </row>
    <row r="17" spans="1:35">
      <c r="A17" s="161">
        <v>11</v>
      </c>
      <c r="B17" s="53" t="s">
        <v>43</v>
      </c>
      <c r="C17" s="55">
        <f>C6*C43+C18</f>
        <v>171800</v>
      </c>
      <c r="D17" s="55">
        <f t="shared" ref="D17" si="14">D6*D43+D18</f>
        <v>93500</v>
      </c>
      <c r="E17" s="55">
        <f t="shared" ref="E17" si="15">E6*E43+E18</f>
        <v>35900</v>
      </c>
      <c r="F17" s="55">
        <f>SUM(C17:E17)</f>
        <v>301200</v>
      </c>
      <c r="G17" s="70"/>
      <c r="Q17" s="53" t="s">
        <v>43</v>
      </c>
      <c r="AG17" s="53" t="s">
        <v>44</v>
      </c>
      <c r="AH17" s="53" t="s">
        <v>43</v>
      </c>
    </row>
    <row r="18" spans="1:35" s="47" customFormat="1">
      <c r="A18" s="161">
        <v>12</v>
      </c>
      <c r="B18" s="58" t="s">
        <v>147</v>
      </c>
      <c r="C18" s="59">
        <f>$F$18/$F$6*C6</f>
        <v>32300.000000000004</v>
      </c>
      <c r="D18" s="59">
        <f>$F$18/$F$6*D6</f>
        <v>32300.000000000004</v>
      </c>
      <c r="E18" s="59">
        <f>$F$18/$F$6*E6</f>
        <v>32300.000000000004</v>
      </c>
      <c r="F18" s="59">
        <f>项目投资!E26</f>
        <v>96900</v>
      </c>
      <c r="G18" s="71" t="s">
        <v>148</v>
      </c>
      <c r="H18" s="71"/>
      <c r="I18" s="71"/>
    </row>
    <row r="19" spans="1:35">
      <c r="A19" s="161">
        <v>13</v>
      </c>
      <c r="B19" s="53" t="s">
        <v>45</v>
      </c>
      <c r="C19" s="55">
        <f>C6*C44</f>
        <v>37200</v>
      </c>
      <c r="D19" s="55">
        <f t="shared" ref="D19" si="16">D6*D44</f>
        <v>16320.000000000002</v>
      </c>
      <c r="E19" s="55">
        <f t="shared" ref="E19" si="17">E6*E44</f>
        <v>960</v>
      </c>
      <c r="F19" s="55">
        <f>SUM(C19:E19)</f>
        <v>54480</v>
      </c>
      <c r="G19" s="47"/>
      <c r="Q19" s="53" t="s">
        <v>45</v>
      </c>
      <c r="AG19" s="53" t="s">
        <v>46</v>
      </c>
      <c r="AH19" s="53" t="s">
        <v>45</v>
      </c>
      <c r="AI19" s="49" t="s">
        <v>19</v>
      </c>
    </row>
    <row r="20" spans="1:35">
      <c r="A20" s="161">
        <v>14</v>
      </c>
      <c r="B20" s="53" t="s">
        <v>47</v>
      </c>
      <c r="C20" s="55">
        <f>C6*C45</f>
        <v>255750</v>
      </c>
      <c r="D20" s="55">
        <f t="shared" ref="D20" si="18">D6*D45</f>
        <v>112200</v>
      </c>
      <c r="E20" s="55">
        <f t="shared" ref="E20" si="19">E6*E45</f>
        <v>6600.0000000000009</v>
      </c>
      <c r="F20" s="55">
        <f>SUM(C20:E20)</f>
        <v>374550</v>
      </c>
      <c r="Q20" s="53" t="s">
        <v>47</v>
      </c>
      <c r="AG20" s="53" t="s">
        <v>48</v>
      </c>
      <c r="AH20" s="53" t="s">
        <v>47</v>
      </c>
    </row>
    <row r="21" spans="1:35">
      <c r="A21" s="161">
        <v>15</v>
      </c>
      <c r="B21" s="53" t="s">
        <v>49</v>
      </c>
      <c r="C21" s="60">
        <f>$F$21/$F$7*C7</f>
        <v>91042.584434654927</v>
      </c>
      <c r="D21" s="60">
        <f t="shared" ref="D21:E21" si="20">$F$21/$F$7*D7</f>
        <v>39941.262848751838</v>
      </c>
      <c r="E21" s="60">
        <f t="shared" si="20"/>
        <v>2349.4860499265787</v>
      </c>
      <c r="F21" s="55">
        <f>项目投资!E27</f>
        <v>133333.33333333334</v>
      </c>
      <c r="Q21" s="53" t="s">
        <v>49</v>
      </c>
      <c r="AG21" s="53"/>
      <c r="AH21" s="53"/>
    </row>
    <row r="22" spans="1:35">
      <c r="A22" s="161">
        <v>16</v>
      </c>
      <c r="B22" s="53" t="s">
        <v>50</v>
      </c>
      <c r="C22" s="55">
        <f>C6*C47</f>
        <v>99045</v>
      </c>
      <c r="D22" s="55">
        <f t="shared" ref="D22" si="21">D6*D47</f>
        <v>43452</v>
      </c>
      <c r="E22" s="55">
        <f t="shared" ref="E22" si="22">E6*E47</f>
        <v>2556</v>
      </c>
      <c r="F22" s="55">
        <f>SUM(C22:E22)</f>
        <v>145053</v>
      </c>
      <c r="Q22" s="53" t="s">
        <v>50</v>
      </c>
      <c r="AG22" s="53" t="s">
        <v>51</v>
      </c>
      <c r="AH22" s="53" t="s">
        <v>50</v>
      </c>
    </row>
    <row r="23" spans="1:35">
      <c r="A23" s="161">
        <v>17</v>
      </c>
      <c r="B23" s="56" t="s">
        <v>52</v>
      </c>
      <c r="C23" s="60">
        <f>+C22+C21+C20+C19+C17</f>
        <v>654837.58443465491</v>
      </c>
      <c r="D23" s="60">
        <f t="shared" ref="D23" si="23">+D22+D21+D20+D19+D17</f>
        <v>305413.26284875185</v>
      </c>
      <c r="E23" s="60">
        <f t="shared" ref="E23" si="24">+E22+E21+E20+E19+E17</f>
        <v>48365.486049926578</v>
      </c>
      <c r="F23" s="60">
        <f t="shared" ref="F23" si="25">+F22+F21+F20+F19+F17</f>
        <v>1008616.3333333334</v>
      </c>
      <c r="Q23" s="56" t="s">
        <v>52</v>
      </c>
      <c r="AG23" s="53" t="s">
        <v>53</v>
      </c>
      <c r="AH23" s="56" t="s">
        <v>52</v>
      </c>
    </row>
    <row r="24" spans="1:35">
      <c r="A24" s="161">
        <v>18</v>
      </c>
      <c r="B24" s="61" t="s">
        <v>54</v>
      </c>
      <c r="C24" s="60">
        <f>+C15-C23</f>
        <v>-73210.415543878335</v>
      </c>
      <c r="D24" s="60">
        <f t="shared" ref="D24" si="26">+D15-D23</f>
        <v>105322.67767198035</v>
      </c>
      <c r="E24" s="60">
        <f t="shared" ref="E24" si="27">+E15-E23</f>
        <v>-43445.486049926592</v>
      </c>
      <c r="F24" s="60">
        <f t="shared" ref="F24" si="28">+F15-F23</f>
        <v>-11333.223921824596</v>
      </c>
      <c r="H24" s="72"/>
      <c r="Q24" s="53" t="s">
        <v>54</v>
      </c>
      <c r="AG24" s="53" t="s">
        <v>55</v>
      </c>
      <c r="AH24" s="53" t="s">
        <v>54</v>
      </c>
    </row>
    <row r="25" spans="1:35">
      <c r="A25" s="161">
        <v>19</v>
      </c>
      <c r="B25" s="53" t="s">
        <v>247</v>
      </c>
      <c r="C25" s="60">
        <f t="shared" ref="C25:F25" si="29">IF(C24&lt;0,0,C24*0.15)</f>
        <v>0</v>
      </c>
      <c r="D25" s="60">
        <f t="shared" ref="D25" si="30">IF(D24&lt;0,0,D24*0.15)</f>
        <v>15798.401650797052</v>
      </c>
      <c r="E25" s="60">
        <f t="shared" si="29"/>
        <v>0</v>
      </c>
      <c r="F25" s="60">
        <f t="shared" si="29"/>
        <v>0</v>
      </c>
      <c r="G25" s="68"/>
      <c r="H25" s="68"/>
      <c r="I25" s="68"/>
      <c r="Q25" s="53" t="s">
        <v>56</v>
      </c>
      <c r="AG25" s="53" t="s">
        <v>57</v>
      </c>
      <c r="AH25" s="53" t="s">
        <v>56</v>
      </c>
    </row>
    <row r="26" spans="1:35">
      <c r="A26" s="161">
        <v>20</v>
      </c>
      <c r="B26" s="53" t="s">
        <v>58</v>
      </c>
      <c r="C26" s="60">
        <f t="shared" ref="C26:E26" si="31">C24-C25</f>
        <v>-73210.415543878335</v>
      </c>
      <c r="D26" s="60">
        <f t="shared" ref="D26" si="32">D24-D25</f>
        <v>89524.276021183294</v>
      </c>
      <c r="E26" s="60">
        <f t="shared" si="31"/>
        <v>-43445.486049926592</v>
      </c>
      <c r="F26" s="55">
        <f>F24-F25</f>
        <v>-11333.223921824596</v>
      </c>
      <c r="G26" s="68"/>
      <c r="H26" s="68"/>
      <c r="I26" s="68"/>
      <c r="Q26" s="53" t="s">
        <v>58</v>
      </c>
      <c r="AG26" s="53" t="s">
        <v>59</v>
      </c>
      <c r="AH26" s="53" t="s">
        <v>58</v>
      </c>
    </row>
    <row r="27" spans="1:35">
      <c r="A27" s="161">
        <v>21</v>
      </c>
      <c r="B27" s="53" t="s">
        <v>62</v>
      </c>
      <c r="C27" s="62">
        <f t="shared" ref="C27:F27" si="33">C26/C7</f>
        <v>-1.5744175385780285E-2</v>
      </c>
      <c r="D27" s="62">
        <f t="shared" si="33"/>
        <v>4.3884449029991814E-2</v>
      </c>
      <c r="E27" s="62">
        <f t="shared" ref="E27" si="34">E26/E7</f>
        <v>-0.3620457170827216</v>
      </c>
      <c r="F27" s="62">
        <f t="shared" si="33"/>
        <v>-1.6642032190638174E-3</v>
      </c>
      <c r="G27" s="68"/>
      <c r="H27" s="68"/>
      <c r="I27" s="68"/>
      <c r="Q27" s="53" t="s">
        <v>62</v>
      </c>
      <c r="AG27" s="53" t="s">
        <v>61</v>
      </c>
      <c r="AH27" s="53" t="s">
        <v>62</v>
      </c>
    </row>
    <row r="28" spans="1:35">
      <c r="G28" s="68"/>
      <c r="H28" s="68"/>
      <c r="I28" s="68"/>
      <c r="Q28" s="53"/>
    </row>
    <row r="29" spans="1:35">
      <c r="A29" s="49" t="s">
        <v>63</v>
      </c>
      <c r="F29" s="50" t="s">
        <v>149</v>
      </c>
      <c r="G29" s="68"/>
      <c r="H29" s="68"/>
      <c r="I29" s="68"/>
      <c r="Q29" s="53"/>
      <c r="AG29" s="49" t="s">
        <v>63</v>
      </c>
    </row>
    <row r="30" spans="1:35">
      <c r="A30" s="53" t="s">
        <v>66</v>
      </c>
      <c r="B30" s="56" t="s">
        <v>67</v>
      </c>
      <c r="C30" s="60"/>
      <c r="D30" s="60"/>
      <c r="E30" s="60"/>
      <c r="F30" s="60"/>
      <c r="G30" s="68"/>
      <c r="H30" s="68"/>
      <c r="I30" s="68"/>
      <c r="K30" s="68"/>
      <c r="Q30" s="56" t="s">
        <v>67</v>
      </c>
      <c r="AG30" s="53" t="s">
        <v>68</v>
      </c>
      <c r="AH30" s="56" t="s">
        <v>67</v>
      </c>
    </row>
    <row r="31" spans="1:35">
      <c r="A31" s="161">
        <v>1</v>
      </c>
      <c r="B31" s="58" t="s">
        <v>69</v>
      </c>
      <c r="C31" s="64">
        <f>销量!C8</f>
        <v>1550</v>
      </c>
      <c r="D31" s="64">
        <f>销量!C8</f>
        <v>1550</v>
      </c>
      <c r="E31" s="64">
        <f>销量!D8</f>
        <v>680</v>
      </c>
      <c r="F31" s="60"/>
      <c r="G31" s="68"/>
      <c r="H31" s="68"/>
      <c r="I31" s="68"/>
      <c r="K31" s="68"/>
      <c r="Q31" s="53" t="s">
        <v>69</v>
      </c>
      <c r="AG31" s="53" t="s">
        <v>21</v>
      </c>
      <c r="AH31" s="53" t="s">
        <v>69</v>
      </c>
    </row>
    <row r="32" spans="1:35">
      <c r="A32" s="161">
        <v>2</v>
      </c>
      <c r="B32" s="53" t="s">
        <v>150</v>
      </c>
      <c r="C32" s="55">
        <f>C9/C6</f>
        <v>1550</v>
      </c>
      <c r="D32" s="55">
        <f t="shared" ref="D32" si="35">D9/D6</f>
        <v>680</v>
      </c>
      <c r="E32" s="55">
        <f t="shared" ref="E32" si="36">E9/E6</f>
        <v>40</v>
      </c>
      <c r="F32" s="60"/>
      <c r="G32" s="68"/>
      <c r="H32" s="68"/>
      <c r="I32" s="68"/>
      <c r="J32" s="68"/>
      <c r="K32" s="68"/>
      <c r="L32" s="68"/>
      <c r="M32" s="68"/>
      <c r="AG32" s="53"/>
      <c r="AH32" s="53"/>
    </row>
    <row r="33" spans="1:34">
      <c r="A33" s="161">
        <v>3</v>
      </c>
      <c r="B33" s="58" t="s">
        <v>70</v>
      </c>
      <c r="C33" s="55">
        <f>材料成本!F41</f>
        <v>1233.6742770364078</v>
      </c>
      <c r="D33" s="55">
        <f>材料成本!F42</f>
        <v>489.3680198264226</v>
      </c>
      <c r="E33" s="55">
        <f>材料成本!F43</f>
        <v>35.200000000000003</v>
      </c>
      <c r="F33" s="60"/>
      <c r="H33" s="68"/>
      <c r="I33" s="68"/>
      <c r="J33" s="68"/>
      <c r="K33" s="68"/>
      <c r="L33" s="68"/>
      <c r="M33" s="68"/>
      <c r="Q33" s="53" t="s">
        <v>70</v>
      </c>
      <c r="AG33" s="53" t="s">
        <v>23</v>
      </c>
      <c r="AH33" s="53" t="s">
        <v>70</v>
      </c>
    </row>
    <row r="34" spans="1:34" ht="17.25" customHeight="1">
      <c r="A34" s="161">
        <v>4</v>
      </c>
      <c r="B34" s="53" t="s">
        <v>72</v>
      </c>
      <c r="C34" s="65">
        <f>C32-C33</f>
        <v>316.32572296359217</v>
      </c>
      <c r="D34" s="65">
        <f t="shared" ref="D34" si="37">D32-D33</f>
        <v>190.6319801735774</v>
      </c>
      <c r="E34" s="65">
        <f t="shared" ref="E34" si="38">E32-E33</f>
        <v>4.7999999999999972</v>
      </c>
      <c r="F34" s="60"/>
      <c r="H34" s="68"/>
      <c r="I34" s="68"/>
      <c r="J34" s="68"/>
      <c r="K34" s="68"/>
      <c r="L34" s="68"/>
      <c r="M34" s="68"/>
      <c r="Q34" s="53" t="s">
        <v>72</v>
      </c>
      <c r="AG34" s="53" t="s">
        <v>71</v>
      </c>
      <c r="AH34" s="53" t="s">
        <v>72</v>
      </c>
    </row>
    <row r="35" spans="1:34">
      <c r="A35" s="53" t="s">
        <v>68</v>
      </c>
      <c r="B35" s="56" t="s">
        <v>9</v>
      </c>
      <c r="C35" s="60"/>
      <c r="D35" s="60"/>
      <c r="E35" s="60"/>
      <c r="F35" s="60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56" t="s">
        <v>9</v>
      </c>
      <c r="AG35" s="53" t="s">
        <v>74</v>
      </c>
      <c r="AH35" s="56" t="s">
        <v>9</v>
      </c>
    </row>
    <row r="36" spans="1:34">
      <c r="A36" s="161">
        <v>1</v>
      </c>
      <c r="B36" s="53" t="s">
        <v>75</v>
      </c>
      <c r="C36" s="59">
        <f>标准成本!E4</f>
        <v>43.4</v>
      </c>
      <c r="D36" s="59">
        <f>标准成本!E18</f>
        <v>19.04</v>
      </c>
      <c r="E36" s="59">
        <f>标准成本!E32</f>
        <v>1.1200000000000001</v>
      </c>
      <c r="F36" s="64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53" t="s">
        <v>75</v>
      </c>
      <c r="AG36" s="53" t="s">
        <v>71</v>
      </c>
      <c r="AH36" s="53" t="s">
        <v>75</v>
      </c>
    </row>
    <row r="37" spans="1:34">
      <c r="A37" s="161">
        <v>2</v>
      </c>
      <c r="B37" s="53" t="s">
        <v>76</v>
      </c>
      <c r="C37" s="59">
        <f>标准成本!E6</f>
        <v>17.05</v>
      </c>
      <c r="D37" s="59">
        <f>标准成本!E20</f>
        <v>7.4799999999999995</v>
      </c>
      <c r="E37" s="59">
        <f>标准成本!E34</f>
        <v>0.43999999999999995</v>
      </c>
      <c r="F37" s="64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53" t="s">
        <v>76</v>
      </c>
      <c r="AG37" s="53" t="s">
        <v>26</v>
      </c>
      <c r="AH37" s="53" t="s">
        <v>76</v>
      </c>
    </row>
    <row r="38" spans="1:34">
      <c r="A38" s="161">
        <v>3</v>
      </c>
      <c r="B38" s="53" t="s">
        <v>77</v>
      </c>
      <c r="C38" s="59">
        <f>标准成本!E10</f>
        <v>62</v>
      </c>
      <c r="D38" s="59">
        <f>标准成本!E24</f>
        <v>27.2</v>
      </c>
      <c r="E38" s="59">
        <f>标准成本!E38</f>
        <v>1.6</v>
      </c>
      <c r="F38" s="64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53" t="s">
        <v>77</v>
      </c>
      <c r="AG38" s="53" t="s">
        <v>32</v>
      </c>
      <c r="AH38" s="53" t="s">
        <v>77</v>
      </c>
    </row>
    <row r="39" spans="1:34">
      <c r="A39" s="53" t="s">
        <v>74</v>
      </c>
      <c r="B39" s="56" t="s">
        <v>79</v>
      </c>
      <c r="C39" s="60"/>
      <c r="D39" s="60"/>
      <c r="E39" s="60"/>
      <c r="F39" s="60"/>
      <c r="Q39" s="56" t="s">
        <v>79</v>
      </c>
      <c r="AG39" s="53" t="s">
        <v>78</v>
      </c>
      <c r="AH39" s="56" t="s">
        <v>79</v>
      </c>
    </row>
    <row r="40" spans="1:34">
      <c r="A40" s="161">
        <v>1</v>
      </c>
      <c r="B40" s="53" t="s">
        <v>81</v>
      </c>
      <c r="C40" s="60">
        <f>C34-C36-C37-C38</f>
        <v>193.87572296359218</v>
      </c>
      <c r="D40" s="60">
        <f t="shared" ref="D40" si="39">D34-D36-D37-D38</f>
        <v>136.91198017357743</v>
      </c>
      <c r="E40" s="60">
        <f t="shared" ref="E40" si="40">E34-E36-E37-E38</f>
        <v>1.639999999999997</v>
      </c>
      <c r="F40" s="60"/>
      <c r="Q40" s="53" t="s">
        <v>81</v>
      </c>
      <c r="AG40" s="53" t="s">
        <v>21</v>
      </c>
      <c r="AH40" s="53" t="s">
        <v>81</v>
      </c>
    </row>
    <row r="41" spans="1:34">
      <c r="A41" s="161">
        <v>2</v>
      </c>
      <c r="B41" s="53" t="s">
        <v>82</v>
      </c>
      <c r="C41" s="60"/>
      <c r="D41" s="60"/>
      <c r="E41" s="60"/>
      <c r="F41" s="60"/>
      <c r="Q41" s="53" t="s">
        <v>82</v>
      </c>
      <c r="AG41" s="53" t="s">
        <v>23</v>
      </c>
      <c r="AH41" s="53" t="s">
        <v>82</v>
      </c>
    </row>
    <row r="42" spans="1:34">
      <c r="A42" s="53" t="s">
        <v>78</v>
      </c>
      <c r="B42" s="56" t="s">
        <v>84</v>
      </c>
      <c r="C42" s="60"/>
      <c r="D42" s="60"/>
      <c r="E42" s="60"/>
      <c r="F42" s="60"/>
      <c r="Q42" s="56" t="s">
        <v>84</v>
      </c>
      <c r="AG42" s="53" t="s">
        <v>83</v>
      </c>
      <c r="AH42" s="56" t="s">
        <v>84</v>
      </c>
    </row>
    <row r="43" spans="1:34">
      <c r="A43" s="161">
        <v>1</v>
      </c>
      <c r="B43" s="61" t="s">
        <v>85</v>
      </c>
      <c r="C43" s="59">
        <f>标准成本!E5</f>
        <v>46.5</v>
      </c>
      <c r="D43" s="59">
        <f>标准成本!E19</f>
        <v>20.399999999999999</v>
      </c>
      <c r="E43" s="59">
        <f>标准成本!E33</f>
        <v>1.2</v>
      </c>
      <c r="F43" s="60"/>
      <c r="Q43" s="53" t="s">
        <v>85</v>
      </c>
      <c r="AG43" s="53" t="s">
        <v>21</v>
      </c>
      <c r="AH43" s="53" t="s">
        <v>85</v>
      </c>
    </row>
    <row r="44" spans="1:34">
      <c r="A44" s="161">
        <v>2</v>
      </c>
      <c r="B44" s="61" t="s">
        <v>86</v>
      </c>
      <c r="C44" s="59">
        <f>标准成本!E9</f>
        <v>12.4</v>
      </c>
      <c r="D44" s="59">
        <f>标准成本!E23</f>
        <v>5.44</v>
      </c>
      <c r="E44" s="59">
        <f>标准成本!E37</f>
        <v>0.32</v>
      </c>
      <c r="F44" s="60"/>
      <c r="Q44" s="53" t="s">
        <v>86</v>
      </c>
      <c r="AG44" s="53" t="s">
        <v>23</v>
      </c>
      <c r="AH44" s="53" t="s">
        <v>86</v>
      </c>
    </row>
    <row r="45" spans="1:34">
      <c r="A45" s="161">
        <v>3</v>
      </c>
      <c r="B45" s="61" t="s">
        <v>87</v>
      </c>
      <c r="C45" s="59">
        <f>标准成本!E8</f>
        <v>85.25</v>
      </c>
      <c r="D45" s="59">
        <f>标准成本!E22</f>
        <v>37.4</v>
      </c>
      <c r="E45" s="59">
        <f>标准成本!E36</f>
        <v>2.2000000000000002</v>
      </c>
      <c r="F45" s="60"/>
      <c r="Q45" s="53" t="s">
        <v>87</v>
      </c>
      <c r="AG45" s="53" t="s">
        <v>71</v>
      </c>
      <c r="AH45" s="53" t="s">
        <v>87</v>
      </c>
    </row>
    <row r="46" spans="1:34" s="48" customFormat="1">
      <c r="A46" s="161">
        <v>4</v>
      </c>
      <c r="B46" s="61" t="s">
        <v>88</v>
      </c>
      <c r="C46" s="66">
        <f>C21/C6</f>
        <v>30.347528144884976</v>
      </c>
      <c r="D46" s="66">
        <f t="shared" ref="D46" si="41">D21/D6</f>
        <v>13.313754282917278</v>
      </c>
      <c r="E46" s="66">
        <f t="shared" ref="E46" si="42">E21/E6</f>
        <v>0.78316201664219287</v>
      </c>
      <c r="F46" s="66"/>
      <c r="Q46" s="61" t="s">
        <v>90</v>
      </c>
      <c r="AG46" s="61" t="s">
        <v>29</v>
      </c>
      <c r="AH46" s="61" t="s">
        <v>90</v>
      </c>
    </row>
    <row r="47" spans="1:34" s="48" customFormat="1">
      <c r="A47" s="161">
        <v>5</v>
      </c>
      <c r="B47" s="61" t="s">
        <v>90</v>
      </c>
      <c r="C47" s="59">
        <f>标准成本!E11</f>
        <v>33.015000000000001</v>
      </c>
      <c r="D47" s="59">
        <f>标准成本!E25</f>
        <v>14.484</v>
      </c>
      <c r="E47" s="59">
        <f>标准成本!E39</f>
        <v>0.85199999999999998</v>
      </c>
      <c r="F47" s="66"/>
      <c r="Q47" s="61" t="s">
        <v>90</v>
      </c>
      <c r="AG47" s="61" t="s">
        <v>29</v>
      </c>
      <c r="AH47" s="61" t="s">
        <v>90</v>
      </c>
    </row>
    <row r="48" spans="1:34">
      <c r="A48" s="53" t="s">
        <v>83</v>
      </c>
      <c r="B48" s="56" t="s">
        <v>101</v>
      </c>
      <c r="C48" s="60">
        <f>C40-C43-C44-C45-C47-C46</f>
        <v>-13.6368051812928</v>
      </c>
      <c r="D48" s="60">
        <f t="shared" ref="D48" si="43">D40-D43-D44-D45-D47-D46</f>
        <v>45.874225890660142</v>
      </c>
      <c r="E48" s="60">
        <f t="shared" ref="E48" si="44">E40-E43-E44-E45-E47-E46</f>
        <v>-3.7151620166421959</v>
      </c>
      <c r="F48" s="60"/>
      <c r="Q48" s="56" t="s">
        <v>101</v>
      </c>
      <c r="AG48" s="53" t="s">
        <v>100</v>
      </c>
      <c r="AH48" s="56" t="s">
        <v>101</v>
      </c>
    </row>
    <row r="51" spans="2:11">
      <c r="C51" s="67"/>
      <c r="D51" s="67"/>
      <c r="E51" s="67"/>
    </row>
    <row r="54" spans="2:11">
      <c r="B54" s="68"/>
      <c r="C54" s="69"/>
      <c r="D54" s="69"/>
      <c r="E54" s="69"/>
      <c r="F54" s="69"/>
      <c r="G54" s="68"/>
      <c r="H54" s="68"/>
      <c r="I54" s="68"/>
      <c r="J54" s="68"/>
      <c r="K54" s="68"/>
    </row>
    <row r="55" spans="2:11">
      <c r="B55" s="68"/>
      <c r="C55" s="69"/>
      <c r="D55" s="69"/>
      <c r="E55" s="69"/>
      <c r="F55" s="69"/>
      <c r="G55" s="68"/>
      <c r="H55" s="68"/>
      <c r="I55" s="68"/>
      <c r="J55" s="68"/>
      <c r="K55" s="68"/>
    </row>
    <row r="56" spans="2:11">
      <c r="B56" s="68"/>
      <c r="C56" s="69"/>
      <c r="D56" s="69"/>
      <c r="E56" s="69"/>
      <c r="F56" s="69"/>
      <c r="G56" s="68"/>
      <c r="H56" s="68"/>
      <c r="I56" s="68"/>
      <c r="J56" s="68"/>
      <c r="K56" s="68"/>
    </row>
    <row r="57" spans="2:11">
      <c r="B57" s="68"/>
      <c r="C57" s="69"/>
      <c r="D57" s="69"/>
      <c r="E57" s="69"/>
      <c r="F57" s="69"/>
      <c r="G57" s="68"/>
      <c r="H57" s="68"/>
      <c r="I57" s="68"/>
      <c r="J57" s="68"/>
      <c r="K57" s="68"/>
    </row>
    <row r="58" spans="2:11">
      <c r="B58" s="68"/>
      <c r="C58" s="69"/>
      <c r="D58" s="69"/>
      <c r="E58" s="69"/>
      <c r="F58" s="69"/>
      <c r="G58" s="68"/>
      <c r="H58" s="68"/>
      <c r="I58" s="68"/>
      <c r="J58" s="68"/>
      <c r="K58" s="68"/>
    </row>
    <row r="59" spans="2:11">
      <c r="B59" s="68"/>
      <c r="C59" s="69"/>
      <c r="D59" s="69"/>
      <c r="E59" s="69"/>
      <c r="F59" s="69"/>
      <c r="G59" s="68"/>
      <c r="H59" s="68"/>
      <c r="I59" s="68"/>
      <c r="J59" s="68"/>
      <c r="K59" s="68"/>
    </row>
    <row r="60" spans="2:11">
      <c r="B60" s="68"/>
      <c r="C60" s="69"/>
      <c r="D60" s="69"/>
      <c r="E60" s="69"/>
      <c r="F60" s="69"/>
      <c r="G60" s="68"/>
      <c r="H60" s="68"/>
      <c r="I60" s="68"/>
      <c r="J60" s="68"/>
      <c r="K60" s="68"/>
    </row>
    <row r="61" spans="2:11">
      <c r="B61" s="68"/>
      <c r="C61" s="69"/>
      <c r="D61" s="69"/>
      <c r="E61" s="69"/>
      <c r="F61" s="69"/>
      <c r="G61" s="68"/>
      <c r="H61" s="68"/>
      <c r="I61" s="68"/>
      <c r="J61" s="68"/>
      <c r="K61" s="68"/>
    </row>
    <row r="62" spans="2:11">
      <c r="B62" s="68"/>
      <c r="C62" s="69"/>
      <c r="D62" s="69"/>
      <c r="E62" s="69"/>
      <c r="F62" s="69"/>
      <c r="G62" s="68"/>
      <c r="H62" s="68"/>
      <c r="I62" s="68"/>
      <c r="J62" s="68"/>
      <c r="K62" s="68"/>
    </row>
    <row r="63" spans="2:11">
      <c r="B63" s="68"/>
      <c r="C63" s="69"/>
      <c r="D63" s="69"/>
      <c r="E63" s="69"/>
      <c r="F63" s="69"/>
      <c r="G63" s="68"/>
      <c r="H63" s="68"/>
      <c r="I63" s="68"/>
      <c r="J63" s="68"/>
      <c r="K63" s="68"/>
    </row>
    <row r="64" spans="2:11">
      <c r="B64" s="68"/>
      <c r="C64" s="69"/>
      <c r="D64" s="69"/>
      <c r="E64" s="69"/>
      <c r="F64" s="69"/>
      <c r="G64" s="68"/>
      <c r="H64" s="68"/>
      <c r="I64" s="68"/>
      <c r="J64" s="68"/>
      <c r="K64" s="68"/>
    </row>
    <row r="65" spans="2:11">
      <c r="B65" s="68"/>
      <c r="C65" s="69"/>
      <c r="D65" s="69"/>
      <c r="E65" s="69"/>
      <c r="F65" s="69"/>
      <c r="G65" s="68"/>
      <c r="H65" s="68"/>
      <c r="I65" s="68"/>
      <c r="J65" s="68"/>
      <c r="K65" s="68"/>
    </row>
    <row r="66" spans="2:11">
      <c r="B66" s="68"/>
      <c r="C66" s="69"/>
      <c r="D66" s="69"/>
      <c r="E66" s="69"/>
      <c r="F66" s="69"/>
      <c r="G66" s="68"/>
      <c r="H66" s="68"/>
      <c r="I66" s="68"/>
      <c r="J66" s="68"/>
      <c r="K66" s="68"/>
    </row>
    <row r="67" spans="2:11">
      <c r="B67" s="68"/>
      <c r="C67" s="69"/>
      <c r="D67" s="69"/>
      <c r="E67" s="69"/>
      <c r="F67" s="69"/>
      <c r="G67" s="68"/>
    </row>
    <row r="68" spans="2:11">
      <c r="B68" s="68"/>
      <c r="C68" s="69"/>
      <c r="D68" s="69"/>
      <c r="E68" s="69"/>
      <c r="F68" s="69"/>
      <c r="G68" s="68"/>
    </row>
    <row r="69" spans="2:11">
      <c r="B69" s="68"/>
      <c r="C69" s="69"/>
      <c r="D69" s="69"/>
      <c r="E69" s="69"/>
      <c r="F69" s="69"/>
      <c r="G69" s="68"/>
    </row>
    <row r="70" spans="2:11">
      <c r="B70" s="68"/>
      <c r="C70" s="69"/>
      <c r="D70" s="69"/>
      <c r="E70" s="69"/>
      <c r="F70" s="69"/>
      <c r="G70" s="68"/>
    </row>
    <row r="71" spans="2:11">
      <c r="B71" s="68"/>
      <c r="C71" s="69"/>
      <c r="D71" s="69"/>
      <c r="E71" s="69"/>
      <c r="F71" s="69"/>
      <c r="G71" s="68"/>
    </row>
    <row r="72" spans="2:11">
      <c r="B72" s="68"/>
      <c r="C72" s="69"/>
      <c r="D72" s="69"/>
      <c r="E72" s="69"/>
      <c r="F72" s="69"/>
      <c r="G72" s="68"/>
    </row>
    <row r="73" spans="2:11">
      <c r="B73" s="68"/>
      <c r="C73" s="69"/>
      <c r="D73" s="69"/>
      <c r="E73" s="69"/>
      <c r="F73" s="69"/>
      <c r="G73" s="68"/>
    </row>
    <row r="74" spans="2:11">
      <c r="B74" s="68"/>
      <c r="C74" s="69"/>
      <c r="D74" s="69"/>
      <c r="E74" s="69"/>
      <c r="F74" s="69"/>
      <c r="G74" s="68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38" activePane="bottomRight" state="frozen"/>
      <selection pane="topRight"/>
      <selection pane="bottomLeft"/>
      <selection pane="bottomRight" activeCell="C21" sqref="C21:E21"/>
    </sheetView>
  </sheetViews>
  <sheetFormatPr defaultColWidth="9" defaultRowHeight="16.5"/>
  <cols>
    <col min="1" max="1" width="5.125" style="49" customWidth="1"/>
    <col min="2" max="2" width="17.5" style="49" customWidth="1"/>
    <col min="3" max="4" width="13.25" style="50" customWidth="1"/>
    <col min="5" max="5" width="14" style="50" bestFit="1" customWidth="1"/>
    <col min="6" max="6" width="18.75" style="50" customWidth="1"/>
    <col min="7" max="7" width="12.375" style="49" customWidth="1"/>
    <col min="8" max="8" width="10.125" style="49" customWidth="1"/>
    <col min="9" max="15" width="9" style="49" customWidth="1"/>
    <col min="16" max="32" width="9" style="49"/>
    <col min="33" max="33" width="4.375" style="49" customWidth="1"/>
    <col min="34" max="34" width="13.875" style="49" customWidth="1"/>
    <col min="35" max="16384" width="9" style="49"/>
  </cols>
  <sheetData>
    <row r="1" spans="1:35">
      <c r="A1" s="240" t="s">
        <v>141</v>
      </c>
      <c r="B1" s="240"/>
      <c r="C1" s="241" t="s">
        <v>239</v>
      </c>
      <c r="D1" s="242"/>
      <c r="E1" s="242"/>
      <c r="F1" s="243"/>
    </row>
    <row r="2" spans="1:35">
      <c r="A2" s="240" t="s">
        <v>142</v>
      </c>
      <c r="B2" s="240"/>
      <c r="C2" s="244" t="str">
        <f>'2023年'!C2:F2</f>
        <v>陕汽重型汽车有限公司</v>
      </c>
      <c r="D2" s="244"/>
      <c r="E2" s="244"/>
      <c r="F2" s="244"/>
    </row>
    <row r="3" spans="1:35" ht="28.5">
      <c r="A3" s="240" t="s">
        <v>143</v>
      </c>
      <c r="B3" s="240"/>
      <c r="C3" s="162" t="str">
        <f>'2023年'!C3</f>
        <v>H5000S经济型空气主座椅</v>
      </c>
      <c r="D3" s="162" t="str">
        <f>'2023年'!D3</f>
        <v>副座椅</v>
      </c>
      <c r="E3" s="162" t="str">
        <f>'2023年'!E3</f>
        <v>底支架</v>
      </c>
      <c r="F3" s="245" t="s">
        <v>17</v>
      </c>
    </row>
    <row r="4" spans="1:35">
      <c r="A4" s="240" t="s">
        <v>144</v>
      </c>
      <c r="B4" s="240"/>
      <c r="C4" s="162" t="str">
        <f>'2023年'!C4</f>
        <v>DZ16231510230</v>
      </c>
      <c r="D4" s="162" t="str">
        <f>'2023年'!D4</f>
        <v>暂无</v>
      </c>
      <c r="E4" s="162" t="str">
        <f>'2023年'!E4</f>
        <v>暂无</v>
      </c>
      <c r="F4" s="246"/>
    </row>
    <row r="5" spans="1:35">
      <c r="A5" s="240" t="s">
        <v>145</v>
      </c>
      <c r="B5" s="240"/>
      <c r="C5" s="52"/>
      <c r="D5" s="52"/>
      <c r="E5" s="52"/>
      <c r="F5" s="247"/>
      <c r="AI5" s="49" t="s">
        <v>18</v>
      </c>
    </row>
    <row r="6" spans="1:35" ht="17.25">
      <c r="A6" s="53" t="s">
        <v>15</v>
      </c>
      <c r="B6" s="54" t="s">
        <v>146</v>
      </c>
      <c r="C6" s="23">
        <f>销量!C11</f>
        <v>5000</v>
      </c>
      <c r="D6" s="23">
        <f>销量!D11</f>
        <v>5000</v>
      </c>
      <c r="E6" s="23">
        <f>销量!E11</f>
        <v>5000</v>
      </c>
      <c r="F6" s="55">
        <f t="shared" ref="F6:F15" si="0">SUM(C6:E6)</f>
        <v>15000</v>
      </c>
      <c r="Q6" s="54" t="s">
        <v>3</v>
      </c>
      <c r="AG6" s="53" t="s">
        <v>15</v>
      </c>
      <c r="AH6" s="54" t="s">
        <v>3</v>
      </c>
      <c r="AI6" s="49" t="s">
        <v>19</v>
      </c>
    </row>
    <row r="7" spans="1:35">
      <c r="A7" s="161">
        <v>1</v>
      </c>
      <c r="B7" s="54" t="s">
        <v>20</v>
      </c>
      <c r="C7" s="55">
        <f>C6*销量!C8</f>
        <v>7750000</v>
      </c>
      <c r="D7" s="55">
        <f>D6*销量!D8</f>
        <v>3400000</v>
      </c>
      <c r="E7" s="55">
        <f>E6*销量!E8</f>
        <v>200000</v>
      </c>
      <c r="F7" s="55">
        <f t="shared" si="0"/>
        <v>11350000</v>
      </c>
      <c r="G7" s="50"/>
      <c r="Q7" s="54" t="s">
        <v>20</v>
      </c>
      <c r="AG7" s="53" t="s">
        <v>21</v>
      </c>
      <c r="AH7" s="54" t="s">
        <v>20</v>
      </c>
      <c r="AI7" s="49" t="s">
        <v>19</v>
      </c>
    </row>
    <row r="8" spans="1:35">
      <c r="A8" s="161">
        <v>2</v>
      </c>
      <c r="B8" s="161" t="s">
        <v>22</v>
      </c>
      <c r="C8" s="55">
        <f>C7*(1-销量!$L$7)</f>
        <v>310000.00000000029</v>
      </c>
      <c r="D8" s="55">
        <f>D7*(1-销量!$L$7)</f>
        <v>136000.00000000012</v>
      </c>
      <c r="E8" s="55">
        <f>E7*(1-销量!$L$7)</f>
        <v>8000.0000000000073</v>
      </c>
      <c r="F8" s="55">
        <f t="shared" si="0"/>
        <v>454000.00000000041</v>
      </c>
      <c r="G8" s="70"/>
      <c r="Q8" s="161" t="s">
        <v>24</v>
      </c>
      <c r="AG8" s="53" t="s">
        <v>23</v>
      </c>
      <c r="AH8" s="161" t="s">
        <v>24</v>
      </c>
      <c r="AI8" s="49" t="s">
        <v>19</v>
      </c>
    </row>
    <row r="9" spans="1:35">
      <c r="A9" s="161">
        <v>3</v>
      </c>
      <c r="B9" s="54" t="s">
        <v>25</v>
      </c>
      <c r="C9" s="55">
        <f>+C7-C8</f>
        <v>7440000</v>
      </c>
      <c r="D9" s="55">
        <f t="shared" ref="D9:E9" si="1">+D7-D8</f>
        <v>3264000</v>
      </c>
      <c r="E9" s="55">
        <f t="shared" si="1"/>
        <v>192000</v>
      </c>
      <c r="F9" s="55">
        <f t="shared" si="0"/>
        <v>10896000</v>
      </c>
      <c r="Q9" s="54" t="s">
        <v>25</v>
      </c>
      <c r="AG9" s="53" t="s">
        <v>26</v>
      </c>
      <c r="AH9" s="54" t="s">
        <v>25</v>
      </c>
      <c r="AI9" s="49" t="s">
        <v>27</v>
      </c>
    </row>
    <row r="10" spans="1:35">
      <c r="A10" s="161">
        <v>4</v>
      </c>
      <c r="B10" s="53" t="s">
        <v>28</v>
      </c>
      <c r="C10" s="55">
        <f>C6*材料成本!G41</f>
        <v>5921636.5297747571</v>
      </c>
      <c r="D10" s="55">
        <f>D6*材料成本!G42</f>
        <v>2348966.4951668284</v>
      </c>
      <c r="E10" s="55">
        <f>E6*材料成本!G43</f>
        <v>168960</v>
      </c>
      <c r="F10" s="55">
        <f t="shared" si="0"/>
        <v>8439563.024941586</v>
      </c>
      <c r="Q10" s="53" t="s">
        <v>28</v>
      </c>
      <c r="AG10" s="53" t="s">
        <v>29</v>
      </c>
      <c r="AH10" s="53" t="s">
        <v>28</v>
      </c>
      <c r="AI10" s="49" t="s">
        <v>30</v>
      </c>
    </row>
    <row r="11" spans="1:35">
      <c r="A11" s="161">
        <v>5</v>
      </c>
      <c r="B11" s="53" t="s">
        <v>31</v>
      </c>
      <c r="C11" s="55">
        <f>+C6*C36</f>
        <v>217000</v>
      </c>
      <c r="D11" s="55">
        <f>+D6*D36</f>
        <v>95200</v>
      </c>
      <c r="E11" s="55">
        <f t="shared" ref="E11" si="2">+E6*E36</f>
        <v>5600.0000000000009</v>
      </c>
      <c r="F11" s="55">
        <f t="shared" si="0"/>
        <v>317800</v>
      </c>
      <c r="Q11" s="53" t="s">
        <v>31</v>
      </c>
      <c r="AG11" s="53" t="s">
        <v>32</v>
      </c>
      <c r="AH11" s="53" t="s">
        <v>31</v>
      </c>
    </row>
    <row r="12" spans="1:35">
      <c r="A12" s="161">
        <v>6</v>
      </c>
      <c r="B12" s="53" t="s">
        <v>33</v>
      </c>
      <c r="C12" s="55">
        <f>+C6*C37</f>
        <v>85250</v>
      </c>
      <c r="D12" s="55">
        <f>+D6*D37</f>
        <v>37400</v>
      </c>
      <c r="E12" s="55">
        <f t="shared" ref="E12" si="3">+E6*E37</f>
        <v>2199.9999999999995</v>
      </c>
      <c r="F12" s="55">
        <f t="shared" si="0"/>
        <v>124850</v>
      </c>
      <c r="Q12" s="53" t="s">
        <v>33</v>
      </c>
      <c r="AG12" s="53" t="s">
        <v>34</v>
      </c>
      <c r="AH12" s="53" t="s">
        <v>33</v>
      </c>
    </row>
    <row r="13" spans="1:35">
      <c r="A13" s="161">
        <v>7</v>
      </c>
      <c r="B13" s="53" t="s">
        <v>35</v>
      </c>
      <c r="C13" s="55">
        <f>+C6*C38</f>
        <v>310000</v>
      </c>
      <c r="D13" s="55">
        <f>+D6*D38</f>
        <v>136000</v>
      </c>
      <c r="E13" s="55">
        <f t="shared" ref="E13" si="4">+E6*E38</f>
        <v>8000</v>
      </c>
      <c r="F13" s="55">
        <f t="shared" si="0"/>
        <v>454000</v>
      </c>
      <c r="Q13" s="53" t="s">
        <v>35</v>
      </c>
      <c r="AG13" s="53" t="s">
        <v>36</v>
      </c>
      <c r="AH13" s="53" t="s">
        <v>35</v>
      </c>
      <c r="AI13" s="49" t="s">
        <v>19</v>
      </c>
    </row>
    <row r="14" spans="1:35">
      <c r="A14" s="161">
        <v>8</v>
      </c>
      <c r="B14" s="56" t="s">
        <v>37</v>
      </c>
      <c r="C14" s="55">
        <f>SUM(C11:C13)</f>
        <v>612250</v>
      </c>
      <c r="D14" s="55">
        <f>SUM(D11:D13)</f>
        <v>268600</v>
      </c>
      <c r="E14" s="55">
        <f t="shared" ref="E14" si="5">SUM(E11:E13)</f>
        <v>15800</v>
      </c>
      <c r="F14" s="55">
        <f t="shared" si="0"/>
        <v>896650</v>
      </c>
      <c r="Q14" s="56" t="s">
        <v>37</v>
      </c>
      <c r="AG14" s="53" t="s">
        <v>38</v>
      </c>
      <c r="AH14" s="56" t="s">
        <v>37</v>
      </c>
    </row>
    <row r="15" spans="1:35">
      <c r="A15" s="161">
        <v>9</v>
      </c>
      <c r="B15" s="56" t="s">
        <v>39</v>
      </c>
      <c r="C15" s="55">
        <f>+C9-C10-C14</f>
        <v>906113.4702252429</v>
      </c>
      <c r="D15" s="55">
        <f>+D9-D10-D14</f>
        <v>646433.50483317161</v>
      </c>
      <c r="E15" s="55">
        <f t="shared" ref="E15" si="6">+E9-E10-E14</f>
        <v>7240</v>
      </c>
      <c r="F15" s="55">
        <f t="shared" si="0"/>
        <v>1559786.9750584145</v>
      </c>
      <c r="Q15" s="56" t="s">
        <v>39</v>
      </c>
      <c r="AG15" s="53" t="s">
        <v>40</v>
      </c>
      <c r="AH15" s="56" t="s">
        <v>39</v>
      </c>
    </row>
    <row r="16" spans="1:35">
      <c r="A16" s="161">
        <v>10</v>
      </c>
      <c r="B16" s="53" t="s">
        <v>41</v>
      </c>
      <c r="C16" s="57">
        <f>+C15/C9</f>
        <v>0.12178944492274769</v>
      </c>
      <c r="D16" s="57">
        <f>+D15/D9</f>
        <v>0.19804948064741779</v>
      </c>
      <c r="E16" s="57">
        <f t="shared" ref="E16" si="7">+E15/E9</f>
        <v>3.7708333333333337E-2</v>
      </c>
      <c r="F16" s="57">
        <f t="shared" ref="F16" si="8">+F15/F9</f>
        <v>0.14315225542019222</v>
      </c>
      <c r="Q16" s="53" t="s">
        <v>41</v>
      </c>
      <c r="AG16" s="53" t="s">
        <v>42</v>
      </c>
      <c r="AH16" s="53" t="s">
        <v>41</v>
      </c>
    </row>
    <row r="17" spans="1:35">
      <c r="A17" s="161">
        <v>11</v>
      </c>
      <c r="B17" s="53" t="s">
        <v>43</v>
      </c>
      <c r="C17" s="55">
        <f>C6*C43+C18</f>
        <v>264800</v>
      </c>
      <c r="D17" s="55">
        <f>D6*D43+D18</f>
        <v>134300</v>
      </c>
      <c r="E17" s="55">
        <f t="shared" ref="E17" si="9">E6*E43+E18</f>
        <v>38300</v>
      </c>
      <c r="F17" s="55">
        <f>SUM(C17:E17)</f>
        <v>437400</v>
      </c>
      <c r="G17" s="70"/>
      <c r="Q17" s="53" t="s">
        <v>43</v>
      </c>
      <c r="AG17" s="53" t="s">
        <v>44</v>
      </c>
      <c r="AH17" s="53" t="s">
        <v>43</v>
      </c>
    </row>
    <row r="18" spans="1:35" s="47" customFormat="1">
      <c r="A18" s="161">
        <v>12</v>
      </c>
      <c r="B18" s="58" t="s">
        <v>147</v>
      </c>
      <c r="C18" s="59">
        <f>$F$18/$F$6*C6</f>
        <v>32300</v>
      </c>
      <c r="D18" s="59">
        <f>$F$18/$F$6*D6</f>
        <v>32300</v>
      </c>
      <c r="E18" s="59">
        <f>$F$18/$F$6*E6</f>
        <v>32300</v>
      </c>
      <c r="F18" s="59">
        <f>项目投资!E26</f>
        <v>96900</v>
      </c>
      <c r="G18" s="71" t="s">
        <v>148</v>
      </c>
      <c r="H18" s="71"/>
      <c r="I18" s="71"/>
    </row>
    <row r="19" spans="1:35">
      <c r="A19" s="161">
        <v>13</v>
      </c>
      <c r="B19" s="53" t="s">
        <v>45</v>
      </c>
      <c r="C19" s="55">
        <f>C6*C44</f>
        <v>62000</v>
      </c>
      <c r="D19" s="55">
        <f>D6*D44</f>
        <v>27200.000000000004</v>
      </c>
      <c r="E19" s="55">
        <f t="shared" ref="E19" si="10">E6*E44</f>
        <v>1600</v>
      </c>
      <c r="F19" s="55">
        <f>SUM(C19:E19)</f>
        <v>90800</v>
      </c>
      <c r="G19" s="47"/>
      <c r="Q19" s="53" t="s">
        <v>45</v>
      </c>
      <c r="AG19" s="53" t="s">
        <v>46</v>
      </c>
      <c r="AH19" s="53" t="s">
        <v>45</v>
      </c>
      <c r="AI19" s="49" t="s">
        <v>19</v>
      </c>
    </row>
    <row r="20" spans="1:35">
      <c r="A20" s="161">
        <v>14</v>
      </c>
      <c r="B20" s="53" t="s">
        <v>47</v>
      </c>
      <c r="C20" s="55">
        <f>C6*C45</f>
        <v>426250</v>
      </c>
      <c r="D20" s="55">
        <f>D6*D45</f>
        <v>187000</v>
      </c>
      <c r="E20" s="55">
        <f t="shared" ref="E20" si="11">E6*E45</f>
        <v>11000</v>
      </c>
      <c r="F20" s="55">
        <f>SUM(C20:E20)</f>
        <v>624250</v>
      </c>
      <c r="Q20" s="53" t="s">
        <v>47</v>
      </c>
      <c r="AG20" s="53" t="s">
        <v>48</v>
      </c>
      <c r="AH20" s="53" t="s">
        <v>47</v>
      </c>
    </row>
    <row r="21" spans="1:35">
      <c r="A21" s="161">
        <v>15</v>
      </c>
      <c r="B21" s="53" t="s">
        <v>49</v>
      </c>
      <c r="C21" s="60">
        <f>$F$21/$F$7*C7</f>
        <v>91042.584434654927</v>
      </c>
      <c r="D21" s="60">
        <f t="shared" ref="D21:E21" si="12">$F$21/$F$7*D7</f>
        <v>39941.262848751838</v>
      </c>
      <c r="E21" s="60">
        <f t="shared" si="12"/>
        <v>2349.4860499265787</v>
      </c>
      <c r="F21" s="55">
        <f>项目投资!E27</f>
        <v>133333.33333333334</v>
      </c>
      <c r="Q21" s="53" t="s">
        <v>49</v>
      </c>
      <c r="AG21" s="53"/>
      <c r="AH21" s="53"/>
    </row>
    <row r="22" spans="1:35">
      <c r="A22" s="161">
        <v>16</v>
      </c>
      <c r="B22" s="53" t="s">
        <v>50</v>
      </c>
      <c r="C22" s="55">
        <f>C6*C47</f>
        <v>165075</v>
      </c>
      <c r="D22" s="55">
        <f>D6*D47</f>
        <v>72420</v>
      </c>
      <c r="E22" s="55">
        <f t="shared" ref="E22" si="13">E6*E47</f>
        <v>4260</v>
      </c>
      <c r="F22" s="55">
        <f>SUM(C22:E22)</f>
        <v>241755</v>
      </c>
      <c r="Q22" s="53" t="s">
        <v>50</v>
      </c>
      <c r="AG22" s="53" t="s">
        <v>51</v>
      </c>
      <c r="AH22" s="53" t="s">
        <v>50</v>
      </c>
    </row>
    <row r="23" spans="1:35">
      <c r="A23" s="161">
        <v>17</v>
      </c>
      <c r="B23" s="56" t="s">
        <v>52</v>
      </c>
      <c r="C23" s="60">
        <f>+C22+C21+C20+C19+C17</f>
        <v>1009167.5844346549</v>
      </c>
      <c r="D23" s="60">
        <f>+D22+D21+D20+D19+D17</f>
        <v>460861.26284875185</v>
      </c>
      <c r="E23" s="60">
        <f t="shared" ref="E23" si="14">+E22+E21+E20+E19+E17</f>
        <v>57509.486049926578</v>
      </c>
      <c r="F23" s="60">
        <f t="shared" ref="F23" si="15">+F22+F21+F20+F19+F17</f>
        <v>1527538.3333333335</v>
      </c>
      <c r="Q23" s="56" t="s">
        <v>52</v>
      </c>
      <c r="AG23" s="53" t="s">
        <v>53</v>
      </c>
      <c r="AH23" s="56" t="s">
        <v>52</v>
      </c>
    </row>
    <row r="24" spans="1:35">
      <c r="A24" s="161">
        <v>18</v>
      </c>
      <c r="B24" s="61" t="s">
        <v>54</v>
      </c>
      <c r="C24" s="60">
        <f>+C15-C23</f>
        <v>-103054.11420941202</v>
      </c>
      <c r="D24" s="60">
        <f>+D15-D23</f>
        <v>185572.24198441976</v>
      </c>
      <c r="E24" s="60">
        <f t="shared" ref="E24" si="16">+E15-E23</f>
        <v>-50269.486049926578</v>
      </c>
      <c r="F24" s="60">
        <f t="shared" ref="F24" si="17">+F15-F23</f>
        <v>32248.641725081019</v>
      </c>
      <c r="H24" s="72"/>
      <c r="Q24" s="53" t="s">
        <v>54</v>
      </c>
      <c r="AG24" s="53" t="s">
        <v>55</v>
      </c>
      <c r="AH24" s="53" t="s">
        <v>54</v>
      </c>
    </row>
    <row r="25" spans="1:35">
      <c r="A25" s="161">
        <v>19</v>
      </c>
      <c r="B25" s="53" t="s">
        <v>247</v>
      </c>
      <c r="C25" s="60">
        <f>IF(C24&lt;0,0,C24*0.15)</f>
        <v>0</v>
      </c>
      <c r="D25" s="60">
        <f>IF(D24&lt;0,0,D24*0.15)</f>
        <v>27835.836297662961</v>
      </c>
      <c r="E25" s="60">
        <f>IF(E24&lt;0,0,E24*0.15)</f>
        <v>0</v>
      </c>
      <c r="F25" s="60">
        <f>IF(F24&lt;0,0,F24*0.15)</f>
        <v>4837.2962587621523</v>
      </c>
      <c r="H25" s="68"/>
      <c r="I25" s="68"/>
      <c r="Q25" s="53" t="s">
        <v>56</v>
      </c>
      <c r="AG25" s="53" t="s">
        <v>57</v>
      </c>
      <c r="AH25" s="53" t="s">
        <v>56</v>
      </c>
    </row>
    <row r="26" spans="1:35">
      <c r="A26" s="161">
        <v>20</v>
      </c>
      <c r="B26" s="53" t="s">
        <v>58</v>
      </c>
      <c r="C26" s="60">
        <f t="shared" ref="C26:E26" si="18">C24-C25</f>
        <v>-103054.11420941202</v>
      </c>
      <c r="D26" s="60">
        <f t="shared" ref="D26" si="19">D24-D25</f>
        <v>157736.4056867568</v>
      </c>
      <c r="E26" s="60">
        <f t="shared" si="18"/>
        <v>-50269.486049926578</v>
      </c>
      <c r="F26" s="55">
        <f>F24-F25</f>
        <v>27411.345466318868</v>
      </c>
      <c r="H26" s="68"/>
      <c r="I26" s="68"/>
      <c r="Q26" s="53" t="s">
        <v>58</v>
      </c>
      <c r="AG26" s="53" t="s">
        <v>59</v>
      </c>
      <c r="AH26" s="53" t="s">
        <v>58</v>
      </c>
    </row>
    <row r="27" spans="1:35">
      <c r="A27" s="161">
        <v>21</v>
      </c>
      <c r="B27" s="53" t="s">
        <v>62</v>
      </c>
      <c r="C27" s="62">
        <f t="shared" ref="C27:F27" si="20">C26/C7</f>
        <v>-1.3297305059278969E-2</v>
      </c>
      <c r="D27" s="62">
        <f t="shared" ref="D27" si="21">D26/D7</f>
        <v>4.6393060496104942E-2</v>
      </c>
      <c r="E27" s="62">
        <f t="shared" ref="E27" si="22">E26/E7</f>
        <v>-0.25134743024963291</v>
      </c>
      <c r="F27" s="62">
        <f t="shared" si="20"/>
        <v>2.4150965168562881E-3</v>
      </c>
      <c r="H27" s="68"/>
      <c r="I27" s="68"/>
      <c r="Q27" s="53" t="s">
        <v>62</v>
      </c>
      <c r="AG27" s="53" t="s">
        <v>61</v>
      </c>
      <c r="AH27" s="53" t="s">
        <v>62</v>
      </c>
    </row>
    <row r="28" spans="1:35">
      <c r="H28" s="68"/>
      <c r="I28" s="68"/>
      <c r="Q28" s="53"/>
    </row>
    <row r="29" spans="1:35">
      <c r="A29" s="49" t="s">
        <v>63</v>
      </c>
      <c r="F29" s="50" t="s">
        <v>149</v>
      </c>
      <c r="G29" s="68"/>
      <c r="H29" s="68"/>
      <c r="I29" s="68"/>
      <c r="Q29" s="53"/>
      <c r="AG29" s="49" t="s">
        <v>63</v>
      </c>
    </row>
    <row r="30" spans="1:35">
      <c r="A30" s="53" t="s">
        <v>66</v>
      </c>
      <c r="B30" s="56" t="s">
        <v>67</v>
      </c>
      <c r="C30" s="60"/>
      <c r="D30" s="60"/>
      <c r="E30" s="60"/>
      <c r="F30" s="60"/>
      <c r="G30" s="68"/>
      <c r="H30" s="68"/>
      <c r="I30" s="68"/>
      <c r="K30" s="68"/>
      <c r="Q30" s="56" t="s">
        <v>67</v>
      </c>
      <c r="AG30" s="53" t="s">
        <v>68</v>
      </c>
      <c r="AH30" s="56" t="s">
        <v>67</v>
      </c>
    </row>
    <row r="31" spans="1:35">
      <c r="A31" s="161">
        <v>1</v>
      </c>
      <c r="B31" s="58" t="s">
        <v>69</v>
      </c>
      <c r="C31" s="64">
        <f>销量!C8</f>
        <v>1550</v>
      </c>
      <c r="D31" s="64">
        <f>销量!D8</f>
        <v>680</v>
      </c>
      <c r="E31" s="64">
        <f>销量!E8</f>
        <v>40</v>
      </c>
      <c r="F31" s="60"/>
      <c r="G31" s="68"/>
      <c r="H31" s="68"/>
      <c r="I31" s="68"/>
      <c r="K31" s="68"/>
      <c r="Q31" s="53" t="s">
        <v>69</v>
      </c>
      <c r="AG31" s="53" t="s">
        <v>21</v>
      </c>
      <c r="AH31" s="53" t="s">
        <v>69</v>
      </c>
    </row>
    <row r="32" spans="1:35">
      <c r="A32" s="161">
        <v>2</v>
      </c>
      <c r="B32" s="53" t="s">
        <v>150</v>
      </c>
      <c r="C32" s="55">
        <f>C9/C6</f>
        <v>1488</v>
      </c>
      <c r="D32" s="55">
        <f t="shared" ref="D32:E32" si="23">D9/D6</f>
        <v>652.79999999999995</v>
      </c>
      <c r="E32" s="55">
        <f t="shared" si="23"/>
        <v>38.4</v>
      </c>
      <c r="F32" s="60"/>
      <c r="G32" s="68"/>
      <c r="H32" s="68"/>
      <c r="I32" s="68"/>
      <c r="J32" s="68"/>
      <c r="K32" s="68"/>
      <c r="L32" s="68"/>
      <c r="M32" s="68"/>
      <c r="AG32" s="53"/>
      <c r="AH32" s="53"/>
    </row>
    <row r="33" spans="1:34">
      <c r="A33" s="161">
        <v>3</v>
      </c>
      <c r="B33" s="58" t="s">
        <v>70</v>
      </c>
      <c r="C33" s="55">
        <f>材料成本!G41</f>
        <v>1184.3273059549515</v>
      </c>
      <c r="D33" s="55">
        <f>材料成本!G42</f>
        <v>469.79329903336566</v>
      </c>
      <c r="E33" s="55">
        <f>材料成本!G43</f>
        <v>33.792000000000002</v>
      </c>
      <c r="F33" s="60"/>
      <c r="H33" s="68"/>
      <c r="I33" s="68"/>
      <c r="J33" s="68"/>
      <c r="K33" s="68"/>
      <c r="L33" s="68"/>
      <c r="M33" s="68"/>
      <c r="Q33" s="53" t="s">
        <v>70</v>
      </c>
      <c r="AG33" s="53" t="s">
        <v>23</v>
      </c>
      <c r="AH33" s="53" t="s">
        <v>70</v>
      </c>
    </row>
    <row r="34" spans="1:34" ht="17.25" customHeight="1">
      <c r="A34" s="161">
        <v>4</v>
      </c>
      <c r="B34" s="53" t="s">
        <v>72</v>
      </c>
      <c r="C34" s="65">
        <f>C32-C33</f>
        <v>303.6726940450485</v>
      </c>
      <c r="D34" s="65">
        <f t="shared" ref="D34:E34" si="24">D32-D33</f>
        <v>183.0067009666343</v>
      </c>
      <c r="E34" s="65">
        <f t="shared" si="24"/>
        <v>4.607999999999997</v>
      </c>
      <c r="F34" s="60"/>
      <c r="H34" s="68"/>
      <c r="I34" s="68"/>
      <c r="J34" s="68"/>
      <c r="K34" s="68"/>
      <c r="L34" s="68"/>
      <c r="M34" s="68"/>
      <c r="Q34" s="53" t="s">
        <v>72</v>
      </c>
      <c r="AG34" s="53" t="s">
        <v>71</v>
      </c>
      <c r="AH34" s="53" t="s">
        <v>72</v>
      </c>
    </row>
    <row r="35" spans="1:34">
      <c r="A35" s="53" t="s">
        <v>68</v>
      </c>
      <c r="B35" s="56" t="s">
        <v>9</v>
      </c>
      <c r="C35" s="60"/>
      <c r="D35" s="60"/>
      <c r="E35" s="60"/>
      <c r="F35" s="60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56" t="s">
        <v>9</v>
      </c>
      <c r="AG35" s="53" t="s">
        <v>74</v>
      </c>
      <c r="AH35" s="56" t="s">
        <v>9</v>
      </c>
    </row>
    <row r="36" spans="1:34">
      <c r="A36" s="161">
        <v>1</v>
      </c>
      <c r="B36" s="53" t="s">
        <v>75</v>
      </c>
      <c r="C36" s="59">
        <f>'2023年'!C36</f>
        <v>43.4</v>
      </c>
      <c r="D36" s="59">
        <f>'2023年'!D36</f>
        <v>19.04</v>
      </c>
      <c r="E36" s="59">
        <f>'2023年'!E36</f>
        <v>1.1200000000000001</v>
      </c>
      <c r="F36" s="64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53" t="s">
        <v>75</v>
      </c>
      <c r="AG36" s="53" t="s">
        <v>71</v>
      </c>
      <c r="AH36" s="53" t="s">
        <v>75</v>
      </c>
    </row>
    <row r="37" spans="1:34">
      <c r="A37" s="161">
        <v>2</v>
      </c>
      <c r="B37" s="53" t="s">
        <v>76</v>
      </c>
      <c r="C37" s="59">
        <f>'2023年'!C37</f>
        <v>17.05</v>
      </c>
      <c r="D37" s="59">
        <f>'2023年'!D37</f>
        <v>7.4799999999999995</v>
      </c>
      <c r="E37" s="59">
        <f>'2023年'!E37</f>
        <v>0.43999999999999995</v>
      </c>
      <c r="F37" s="64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53" t="s">
        <v>76</v>
      </c>
      <c r="AG37" s="53" t="s">
        <v>26</v>
      </c>
      <c r="AH37" s="53" t="s">
        <v>76</v>
      </c>
    </row>
    <row r="38" spans="1:34">
      <c r="A38" s="161">
        <v>3</v>
      </c>
      <c r="B38" s="53" t="s">
        <v>77</v>
      </c>
      <c r="C38" s="59">
        <f>'2023年'!C38</f>
        <v>62</v>
      </c>
      <c r="D38" s="59">
        <f>'2023年'!D38</f>
        <v>27.2</v>
      </c>
      <c r="E38" s="59">
        <f>'2023年'!E38</f>
        <v>1.6</v>
      </c>
      <c r="F38" s="64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53" t="s">
        <v>77</v>
      </c>
      <c r="AG38" s="53" t="s">
        <v>32</v>
      </c>
      <c r="AH38" s="53" t="s">
        <v>77</v>
      </c>
    </row>
    <row r="39" spans="1:34">
      <c r="A39" s="53" t="s">
        <v>74</v>
      </c>
      <c r="B39" s="56" t="s">
        <v>79</v>
      </c>
      <c r="C39" s="60"/>
      <c r="D39" s="60"/>
      <c r="E39" s="60"/>
      <c r="F39" s="60"/>
      <c r="Q39" s="56" t="s">
        <v>79</v>
      </c>
      <c r="AG39" s="53" t="s">
        <v>78</v>
      </c>
      <c r="AH39" s="56" t="s">
        <v>79</v>
      </c>
    </row>
    <row r="40" spans="1:34">
      <c r="A40" s="161">
        <v>1</v>
      </c>
      <c r="B40" s="53" t="s">
        <v>81</v>
      </c>
      <c r="C40" s="60">
        <f>C34-C36-C37-C38</f>
        <v>181.22269404504851</v>
      </c>
      <c r="D40" s="60">
        <f t="shared" ref="D40:E40" si="25">D34-D36-D37-D38</f>
        <v>129.28670096663433</v>
      </c>
      <c r="E40" s="60">
        <f t="shared" si="25"/>
        <v>1.4479999999999968</v>
      </c>
      <c r="F40" s="60"/>
      <c r="Q40" s="53" t="s">
        <v>81</v>
      </c>
      <c r="AG40" s="53" t="s">
        <v>21</v>
      </c>
      <c r="AH40" s="53" t="s">
        <v>81</v>
      </c>
    </row>
    <row r="41" spans="1:34">
      <c r="A41" s="161">
        <v>2</v>
      </c>
      <c r="B41" s="53" t="s">
        <v>82</v>
      </c>
      <c r="C41" s="60"/>
      <c r="D41" s="60"/>
      <c r="E41" s="60"/>
      <c r="F41" s="60"/>
      <c r="Q41" s="53" t="s">
        <v>82</v>
      </c>
      <c r="AG41" s="53" t="s">
        <v>23</v>
      </c>
      <c r="AH41" s="53" t="s">
        <v>82</v>
      </c>
    </row>
    <row r="42" spans="1:34">
      <c r="A42" s="53" t="s">
        <v>78</v>
      </c>
      <c r="B42" s="56" t="s">
        <v>84</v>
      </c>
      <c r="C42" s="60"/>
      <c r="D42" s="60"/>
      <c r="E42" s="60"/>
      <c r="F42" s="60"/>
      <c r="Q42" s="56" t="s">
        <v>84</v>
      </c>
      <c r="AG42" s="53" t="s">
        <v>83</v>
      </c>
      <c r="AH42" s="56" t="s">
        <v>84</v>
      </c>
    </row>
    <row r="43" spans="1:34">
      <c r="A43" s="161">
        <v>1</v>
      </c>
      <c r="B43" s="61" t="s">
        <v>85</v>
      </c>
      <c r="C43" s="59">
        <f>'2023年'!C43</f>
        <v>46.5</v>
      </c>
      <c r="D43" s="59">
        <f>'2023年'!D43</f>
        <v>20.399999999999999</v>
      </c>
      <c r="E43" s="59">
        <f>'2023年'!E43</f>
        <v>1.2</v>
      </c>
      <c r="F43" s="60"/>
      <c r="Q43" s="53" t="s">
        <v>85</v>
      </c>
      <c r="AG43" s="53" t="s">
        <v>21</v>
      </c>
      <c r="AH43" s="53" t="s">
        <v>85</v>
      </c>
    </row>
    <row r="44" spans="1:34">
      <c r="A44" s="161">
        <v>2</v>
      </c>
      <c r="B44" s="61" t="s">
        <v>86</v>
      </c>
      <c r="C44" s="59">
        <f>'2023年'!C44</f>
        <v>12.4</v>
      </c>
      <c r="D44" s="59">
        <f>'2023年'!D44</f>
        <v>5.44</v>
      </c>
      <c r="E44" s="59">
        <f>'2023年'!E44</f>
        <v>0.32</v>
      </c>
      <c r="F44" s="60"/>
      <c r="Q44" s="53" t="s">
        <v>86</v>
      </c>
      <c r="AG44" s="53" t="s">
        <v>23</v>
      </c>
      <c r="AH44" s="53" t="s">
        <v>86</v>
      </c>
    </row>
    <row r="45" spans="1:34">
      <c r="A45" s="161">
        <v>3</v>
      </c>
      <c r="B45" s="61" t="s">
        <v>87</v>
      </c>
      <c r="C45" s="59">
        <f>'2023年'!C45</f>
        <v>85.25</v>
      </c>
      <c r="D45" s="59">
        <f>'2023年'!D45</f>
        <v>37.4</v>
      </c>
      <c r="E45" s="59">
        <f>'2023年'!E45</f>
        <v>2.2000000000000002</v>
      </c>
      <c r="F45" s="60"/>
      <c r="Q45" s="53" t="s">
        <v>87</v>
      </c>
      <c r="AG45" s="53" t="s">
        <v>71</v>
      </c>
      <c r="AH45" s="53" t="s">
        <v>87</v>
      </c>
    </row>
    <row r="46" spans="1:34" s="48" customFormat="1">
      <c r="A46" s="161">
        <v>4</v>
      </c>
      <c r="B46" s="61" t="s">
        <v>88</v>
      </c>
      <c r="C46" s="66">
        <f>C21/C6</f>
        <v>18.208516886930987</v>
      </c>
      <c r="D46" s="66">
        <f t="shared" ref="D46:E46" si="26">D21/D6</f>
        <v>7.9882525697503679</v>
      </c>
      <c r="E46" s="66">
        <f t="shared" si="26"/>
        <v>0.46989720998531576</v>
      </c>
      <c r="F46" s="66"/>
      <c r="Q46" s="61" t="s">
        <v>90</v>
      </c>
      <c r="AG46" s="61" t="s">
        <v>29</v>
      </c>
      <c r="AH46" s="61" t="s">
        <v>90</v>
      </c>
    </row>
    <row r="47" spans="1:34" s="48" customFormat="1">
      <c r="A47" s="161">
        <v>5</v>
      </c>
      <c r="B47" s="61" t="s">
        <v>90</v>
      </c>
      <c r="C47" s="59">
        <f>'2023年'!C47</f>
        <v>33.015000000000001</v>
      </c>
      <c r="D47" s="59">
        <f>'2023年'!D47</f>
        <v>14.484</v>
      </c>
      <c r="E47" s="59">
        <f>'2023年'!E47</f>
        <v>0.85199999999999998</v>
      </c>
      <c r="F47" s="66"/>
      <c r="Q47" s="61" t="s">
        <v>90</v>
      </c>
      <c r="AG47" s="61" t="s">
        <v>29</v>
      </c>
      <c r="AH47" s="61" t="s">
        <v>90</v>
      </c>
    </row>
    <row r="48" spans="1:34">
      <c r="A48" s="53" t="s">
        <v>83</v>
      </c>
      <c r="B48" s="56" t="s">
        <v>101</v>
      </c>
      <c r="C48" s="60">
        <f>C40-C43-C44-C45-C47-C46</f>
        <v>-14.15082284188248</v>
      </c>
      <c r="D48" s="60">
        <f t="shared" ref="D48:E48" si="27">D40-D43-D44-D45-D47-D46</f>
        <v>43.574448396883952</v>
      </c>
      <c r="E48" s="60">
        <f t="shared" si="27"/>
        <v>-3.593897209985319</v>
      </c>
      <c r="F48" s="60"/>
      <c r="Q48" s="56" t="s">
        <v>101</v>
      </c>
      <c r="AG48" s="53" t="s">
        <v>100</v>
      </c>
      <c r="AH48" s="56" t="s">
        <v>101</v>
      </c>
    </row>
    <row r="51" spans="2:11">
      <c r="C51" s="67"/>
      <c r="D51" s="67"/>
      <c r="E51" s="67"/>
    </row>
    <row r="54" spans="2:11">
      <c r="B54" s="68"/>
      <c r="C54" s="69"/>
      <c r="D54" s="69"/>
      <c r="E54" s="69"/>
      <c r="F54" s="69"/>
      <c r="G54" s="68"/>
      <c r="H54" s="68"/>
      <c r="I54" s="68"/>
      <c r="J54" s="68"/>
      <c r="K54" s="68"/>
    </row>
    <row r="55" spans="2:11">
      <c r="B55" s="68"/>
      <c r="C55" s="69"/>
      <c r="D55" s="69"/>
      <c r="E55" s="69"/>
      <c r="F55" s="69"/>
      <c r="G55" s="68"/>
      <c r="H55" s="68"/>
      <c r="I55" s="68"/>
      <c r="J55" s="68"/>
      <c r="K55" s="68"/>
    </row>
    <row r="56" spans="2:11">
      <c r="B56" s="68"/>
      <c r="C56" s="69"/>
      <c r="D56" s="69"/>
      <c r="E56" s="69"/>
      <c r="F56" s="69"/>
      <c r="G56" s="68"/>
      <c r="H56" s="68"/>
      <c r="I56" s="68"/>
      <c r="J56" s="68"/>
      <c r="K56" s="68"/>
    </row>
    <row r="57" spans="2:11">
      <c r="B57" s="68"/>
      <c r="C57" s="69"/>
      <c r="D57" s="69"/>
      <c r="E57" s="69"/>
      <c r="F57" s="69"/>
      <c r="G57" s="68"/>
      <c r="H57" s="68"/>
      <c r="I57" s="68"/>
      <c r="J57" s="68"/>
      <c r="K57" s="68"/>
    </row>
    <row r="58" spans="2:11">
      <c r="B58" s="68"/>
      <c r="C58" s="69"/>
      <c r="D58" s="69"/>
      <c r="E58" s="69"/>
      <c r="F58" s="69"/>
      <c r="G58" s="68"/>
      <c r="H58" s="68"/>
      <c r="I58" s="68"/>
      <c r="J58" s="68"/>
      <c r="K58" s="68"/>
    </row>
    <row r="59" spans="2:11">
      <c r="B59" s="68"/>
      <c r="C59" s="69"/>
      <c r="D59" s="69"/>
      <c r="E59" s="69"/>
      <c r="F59" s="69"/>
      <c r="G59" s="68"/>
      <c r="H59" s="68"/>
      <c r="I59" s="68"/>
      <c r="J59" s="68"/>
      <c r="K59" s="68"/>
    </row>
    <row r="60" spans="2:11">
      <c r="B60" s="68"/>
      <c r="C60" s="69"/>
      <c r="D60" s="69"/>
      <c r="E60" s="69"/>
      <c r="F60" s="69"/>
      <c r="G60" s="68"/>
      <c r="H60" s="68"/>
      <c r="I60" s="68"/>
      <c r="J60" s="68"/>
      <c r="K60" s="68"/>
    </row>
    <row r="61" spans="2:11">
      <c r="B61" s="68"/>
      <c r="C61" s="69"/>
      <c r="D61" s="69"/>
      <c r="E61" s="69"/>
      <c r="F61" s="69"/>
      <c r="G61" s="68"/>
      <c r="H61" s="68"/>
      <c r="I61" s="68"/>
      <c r="J61" s="68"/>
      <c r="K61" s="68"/>
    </row>
    <row r="62" spans="2:11">
      <c r="B62" s="68"/>
      <c r="C62" s="69"/>
      <c r="D62" s="69"/>
      <c r="E62" s="69"/>
      <c r="F62" s="69"/>
      <c r="G62" s="68"/>
      <c r="H62" s="68"/>
      <c r="I62" s="68"/>
      <c r="J62" s="68"/>
      <c r="K62" s="68"/>
    </row>
    <row r="63" spans="2:11">
      <c r="B63" s="68"/>
      <c r="C63" s="69"/>
      <c r="D63" s="69"/>
      <c r="E63" s="69"/>
      <c r="F63" s="69"/>
      <c r="G63" s="68"/>
      <c r="H63" s="68"/>
      <c r="I63" s="68"/>
      <c r="J63" s="68"/>
      <c r="K63" s="68"/>
    </row>
    <row r="64" spans="2:11">
      <c r="B64" s="68"/>
      <c r="C64" s="69"/>
      <c r="D64" s="69"/>
      <c r="E64" s="69"/>
      <c r="F64" s="69"/>
      <c r="G64" s="68"/>
      <c r="H64" s="68"/>
      <c r="I64" s="68"/>
      <c r="J64" s="68"/>
      <c r="K64" s="68"/>
    </row>
    <row r="65" spans="2:11">
      <c r="B65" s="68"/>
      <c r="C65" s="69"/>
      <c r="D65" s="69"/>
      <c r="E65" s="69"/>
      <c r="F65" s="69"/>
      <c r="G65" s="68"/>
      <c r="H65" s="68"/>
      <c r="I65" s="68"/>
      <c r="J65" s="68"/>
      <c r="K65" s="68"/>
    </row>
    <row r="66" spans="2:11">
      <c r="B66" s="68"/>
      <c r="C66" s="69"/>
      <c r="D66" s="69"/>
      <c r="E66" s="69"/>
      <c r="F66" s="69"/>
      <c r="G66" s="68"/>
      <c r="H66" s="68"/>
      <c r="I66" s="68"/>
      <c r="J66" s="68"/>
      <c r="K66" s="68"/>
    </row>
    <row r="67" spans="2:11">
      <c r="B67" s="68"/>
      <c r="C67" s="69"/>
      <c r="D67" s="69"/>
      <c r="E67" s="69"/>
      <c r="F67" s="69"/>
      <c r="G67" s="68"/>
    </row>
    <row r="68" spans="2:11">
      <c r="B68" s="68"/>
      <c r="C68" s="69"/>
      <c r="D68" s="69"/>
      <c r="E68" s="69"/>
      <c r="F68" s="69"/>
      <c r="G68" s="68"/>
    </row>
    <row r="69" spans="2:11">
      <c r="B69" s="68"/>
      <c r="C69" s="69"/>
      <c r="D69" s="69"/>
      <c r="E69" s="69"/>
      <c r="F69" s="69"/>
      <c r="G69" s="68"/>
    </row>
    <row r="70" spans="2:11">
      <c r="B70" s="68"/>
      <c r="C70" s="69"/>
      <c r="D70" s="69"/>
      <c r="E70" s="69"/>
      <c r="F70" s="69"/>
      <c r="G70" s="68"/>
    </row>
    <row r="71" spans="2:11">
      <c r="B71" s="68"/>
      <c r="C71" s="69"/>
      <c r="D71" s="69"/>
      <c r="E71" s="69"/>
      <c r="F71" s="69"/>
      <c r="G71" s="68"/>
    </row>
    <row r="72" spans="2:11">
      <c r="B72" s="68"/>
      <c r="C72" s="69"/>
      <c r="D72" s="69"/>
      <c r="E72" s="69"/>
      <c r="F72" s="69"/>
      <c r="G72" s="68"/>
    </row>
    <row r="73" spans="2:11">
      <c r="B73" s="68"/>
      <c r="C73" s="69"/>
      <c r="D73" s="69"/>
      <c r="E73" s="69"/>
      <c r="F73" s="69"/>
      <c r="G73" s="68"/>
    </row>
    <row r="74" spans="2:11">
      <c r="B74" s="68"/>
      <c r="C74" s="69"/>
      <c r="D74" s="69"/>
      <c r="E74" s="69"/>
      <c r="F74" s="69"/>
      <c r="G74" s="68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workbookViewId="0">
      <pane xSplit="2" ySplit="7" topLeftCell="C41" activePane="bottomRight" state="frozen"/>
      <selection pane="topRight"/>
      <selection pane="bottomLeft"/>
      <selection pane="bottomRight" activeCell="D14" sqref="D14"/>
    </sheetView>
  </sheetViews>
  <sheetFormatPr defaultColWidth="9" defaultRowHeight="16.5"/>
  <cols>
    <col min="1" max="1" width="5.125" style="49" customWidth="1"/>
    <col min="2" max="2" width="17.5" style="49" customWidth="1"/>
    <col min="3" max="4" width="13.25" style="50" customWidth="1"/>
    <col min="5" max="5" width="14" style="50" bestFit="1" customWidth="1"/>
    <col min="6" max="6" width="18.75" style="50" customWidth="1"/>
    <col min="7" max="7" width="12.375" style="49" customWidth="1"/>
    <col min="8" max="8" width="10.125" style="49" customWidth="1"/>
    <col min="9" max="14" width="9" style="49" customWidth="1"/>
    <col min="15" max="27" width="9" style="49"/>
    <col min="28" max="28" width="4.375" style="49" customWidth="1"/>
    <col min="29" max="29" width="13.875" style="49" customWidth="1"/>
    <col min="30" max="16384" width="9" style="49"/>
  </cols>
  <sheetData>
    <row r="1" spans="1:30">
      <c r="A1" s="240" t="s">
        <v>141</v>
      </c>
      <c r="B1" s="240"/>
      <c r="C1" s="241" t="s">
        <v>240</v>
      </c>
      <c r="D1" s="242"/>
      <c r="E1" s="242"/>
      <c r="F1" s="243"/>
    </row>
    <row r="2" spans="1:30">
      <c r="A2" s="240" t="s">
        <v>142</v>
      </c>
      <c r="B2" s="240"/>
      <c r="C2" s="248" t="str">
        <f>'2023年'!C2:F2</f>
        <v>陕汽重型汽车有限公司</v>
      </c>
      <c r="D2" s="249"/>
      <c r="E2" s="249"/>
      <c r="F2" s="250"/>
    </row>
    <row r="3" spans="1:30" ht="28.5">
      <c r="A3" s="240" t="s">
        <v>143</v>
      </c>
      <c r="B3" s="240"/>
      <c r="C3" s="162" t="str">
        <f>'2023年'!C3</f>
        <v>H5000S经济型空气主座椅</v>
      </c>
      <c r="D3" s="162" t="str">
        <f>'2023年'!D3</f>
        <v>副座椅</v>
      </c>
      <c r="E3" s="162" t="str">
        <f>'2023年'!E3</f>
        <v>底支架</v>
      </c>
      <c r="F3" s="245" t="s">
        <v>17</v>
      </c>
    </row>
    <row r="4" spans="1:30" ht="16.5" customHeight="1">
      <c r="A4" s="240" t="s">
        <v>144</v>
      </c>
      <c r="B4" s="240"/>
      <c r="C4" s="162" t="str">
        <f>'2023年'!C4</f>
        <v>DZ16231510230</v>
      </c>
      <c r="D4" s="162" t="str">
        <f>'2023年'!D4</f>
        <v>暂无</v>
      </c>
      <c r="E4" s="162" t="str">
        <f>'2023年'!E4</f>
        <v>暂无</v>
      </c>
      <c r="F4" s="246"/>
    </row>
    <row r="5" spans="1:30">
      <c r="A5" s="240" t="s">
        <v>145</v>
      </c>
      <c r="B5" s="240"/>
      <c r="C5" s="52"/>
      <c r="D5" s="52"/>
      <c r="E5" s="52"/>
      <c r="F5" s="247"/>
      <c r="AD5" s="49" t="s">
        <v>18</v>
      </c>
    </row>
    <row r="6" spans="1:30" ht="17.25">
      <c r="A6" s="53" t="s">
        <v>15</v>
      </c>
      <c r="B6" s="54" t="s">
        <v>146</v>
      </c>
      <c r="C6" s="23">
        <f>销量!C12</f>
        <v>5000</v>
      </c>
      <c r="D6" s="23">
        <f>销量!D12</f>
        <v>5000</v>
      </c>
      <c r="E6" s="23">
        <f>销量!E12</f>
        <v>5000</v>
      </c>
      <c r="F6" s="55">
        <f t="shared" ref="F6:F15" si="0">SUM(C6:E6)</f>
        <v>15000</v>
      </c>
      <c r="AB6" s="53" t="s">
        <v>15</v>
      </c>
      <c r="AC6" s="54" t="s">
        <v>3</v>
      </c>
      <c r="AD6" s="49" t="s">
        <v>19</v>
      </c>
    </row>
    <row r="7" spans="1:30">
      <c r="A7" s="161">
        <v>1</v>
      </c>
      <c r="B7" s="54" t="s">
        <v>20</v>
      </c>
      <c r="C7" s="55">
        <f>C6*销量!C8</f>
        <v>7750000</v>
      </c>
      <c r="D7" s="55">
        <f>D6*销量!D8</f>
        <v>3400000</v>
      </c>
      <c r="E7" s="55">
        <f>E6*销量!E8</f>
        <v>200000</v>
      </c>
      <c r="F7" s="55">
        <f t="shared" si="0"/>
        <v>11350000</v>
      </c>
      <c r="G7" s="50"/>
      <c r="AB7" s="53" t="s">
        <v>21</v>
      </c>
      <c r="AC7" s="54" t="s">
        <v>20</v>
      </c>
      <c r="AD7" s="49" t="s">
        <v>19</v>
      </c>
    </row>
    <row r="8" spans="1:30">
      <c r="A8" s="161">
        <v>2</v>
      </c>
      <c r="B8" s="161" t="s">
        <v>22</v>
      </c>
      <c r="C8" s="55">
        <f>C7*(1-销量!$L$8)</f>
        <v>607600.00000000023</v>
      </c>
      <c r="D8" s="55">
        <f>D7*(1-销量!$L$8)</f>
        <v>266560.00000000006</v>
      </c>
      <c r="E8" s="55">
        <f>E7*(1-销量!$L$8)</f>
        <v>15680.000000000005</v>
      </c>
      <c r="F8" s="55">
        <f t="shared" si="0"/>
        <v>889840.00000000023</v>
      </c>
      <c r="G8" s="70"/>
      <c r="AB8" s="53" t="s">
        <v>23</v>
      </c>
      <c r="AC8" s="161" t="s">
        <v>24</v>
      </c>
      <c r="AD8" s="49" t="s">
        <v>19</v>
      </c>
    </row>
    <row r="9" spans="1:30">
      <c r="A9" s="161">
        <v>3</v>
      </c>
      <c r="B9" s="54" t="s">
        <v>25</v>
      </c>
      <c r="C9" s="55">
        <f>+C7-C8</f>
        <v>7142400</v>
      </c>
      <c r="D9" s="55">
        <f t="shared" ref="D9:E9" si="1">+D7-D8</f>
        <v>3133440</v>
      </c>
      <c r="E9" s="55">
        <f t="shared" si="1"/>
        <v>184320</v>
      </c>
      <c r="F9" s="55">
        <f t="shared" si="0"/>
        <v>10460160</v>
      </c>
      <c r="AB9" s="53" t="s">
        <v>26</v>
      </c>
      <c r="AC9" s="54" t="s">
        <v>25</v>
      </c>
      <c r="AD9" s="49" t="s">
        <v>27</v>
      </c>
    </row>
    <row r="10" spans="1:30">
      <c r="A10" s="161">
        <v>4</v>
      </c>
      <c r="B10" s="53" t="s">
        <v>28</v>
      </c>
      <c r="C10" s="55">
        <f>C6*材料成本!H41</f>
        <v>5684771.0685837669</v>
      </c>
      <c r="D10" s="55">
        <f>D6*材料成本!H42</f>
        <v>2255007.835360155</v>
      </c>
      <c r="E10" s="55">
        <f>E6*材料成本!H43</f>
        <v>162201.60000000001</v>
      </c>
      <c r="F10" s="55">
        <f t="shared" si="0"/>
        <v>8101980.503943922</v>
      </c>
      <c r="AB10" s="53" t="s">
        <v>29</v>
      </c>
      <c r="AC10" s="53" t="s">
        <v>28</v>
      </c>
      <c r="AD10" s="49" t="s">
        <v>30</v>
      </c>
    </row>
    <row r="11" spans="1:30">
      <c r="A11" s="161">
        <v>5</v>
      </c>
      <c r="B11" s="53" t="s">
        <v>31</v>
      </c>
      <c r="C11" s="55">
        <f>+C6*C36</f>
        <v>217000</v>
      </c>
      <c r="D11" s="55">
        <f t="shared" ref="D11:E11" si="2">+D6*D36</f>
        <v>95200</v>
      </c>
      <c r="E11" s="55">
        <f t="shared" si="2"/>
        <v>5600.0000000000009</v>
      </c>
      <c r="F11" s="55">
        <f t="shared" si="0"/>
        <v>317800</v>
      </c>
      <c r="AB11" s="53" t="s">
        <v>32</v>
      </c>
      <c r="AC11" s="53" t="s">
        <v>31</v>
      </c>
    </row>
    <row r="12" spans="1:30">
      <c r="A12" s="161">
        <v>6</v>
      </c>
      <c r="B12" s="53" t="s">
        <v>33</v>
      </c>
      <c r="C12" s="55">
        <f>+C6*C37</f>
        <v>85250</v>
      </c>
      <c r="D12" s="55">
        <f t="shared" ref="D12:E12" si="3">+D6*D37</f>
        <v>37400</v>
      </c>
      <c r="E12" s="55">
        <f t="shared" si="3"/>
        <v>2199.9999999999995</v>
      </c>
      <c r="F12" s="55">
        <f t="shared" si="0"/>
        <v>124850</v>
      </c>
      <c r="AB12" s="53" t="s">
        <v>34</v>
      </c>
      <c r="AC12" s="53" t="s">
        <v>33</v>
      </c>
    </row>
    <row r="13" spans="1:30">
      <c r="A13" s="161">
        <v>7</v>
      </c>
      <c r="B13" s="53" t="s">
        <v>35</v>
      </c>
      <c r="C13" s="55">
        <f>+C6*C38</f>
        <v>310000</v>
      </c>
      <c r="D13" s="55">
        <f t="shared" ref="D13:E13" si="4">+D6*D38</f>
        <v>136000</v>
      </c>
      <c r="E13" s="55">
        <f t="shared" si="4"/>
        <v>8000</v>
      </c>
      <c r="F13" s="55">
        <f t="shared" si="0"/>
        <v>454000</v>
      </c>
      <c r="AB13" s="53" t="s">
        <v>36</v>
      </c>
      <c r="AC13" s="53" t="s">
        <v>35</v>
      </c>
      <c r="AD13" s="49" t="s">
        <v>19</v>
      </c>
    </row>
    <row r="14" spans="1:30">
      <c r="A14" s="161">
        <v>8</v>
      </c>
      <c r="B14" s="56" t="s">
        <v>37</v>
      </c>
      <c r="C14" s="55">
        <f>SUM(C11:C13)</f>
        <v>612250</v>
      </c>
      <c r="D14" s="55">
        <f t="shared" ref="D14:E14" si="5">SUM(D11:D13)</f>
        <v>268600</v>
      </c>
      <c r="E14" s="55">
        <f t="shared" si="5"/>
        <v>15800</v>
      </c>
      <c r="F14" s="55">
        <f t="shared" si="0"/>
        <v>896650</v>
      </c>
      <c r="AB14" s="53" t="s">
        <v>38</v>
      </c>
      <c r="AC14" s="56" t="s">
        <v>37</v>
      </c>
    </row>
    <row r="15" spans="1:30">
      <c r="A15" s="161">
        <v>9</v>
      </c>
      <c r="B15" s="56" t="s">
        <v>39</v>
      </c>
      <c r="C15" s="55">
        <f>+C9-C10-C14</f>
        <v>845378.93141623307</v>
      </c>
      <c r="D15" s="55">
        <f t="shared" ref="D15:E15" si="6">+D9-D10-D14</f>
        <v>609832.16463984502</v>
      </c>
      <c r="E15" s="55">
        <f t="shared" si="6"/>
        <v>6318.3999999999942</v>
      </c>
      <c r="F15" s="55">
        <f t="shared" si="0"/>
        <v>1461529.496056078</v>
      </c>
      <c r="AB15" s="53" t="s">
        <v>40</v>
      </c>
      <c r="AC15" s="56" t="s">
        <v>39</v>
      </c>
    </row>
    <row r="16" spans="1:30">
      <c r="A16" s="161">
        <v>10</v>
      </c>
      <c r="B16" s="53" t="s">
        <v>41</v>
      </c>
      <c r="C16" s="57">
        <f>+C15/C9</f>
        <v>0.11836062547830324</v>
      </c>
      <c r="D16" s="57">
        <f t="shared" ref="D16:E16" si="7">+D15/D9</f>
        <v>0.19462066120297342</v>
      </c>
      <c r="E16" s="57">
        <f t="shared" si="7"/>
        <v>3.4279513888888856E-2</v>
      </c>
      <c r="F16" s="57">
        <f t="shared" ref="F16" si="8">+F15/F9</f>
        <v>0.1397234359757478</v>
      </c>
      <c r="AB16" s="53" t="s">
        <v>42</v>
      </c>
      <c r="AC16" s="53" t="s">
        <v>41</v>
      </c>
    </row>
    <row r="17" spans="1:30">
      <c r="A17" s="161">
        <v>11</v>
      </c>
      <c r="B17" s="53" t="s">
        <v>43</v>
      </c>
      <c r="C17" s="55">
        <f>C6*C43+C18</f>
        <v>264800</v>
      </c>
      <c r="D17" s="55">
        <f t="shared" ref="D17:E17" si="9">D6*D43+D18</f>
        <v>134300</v>
      </c>
      <c r="E17" s="55">
        <f t="shared" si="9"/>
        <v>38300</v>
      </c>
      <c r="F17" s="55">
        <f>SUM(C17:E17)</f>
        <v>437400</v>
      </c>
      <c r="G17" s="70"/>
      <c r="AB17" s="53" t="s">
        <v>44</v>
      </c>
      <c r="AC17" s="53" t="s">
        <v>43</v>
      </c>
    </row>
    <row r="18" spans="1:30" s="47" customFormat="1">
      <c r="A18" s="161">
        <v>12</v>
      </c>
      <c r="B18" s="58" t="s">
        <v>147</v>
      </c>
      <c r="C18" s="59">
        <f>$F$18/$F$6*C6</f>
        <v>32300</v>
      </c>
      <c r="D18" s="59">
        <f t="shared" ref="D18:E18" si="10">$F$18/$F$6*D6</f>
        <v>32300</v>
      </c>
      <c r="E18" s="59">
        <f t="shared" si="10"/>
        <v>32300</v>
      </c>
      <c r="F18" s="59">
        <f>项目投资!E26</f>
        <v>96900</v>
      </c>
      <c r="G18" s="71" t="s">
        <v>148</v>
      </c>
      <c r="H18" s="71"/>
      <c r="I18" s="71"/>
    </row>
    <row r="19" spans="1:30">
      <c r="A19" s="161">
        <v>13</v>
      </c>
      <c r="B19" s="53" t="s">
        <v>45</v>
      </c>
      <c r="C19" s="55">
        <f>C6*C44</f>
        <v>62000</v>
      </c>
      <c r="D19" s="55">
        <f t="shared" ref="D19:E19" si="11">D6*D44</f>
        <v>27200.000000000004</v>
      </c>
      <c r="E19" s="55">
        <f t="shared" si="11"/>
        <v>1600</v>
      </c>
      <c r="F19" s="55">
        <f>SUM(C19:E19)</f>
        <v>90800</v>
      </c>
      <c r="G19" s="47"/>
      <c r="AB19" s="53" t="s">
        <v>46</v>
      </c>
      <c r="AC19" s="53" t="s">
        <v>45</v>
      </c>
      <c r="AD19" s="49" t="s">
        <v>19</v>
      </c>
    </row>
    <row r="20" spans="1:30">
      <c r="A20" s="161">
        <v>14</v>
      </c>
      <c r="B20" s="53" t="s">
        <v>47</v>
      </c>
      <c r="C20" s="55">
        <f>C6*C45</f>
        <v>426250</v>
      </c>
      <c r="D20" s="55">
        <f t="shared" ref="D20:E20" si="12">D6*D45</f>
        <v>187000</v>
      </c>
      <c r="E20" s="55">
        <f t="shared" si="12"/>
        <v>11000</v>
      </c>
      <c r="F20" s="55">
        <f>SUM(C20:E20)</f>
        <v>624250</v>
      </c>
      <c r="AB20" s="53" t="s">
        <v>48</v>
      </c>
      <c r="AC20" s="53" t="s">
        <v>47</v>
      </c>
    </row>
    <row r="21" spans="1:30">
      <c r="A21" s="161">
        <v>15</v>
      </c>
      <c r="B21" s="53" t="s">
        <v>49</v>
      </c>
      <c r="C21" s="60">
        <f>$F$21/$F$7*C7</f>
        <v>91042.584434654927</v>
      </c>
      <c r="D21" s="60">
        <f t="shared" ref="D21:E21" si="13">$F$21/$F$7*D7</f>
        <v>39941.262848751838</v>
      </c>
      <c r="E21" s="60">
        <f t="shared" si="13"/>
        <v>2349.4860499265787</v>
      </c>
      <c r="F21" s="55">
        <f>项目投资!E27</f>
        <v>133333.33333333334</v>
      </c>
      <c r="AB21" s="53"/>
      <c r="AC21" s="53"/>
    </row>
    <row r="22" spans="1:30">
      <c r="A22" s="161">
        <v>16</v>
      </c>
      <c r="B22" s="53" t="s">
        <v>50</v>
      </c>
      <c r="C22" s="55">
        <f>C6*C47</f>
        <v>165075</v>
      </c>
      <c r="D22" s="55">
        <f t="shared" ref="D22:E22" si="14">D6*D47</f>
        <v>72420</v>
      </c>
      <c r="E22" s="55">
        <f t="shared" si="14"/>
        <v>4260</v>
      </c>
      <c r="F22" s="55">
        <f>SUM(C22:E22)</f>
        <v>241755</v>
      </c>
      <c r="AB22" s="53" t="s">
        <v>51</v>
      </c>
      <c r="AC22" s="53" t="s">
        <v>50</v>
      </c>
    </row>
    <row r="23" spans="1:30">
      <c r="A23" s="161">
        <v>17</v>
      </c>
      <c r="B23" s="56" t="s">
        <v>52</v>
      </c>
      <c r="C23" s="60">
        <f>+C22+C21+C20+C19+C17</f>
        <v>1009167.5844346549</v>
      </c>
      <c r="D23" s="60">
        <f t="shared" ref="D23:E23" si="15">+D22+D21+D20+D19+D17</f>
        <v>460861.26284875185</v>
      </c>
      <c r="E23" s="60">
        <f t="shared" si="15"/>
        <v>57509.486049926578</v>
      </c>
      <c r="F23" s="60">
        <f t="shared" ref="F23" si="16">+F22+F21+F20+F19+F17</f>
        <v>1527538.3333333335</v>
      </c>
      <c r="AB23" s="53" t="s">
        <v>53</v>
      </c>
      <c r="AC23" s="56" t="s">
        <v>52</v>
      </c>
    </row>
    <row r="24" spans="1:30">
      <c r="A24" s="161">
        <v>18</v>
      </c>
      <c r="B24" s="61" t="s">
        <v>54</v>
      </c>
      <c r="C24" s="60">
        <f>+C15-C23</f>
        <v>-163788.65301842184</v>
      </c>
      <c r="D24" s="60">
        <f t="shared" ref="D24:E24" si="17">+D15-D23</f>
        <v>148970.90179109317</v>
      </c>
      <c r="E24" s="60">
        <f t="shared" si="17"/>
        <v>-51191.086049926584</v>
      </c>
      <c r="F24" s="60">
        <f t="shared" ref="F24" si="18">+F15-F23</f>
        <v>-66008.837277255487</v>
      </c>
      <c r="H24" s="72"/>
      <c r="AB24" s="53" t="s">
        <v>55</v>
      </c>
      <c r="AC24" s="53" t="s">
        <v>54</v>
      </c>
    </row>
    <row r="25" spans="1:30">
      <c r="A25" s="161">
        <v>19</v>
      </c>
      <c r="B25" s="53" t="s">
        <v>247</v>
      </c>
      <c r="C25" s="60">
        <f>IF(C24&lt;0,0,C24*0.15)</f>
        <v>0</v>
      </c>
      <c r="D25" s="60">
        <f t="shared" ref="D25:E25" si="19">IF(D24&lt;0,0,D24*0.15)</f>
        <v>22345.635268663977</v>
      </c>
      <c r="E25" s="60">
        <f t="shared" si="19"/>
        <v>0</v>
      </c>
      <c r="F25" s="60">
        <f>IF(F24&lt;0,0,F24*0.15)</f>
        <v>0</v>
      </c>
      <c r="G25" s="68"/>
      <c r="H25" s="68"/>
      <c r="I25" s="68"/>
      <c r="AB25" s="53" t="s">
        <v>57</v>
      </c>
      <c r="AC25" s="53" t="s">
        <v>56</v>
      </c>
    </row>
    <row r="26" spans="1:30">
      <c r="A26" s="161">
        <v>20</v>
      </c>
      <c r="B26" s="53" t="s">
        <v>58</v>
      </c>
      <c r="C26" s="60">
        <f t="shared" ref="C26:F26" si="20">C24-C25</f>
        <v>-163788.65301842184</v>
      </c>
      <c r="D26" s="60">
        <f t="shared" ref="D26:E26" si="21">D24-D25</f>
        <v>126625.2665224292</v>
      </c>
      <c r="E26" s="60">
        <f t="shared" si="21"/>
        <v>-51191.086049926584</v>
      </c>
      <c r="F26" s="60">
        <f t="shared" si="20"/>
        <v>-66008.837277255487</v>
      </c>
      <c r="G26" s="68"/>
      <c r="H26" s="68"/>
      <c r="I26" s="68"/>
      <c r="AB26" s="53" t="s">
        <v>59</v>
      </c>
      <c r="AC26" s="53" t="s">
        <v>58</v>
      </c>
    </row>
    <row r="27" spans="1:30">
      <c r="A27" s="161">
        <v>21</v>
      </c>
      <c r="B27" s="53" t="s">
        <v>62</v>
      </c>
      <c r="C27" s="62">
        <f t="shared" ref="C27:F27" si="22">C26/C7</f>
        <v>-2.1134019744312497E-2</v>
      </c>
      <c r="D27" s="62">
        <f t="shared" ref="D27:E27" si="23">D26/D7</f>
        <v>3.7242725447773295E-2</v>
      </c>
      <c r="E27" s="62">
        <f t="shared" si="23"/>
        <v>-0.25595543024963291</v>
      </c>
      <c r="F27" s="62">
        <f t="shared" si="22"/>
        <v>-5.8157565883044477E-3</v>
      </c>
      <c r="G27" s="68"/>
      <c r="H27" s="68"/>
      <c r="I27" s="68"/>
      <c r="AB27" s="53" t="s">
        <v>61</v>
      </c>
      <c r="AC27" s="53" t="s">
        <v>62</v>
      </c>
    </row>
    <row r="28" spans="1:30">
      <c r="G28" s="68"/>
      <c r="H28" s="68"/>
      <c r="I28" s="68"/>
    </row>
    <row r="29" spans="1:30">
      <c r="A29" s="49" t="s">
        <v>63</v>
      </c>
      <c r="F29" s="50" t="s">
        <v>149</v>
      </c>
      <c r="G29" s="68"/>
      <c r="H29" s="68"/>
      <c r="I29" s="68"/>
      <c r="AB29" s="49" t="s">
        <v>63</v>
      </c>
    </row>
    <row r="30" spans="1:30">
      <c r="A30" s="53" t="s">
        <v>66</v>
      </c>
      <c r="B30" s="56" t="s">
        <v>67</v>
      </c>
      <c r="C30" s="60"/>
      <c r="D30" s="60"/>
      <c r="E30" s="60"/>
      <c r="F30" s="60"/>
      <c r="G30" s="68"/>
      <c r="H30" s="68"/>
      <c r="I30" s="68"/>
      <c r="K30" s="68"/>
      <c r="AB30" s="53" t="s">
        <v>68</v>
      </c>
      <c r="AC30" s="56" t="s">
        <v>67</v>
      </c>
    </row>
    <row r="31" spans="1:30">
      <c r="A31" s="161">
        <v>1</v>
      </c>
      <c r="B31" s="58" t="s">
        <v>69</v>
      </c>
      <c r="C31" s="64">
        <f>销量!C8</f>
        <v>1550</v>
      </c>
      <c r="D31" s="64">
        <f>销量!D8</f>
        <v>680</v>
      </c>
      <c r="E31" s="64">
        <f>销量!E8</f>
        <v>40</v>
      </c>
      <c r="F31" s="60"/>
      <c r="G31" s="68"/>
      <c r="H31" s="68"/>
      <c r="I31" s="68"/>
      <c r="K31" s="68"/>
      <c r="AB31" s="53" t="s">
        <v>21</v>
      </c>
      <c r="AC31" s="53" t="s">
        <v>69</v>
      </c>
    </row>
    <row r="32" spans="1:30">
      <c r="A32" s="161">
        <v>2</v>
      </c>
      <c r="B32" s="53" t="s">
        <v>150</v>
      </c>
      <c r="C32" s="55">
        <f>C9/C6</f>
        <v>1428.48</v>
      </c>
      <c r="D32" s="55">
        <f t="shared" ref="D32:E32" si="24">D9/D6</f>
        <v>626.68799999999999</v>
      </c>
      <c r="E32" s="55">
        <f t="shared" si="24"/>
        <v>36.863999999999997</v>
      </c>
      <c r="F32" s="60"/>
      <c r="G32" s="68"/>
      <c r="H32" s="68"/>
      <c r="I32" s="68"/>
      <c r="J32" s="68"/>
      <c r="K32" s="68"/>
      <c r="L32" s="68"/>
      <c r="M32" s="68"/>
      <c r="AB32" s="53"/>
      <c r="AC32" s="53"/>
    </row>
    <row r="33" spans="1:29">
      <c r="A33" s="161">
        <v>3</v>
      </c>
      <c r="B33" s="58" t="s">
        <v>70</v>
      </c>
      <c r="C33" s="55">
        <f>材料成本!H41</f>
        <v>1136.9542137167534</v>
      </c>
      <c r="D33" s="55">
        <f>材料成本!H42</f>
        <v>451.00156707203104</v>
      </c>
      <c r="E33" s="55">
        <f>材料成本!H43</f>
        <v>32.44032</v>
      </c>
      <c r="F33" s="60"/>
      <c r="H33" s="68"/>
      <c r="I33" s="68"/>
      <c r="J33" s="68"/>
      <c r="K33" s="68"/>
      <c r="L33" s="68"/>
      <c r="M33" s="68"/>
      <c r="AB33" s="53" t="s">
        <v>23</v>
      </c>
      <c r="AC33" s="53" t="s">
        <v>70</v>
      </c>
    </row>
    <row r="34" spans="1:29" ht="17.25" customHeight="1">
      <c r="A34" s="161">
        <v>4</v>
      </c>
      <c r="B34" s="53" t="s">
        <v>72</v>
      </c>
      <c r="C34" s="65">
        <f>C32-C33</f>
        <v>291.52578628324659</v>
      </c>
      <c r="D34" s="65">
        <f t="shared" ref="D34:E34" si="25">D32-D33</f>
        <v>175.68643292796895</v>
      </c>
      <c r="E34" s="65">
        <f t="shared" si="25"/>
        <v>4.4236799999999974</v>
      </c>
      <c r="F34" s="60"/>
      <c r="H34" s="68"/>
      <c r="I34" s="68"/>
      <c r="J34" s="68"/>
      <c r="K34" s="68"/>
      <c r="L34" s="68"/>
      <c r="M34" s="68"/>
      <c r="AB34" s="53" t="s">
        <v>71</v>
      </c>
      <c r="AC34" s="53" t="s">
        <v>72</v>
      </c>
    </row>
    <row r="35" spans="1:29">
      <c r="A35" s="53" t="s">
        <v>68</v>
      </c>
      <c r="B35" s="56" t="s">
        <v>9</v>
      </c>
      <c r="C35" s="60"/>
      <c r="D35" s="60"/>
      <c r="E35" s="60"/>
      <c r="F35" s="60"/>
      <c r="G35" s="68"/>
      <c r="H35" s="68"/>
      <c r="I35" s="68"/>
      <c r="J35" s="68"/>
      <c r="K35" s="68"/>
      <c r="L35" s="68"/>
      <c r="M35" s="68"/>
      <c r="N35" s="68"/>
      <c r="AB35" s="53" t="s">
        <v>74</v>
      </c>
      <c r="AC35" s="56" t="s">
        <v>9</v>
      </c>
    </row>
    <row r="36" spans="1:29">
      <c r="A36" s="161">
        <v>1</v>
      </c>
      <c r="B36" s="53" t="s">
        <v>75</v>
      </c>
      <c r="C36" s="59">
        <f>'2023年'!C36</f>
        <v>43.4</v>
      </c>
      <c r="D36" s="59">
        <f>'2023年'!D36</f>
        <v>19.04</v>
      </c>
      <c r="E36" s="59">
        <f>'2023年'!E36</f>
        <v>1.1200000000000001</v>
      </c>
      <c r="F36" s="64"/>
      <c r="G36" s="68"/>
      <c r="H36" s="68"/>
      <c r="I36" s="68"/>
      <c r="J36" s="68"/>
      <c r="K36" s="68"/>
      <c r="L36" s="68"/>
      <c r="M36" s="68"/>
      <c r="N36" s="68"/>
      <c r="AB36" s="53" t="s">
        <v>71</v>
      </c>
      <c r="AC36" s="53" t="s">
        <v>75</v>
      </c>
    </row>
    <row r="37" spans="1:29">
      <c r="A37" s="161">
        <v>2</v>
      </c>
      <c r="B37" s="53" t="s">
        <v>76</v>
      </c>
      <c r="C37" s="59">
        <f>'2023年'!C37</f>
        <v>17.05</v>
      </c>
      <c r="D37" s="59">
        <f>'2023年'!D37</f>
        <v>7.4799999999999995</v>
      </c>
      <c r="E37" s="59">
        <f>'2023年'!E37</f>
        <v>0.43999999999999995</v>
      </c>
      <c r="F37" s="64"/>
      <c r="G37" s="68"/>
      <c r="H37" s="68"/>
      <c r="I37" s="68"/>
      <c r="J37" s="68"/>
      <c r="K37" s="68"/>
      <c r="L37" s="68"/>
      <c r="M37" s="68"/>
      <c r="N37" s="68"/>
      <c r="AB37" s="53" t="s">
        <v>26</v>
      </c>
      <c r="AC37" s="53" t="s">
        <v>76</v>
      </c>
    </row>
    <row r="38" spans="1:29">
      <c r="A38" s="161">
        <v>3</v>
      </c>
      <c r="B38" s="53" t="s">
        <v>77</v>
      </c>
      <c r="C38" s="59">
        <f>'2023年'!C38</f>
        <v>62</v>
      </c>
      <c r="D38" s="59">
        <f>'2023年'!D38</f>
        <v>27.2</v>
      </c>
      <c r="E38" s="59">
        <f>'2023年'!E38</f>
        <v>1.6</v>
      </c>
      <c r="F38" s="64"/>
      <c r="G38" s="68"/>
      <c r="H38" s="68"/>
      <c r="I38" s="68"/>
      <c r="J38" s="68"/>
      <c r="K38" s="68"/>
      <c r="L38" s="68"/>
      <c r="M38" s="68"/>
      <c r="N38" s="68"/>
      <c r="AB38" s="53" t="s">
        <v>32</v>
      </c>
      <c r="AC38" s="53" t="s">
        <v>77</v>
      </c>
    </row>
    <row r="39" spans="1:29">
      <c r="A39" s="53" t="s">
        <v>74</v>
      </c>
      <c r="B39" s="56" t="s">
        <v>79</v>
      </c>
      <c r="C39" s="60"/>
      <c r="D39" s="60"/>
      <c r="E39" s="60"/>
      <c r="F39" s="60"/>
      <c r="AB39" s="53" t="s">
        <v>78</v>
      </c>
      <c r="AC39" s="56" t="s">
        <v>79</v>
      </c>
    </row>
    <row r="40" spans="1:29">
      <c r="A40" s="161">
        <v>1</v>
      </c>
      <c r="B40" s="53" t="s">
        <v>81</v>
      </c>
      <c r="C40" s="60">
        <f>C34-C36-C37-C38</f>
        <v>169.07578628324657</v>
      </c>
      <c r="D40" s="60">
        <f t="shared" ref="D40:E40" si="26">D34-D36-D37-D38</f>
        <v>121.96643292796897</v>
      </c>
      <c r="E40" s="60">
        <f t="shared" si="26"/>
        <v>1.2636799999999972</v>
      </c>
      <c r="F40" s="60"/>
      <c r="AB40" s="53" t="s">
        <v>21</v>
      </c>
      <c r="AC40" s="53" t="s">
        <v>81</v>
      </c>
    </row>
    <row r="41" spans="1:29">
      <c r="A41" s="161">
        <v>2</v>
      </c>
      <c r="B41" s="53" t="s">
        <v>82</v>
      </c>
      <c r="C41" s="60"/>
      <c r="D41" s="60"/>
      <c r="E41" s="60"/>
      <c r="F41" s="60"/>
      <c r="AB41" s="53" t="s">
        <v>23</v>
      </c>
      <c r="AC41" s="53" t="s">
        <v>82</v>
      </c>
    </row>
    <row r="42" spans="1:29">
      <c r="A42" s="53" t="s">
        <v>78</v>
      </c>
      <c r="B42" s="56" t="s">
        <v>84</v>
      </c>
      <c r="C42" s="60"/>
      <c r="D42" s="60"/>
      <c r="E42" s="60"/>
      <c r="F42" s="60"/>
      <c r="AB42" s="53" t="s">
        <v>83</v>
      </c>
      <c r="AC42" s="56" t="s">
        <v>84</v>
      </c>
    </row>
    <row r="43" spans="1:29">
      <c r="A43" s="161">
        <v>1</v>
      </c>
      <c r="B43" s="61" t="s">
        <v>85</v>
      </c>
      <c r="C43" s="59">
        <f>'2023年'!C43</f>
        <v>46.5</v>
      </c>
      <c r="D43" s="59">
        <f>'2023年'!D43</f>
        <v>20.399999999999999</v>
      </c>
      <c r="E43" s="59">
        <f>'2023年'!E43</f>
        <v>1.2</v>
      </c>
      <c r="F43" s="60"/>
      <c r="AB43" s="53" t="s">
        <v>21</v>
      </c>
      <c r="AC43" s="53" t="s">
        <v>85</v>
      </c>
    </row>
    <row r="44" spans="1:29">
      <c r="A44" s="161">
        <v>2</v>
      </c>
      <c r="B44" s="61" t="s">
        <v>86</v>
      </c>
      <c r="C44" s="59">
        <f>'2023年'!C44</f>
        <v>12.4</v>
      </c>
      <c r="D44" s="59">
        <f>'2023年'!D44</f>
        <v>5.44</v>
      </c>
      <c r="E44" s="59">
        <f>'2023年'!E44</f>
        <v>0.32</v>
      </c>
      <c r="F44" s="60"/>
      <c r="AB44" s="53" t="s">
        <v>23</v>
      </c>
      <c r="AC44" s="53" t="s">
        <v>86</v>
      </c>
    </row>
    <row r="45" spans="1:29">
      <c r="A45" s="161">
        <v>3</v>
      </c>
      <c r="B45" s="61" t="s">
        <v>87</v>
      </c>
      <c r="C45" s="59">
        <f>'2023年'!C45</f>
        <v>85.25</v>
      </c>
      <c r="D45" s="59">
        <f>'2023年'!D45</f>
        <v>37.4</v>
      </c>
      <c r="E45" s="59">
        <f>'2023年'!E45</f>
        <v>2.2000000000000002</v>
      </c>
      <c r="F45" s="60"/>
      <c r="AB45" s="53" t="s">
        <v>71</v>
      </c>
      <c r="AC45" s="53" t="s">
        <v>87</v>
      </c>
    </row>
    <row r="46" spans="1:29" s="48" customFormat="1">
      <c r="A46" s="161">
        <v>4</v>
      </c>
      <c r="B46" s="61" t="s">
        <v>88</v>
      </c>
      <c r="C46" s="66">
        <f>C21/C6</f>
        <v>18.208516886930987</v>
      </c>
      <c r="D46" s="66">
        <f t="shared" ref="D46:E46" si="27">D21/D6</f>
        <v>7.9882525697503679</v>
      </c>
      <c r="E46" s="66">
        <f t="shared" si="27"/>
        <v>0.46989720998531576</v>
      </c>
      <c r="F46" s="66"/>
      <c r="AB46" s="61" t="s">
        <v>29</v>
      </c>
      <c r="AC46" s="61" t="s">
        <v>90</v>
      </c>
    </row>
    <row r="47" spans="1:29" s="48" customFormat="1">
      <c r="A47" s="161">
        <v>5</v>
      </c>
      <c r="B47" s="61" t="s">
        <v>90</v>
      </c>
      <c r="C47" s="59">
        <f>'2023年'!C47</f>
        <v>33.015000000000001</v>
      </c>
      <c r="D47" s="59">
        <f>'2023年'!D47</f>
        <v>14.484</v>
      </c>
      <c r="E47" s="59">
        <f>'2023年'!E47</f>
        <v>0.85199999999999998</v>
      </c>
      <c r="F47" s="66"/>
      <c r="AB47" s="61" t="s">
        <v>29</v>
      </c>
      <c r="AC47" s="61" t="s">
        <v>90</v>
      </c>
    </row>
    <row r="48" spans="1:29">
      <c r="A48" s="53" t="s">
        <v>83</v>
      </c>
      <c r="B48" s="56" t="s">
        <v>101</v>
      </c>
      <c r="C48" s="60">
        <f>C40-C43-C44-C45-C47-C46</f>
        <v>-26.297730603684421</v>
      </c>
      <c r="D48" s="60">
        <f t="shared" ref="D48:E48" si="28">D40-D43-D44-D45-D47-D46</f>
        <v>36.254180358218612</v>
      </c>
      <c r="E48" s="60">
        <f t="shared" si="28"/>
        <v>-3.7782172099853186</v>
      </c>
      <c r="F48" s="60"/>
      <c r="AB48" s="53" t="s">
        <v>100</v>
      </c>
      <c r="AC48" s="56" t="s">
        <v>101</v>
      </c>
    </row>
    <row r="51" spans="2:11">
      <c r="C51" s="67"/>
      <c r="D51" s="67"/>
      <c r="E51" s="67"/>
    </row>
    <row r="54" spans="2:11">
      <c r="B54" s="68"/>
      <c r="C54" s="69"/>
      <c r="D54" s="69"/>
      <c r="E54" s="69"/>
      <c r="F54" s="69"/>
      <c r="G54" s="68"/>
      <c r="H54" s="68"/>
      <c r="I54" s="68"/>
      <c r="J54" s="68"/>
      <c r="K54" s="68"/>
    </row>
    <row r="55" spans="2:11">
      <c r="B55" s="68"/>
      <c r="C55" s="69"/>
      <c r="D55" s="69"/>
      <c r="E55" s="69"/>
      <c r="F55" s="69"/>
      <c r="G55" s="68"/>
      <c r="H55" s="68"/>
      <c r="I55" s="68"/>
      <c r="J55" s="68"/>
      <c r="K55" s="68"/>
    </row>
    <row r="56" spans="2:11">
      <c r="B56" s="68"/>
      <c r="C56" s="69"/>
      <c r="D56" s="69"/>
      <c r="E56" s="69"/>
      <c r="F56" s="69"/>
      <c r="G56" s="68"/>
      <c r="H56" s="68"/>
      <c r="I56" s="68"/>
      <c r="J56" s="68"/>
      <c r="K56" s="68"/>
    </row>
    <row r="57" spans="2:11">
      <c r="B57" s="68"/>
      <c r="C57" s="69"/>
      <c r="D57" s="69"/>
      <c r="E57" s="69"/>
      <c r="F57" s="69"/>
      <c r="G57" s="68"/>
      <c r="H57" s="68"/>
      <c r="I57" s="68"/>
      <c r="J57" s="68"/>
      <c r="K57" s="68"/>
    </row>
    <row r="58" spans="2:11">
      <c r="B58" s="68"/>
      <c r="C58" s="69"/>
      <c r="D58" s="69"/>
      <c r="E58" s="69"/>
      <c r="F58" s="69"/>
      <c r="G58" s="68"/>
      <c r="H58" s="68"/>
      <c r="I58" s="68"/>
      <c r="J58" s="68"/>
      <c r="K58" s="68"/>
    </row>
    <row r="59" spans="2:11">
      <c r="B59" s="68"/>
      <c r="C59" s="69"/>
      <c r="D59" s="69"/>
      <c r="E59" s="69"/>
      <c r="F59" s="69"/>
      <c r="G59" s="68"/>
      <c r="H59" s="68"/>
      <c r="I59" s="68"/>
      <c r="J59" s="68"/>
      <c r="K59" s="68"/>
    </row>
    <row r="60" spans="2:11">
      <c r="B60" s="68"/>
      <c r="C60" s="69"/>
      <c r="D60" s="69"/>
      <c r="E60" s="69"/>
      <c r="F60" s="69"/>
      <c r="G60" s="68"/>
      <c r="H60" s="68"/>
      <c r="I60" s="68"/>
      <c r="J60" s="68"/>
      <c r="K60" s="68"/>
    </row>
    <row r="61" spans="2:11">
      <c r="B61" s="68"/>
      <c r="C61" s="69"/>
      <c r="D61" s="69"/>
      <c r="E61" s="69"/>
      <c r="F61" s="69"/>
      <c r="G61" s="68"/>
      <c r="H61" s="68"/>
      <c r="I61" s="68"/>
      <c r="J61" s="68"/>
      <c r="K61" s="68"/>
    </row>
    <row r="62" spans="2:11">
      <c r="B62" s="68"/>
      <c r="C62" s="69"/>
      <c r="D62" s="69"/>
      <c r="E62" s="69"/>
      <c r="F62" s="69"/>
      <c r="G62" s="68"/>
      <c r="H62" s="68"/>
      <c r="I62" s="68"/>
      <c r="J62" s="68"/>
      <c r="K62" s="68"/>
    </row>
    <row r="63" spans="2:11">
      <c r="B63" s="68"/>
      <c r="C63" s="69"/>
      <c r="D63" s="69"/>
      <c r="E63" s="69"/>
      <c r="F63" s="69"/>
      <c r="G63" s="68"/>
      <c r="H63" s="68"/>
      <c r="I63" s="68"/>
      <c r="J63" s="68"/>
      <c r="K63" s="68"/>
    </row>
    <row r="64" spans="2:11">
      <c r="B64" s="68"/>
      <c r="C64" s="69"/>
      <c r="D64" s="69"/>
      <c r="E64" s="69"/>
      <c r="F64" s="69"/>
      <c r="G64" s="68"/>
      <c r="H64" s="68"/>
      <c r="I64" s="68"/>
      <c r="J64" s="68"/>
      <c r="K64" s="68"/>
    </row>
    <row r="65" spans="2:11">
      <c r="B65" s="68"/>
      <c r="C65" s="69"/>
      <c r="D65" s="69"/>
      <c r="E65" s="69"/>
      <c r="F65" s="69"/>
      <c r="G65" s="68"/>
      <c r="H65" s="68"/>
      <c r="I65" s="68"/>
      <c r="J65" s="68"/>
      <c r="K65" s="68"/>
    </row>
    <row r="66" spans="2:11">
      <c r="B66" s="68"/>
      <c r="C66" s="69"/>
      <c r="D66" s="69"/>
      <c r="E66" s="69"/>
      <c r="F66" s="69"/>
      <c r="G66" s="68"/>
      <c r="H66" s="68"/>
      <c r="I66" s="68"/>
      <c r="J66" s="68"/>
      <c r="K66" s="68"/>
    </row>
    <row r="67" spans="2:11">
      <c r="B67" s="68"/>
      <c r="C67" s="69"/>
      <c r="D67" s="69"/>
      <c r="E67" s="69"/>
      <c r="F67" s="69"/>
      <c r="G67" s="68"/>
    </row>
    <row r="68" spans="2:11">
      <c r="B68" s="68"/>
      <c r="C68" s="69"/>
      <c r="D68" s="69"/>
      <c r="E68" s="69"/>
      <c r="F68" s="69"/>
      <c r="G68" s="68"/>
    </row>
    <row r="69" spans="2:11">
      <c r="B69" s="68"/>
      <c r="C69" s="69"/>
      <c r="D69" s="69"/>
      <c r="E69" s="69"/>
      <c r="F69" s="69"/>
      <c r="G69" s="68"/>
    </row>
    <row r="70" spans="2:11">
      <c r="B70" s="68"/>
      <c r="C70" s="69"/>
      <c r="D70" s="69"/>
      <c r="E70" s="69"/>
      <c r="F70" s="69"/>
      <c r="G70" s="68"/>
    </row>
    <row r="71" spans="2:11">
      <c r="B71" s="68"/>
      <c r="C71" s="69"/>
      <c r="D71" s="69"/>
      <c r="E71" s="69"/>
      <c r="F71" s="69"/>
      <c r="G71" s="68"/>
    </row>
    <row r="72" spans="2:11">
      <c r="B72" s="68"/>
      <c r="C72" s="69"/>
      <c r="D72" s="69"/>
      <c r="E72" s="69"/>
      <c r="F72" s="69"/>
      <c r="G72" s="68"/>
    </row>
    <row r="73" spans="2:11">
      <c r="B73" s="68"/>
      <c r="C73" s="69"/>
      <c r="D73" s="69"/>
      <c r="E73" s="69"/>
      <c r="F73" s="69"/>
      <c r="G73" s="68"/>
    </row>
    <row r="74" spans="2:11">
      <c r="B74" s="68"/>
      <c r="C74" s="69"/>
      <c r="D74" s="69"/>
      <c r="E74" s="69"/>
      <c r="F74" s="69"/>
      <c r="G74" s="68"/>
    </row>
  </sheetData>
  <mergeCells count="8">
    <mergeCell ref="F3:F5"/>
    <mergeCell ref="C2:F2"/>
    <mergeCell ref="C1:F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pane xSplit="6" ySplit="2" topLeftCell="G18" activePane="bottomRight" state="frozen"/>
      <selection pane="topRight"/>
      <selection pane="bottomLeft"/>
      <selection pane="bottomRight" activeCell="F31" sqref="F31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  <col min="24" max="24" width="11.125" customWidth="1"/>
  </cols>
  <sheetData>
    <row r="1" spans="1:25" ht="20.25">
      <c r="A1" s="263" t="s">
        <v>151</v>
      </c>
      <c r="B1" s="263"/>
      <c r="C1" s="263"/>
      <c r="E1" s="264" t="s">
        <v>248</v>
      </c>
      <c r="F1" s="265"/>
      <c r="G1" s="265"/>
      <c r="H1" s="266"/>
      <c r="J1" s="261"/>
      <c r="K1" s="261"/>
      <c r="L1" s="261"/>
      <c r="M1" s="261"/>
    </row>
    <row r="2" spans="1:25" ht="23.45" customHeight="1">
      <c r="A2" s="28" t="s">
        <v>1</v>
      </c>
      <c r="B2" s="29" t="s">
        <v>152</v>
      </c>
      <c r="C2" s="30" t="s">
        <v>153</v>
      </c>
      <c r="E2" s="1" t="s">
        <v>154</v>
      </c>
      <c r="F2" s="1" t="s">
        <v>1</v>
      </c>
      <c r="G2" s="31" t="s">
        <v>155</v>
      </c>
      <c r="H2" s="1" t="s">
        <v>153</v>
      </c>
      <c r="J2" s="193"/>
      <c r="K2" s="193"/>
      <c r="L2" s="194"/>
      <c r="M2" s="195"/>
    </row>
    <row r="3" spans="1:25" ht="15.75" customHeight="1">
      <c r="A3" s="32" t="s">
        <v>156</v>
      </c>
      <c r="B3" s="33"/>
      <c r="C3" s="34"/>
      <c r="E3" s="255" t="s">
        <v>157</v>
      </c>
      <c r="F3" s="2" t="s">
        <v>158</v>
      </c>
      <c r="G3" s="35"/>
      <c r="H3" s="2"/>
      <c r="J3" s="262"/>
      <c r="K3" s="196"/>
      <c r="L3" s="197"/>
      <c r="M3" s="196"/>
    </row>
    <row r="4" spans="1:25" ht="15.75" customHeight="1">
      <c r="A4" s="32" t="s">
        <v>159</v>
      </c>
      <c r="B4" s="33"/>
      <c r="C4" s="36"/>
      <c r="E4" s="256"/>
      <c r="F4" s="2" t="s">
        <v>160</v>
      </c>
      <c r="G4" s="218">
        <v>4</v>
      </c>
      <c r="H4" s="214" t="s">
        <v>263</v>
      </c>
      <c r="J4" s="262"/>
      <c r="K4" s="196"/>
      <c r="L4" s="197"/>
      <c r="M4" s="196"/>
    </row>
    <row r="5" spans="1:25" ht="15.75" customHeight="1">
      <c r="A5" s="32" t="s">
        <v>161</v>
      </c>
      <c r="B5" s="37">
        <f>SUM(G3:G4)</f>
        <v>4</v>
      </c>
      <c r="C5" s="34"/>
      <c r="E5" s="257" t="s">
        <v>162</v>
      </c>
      <c r="F5" s="38" t="s">
        <v>163</v>
      </c>
      <c r="G5" s="218"/>
      <c r="H5" s="219"/>
      <c r="I5" s="203"/>
      <c r="J5" s="200"/>
      <c r="K5" s="198"/>
      <c r="L5" s="199"/>
      <c r="M5" s="198"/>
    </row>
    <row r="6" spans="1:25" ht="15.75" customHeight="1">
      <c r="A6" s="32" t="s">
        <v>164</v>
      </c>
      <c r="B6" s="33"/>
      <c r="C6" s="34"/>
      <c r="E6" s="258"/>
      <c r="F6" s="38" t="s">
        <v>165</v>
      </c>
      <c r="G6" s="218">
        <v>14.6</v>
      </c>
      <c r="H6" s="214"/>
      <c r="I6" s="213"/>
      <c r="J6" s="200"/>
      <c r="K6" s="206"/>
    </row>
    <row r="7" spans="1:25" ht="15.75" customHeight="1" thickBot="1">
      <c r="A7" s="39" t="s">
        <v>166</v>
      </c>
      <c r="B7" s="37">
        <f>SUM(B3:B6)</f>
        <v>4</v>
      </c>
      <c r="C7" s="34"/>
      <c r="E7" s="258"/>
      <c r="F7" s="38" t="s">
        <v>167</v>
      </c>
      <c r="G7" s="218"/>
      <c r="H7" s="214"/>
      <c r="J7" s="200"/>
      <c r="K7" s="207"/>
    </row>
    <row r="8" spans="1:25" ht="15.75" customHeight="1" thickBot="1">
      <c r="A8" s="40" t="s">
        <v>168</v>
      </c>
      <c r="B8" s="37">
        <f>SUM(G5:G12)</f>
        <v>26.6</v>
      </c>
      <c r="C8" s="41"/>
      <c r="E8" s="258"/>
      <c r="F8" s="38" t="s">
        <v>169</v>
      </c>
      <c r="G8" s="218"/>
      <c r="H8" s="214"/>
      <c r="J8" s="200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15.75" customHeight="1" thickTop="1" thickBot="1">
      <c r="A9" s="32" t="s">
        <v>170</v>
      </c>
      <c r="B9" s="37">
        <f>SUM(G13:G21)</f>
        <v>40</v>
      </c>
      <c r="C9" s="34"/>
      <c r="E9" s="258"/>
      <c r="F9" s="2" t="s">
        <v>171</v>
      </c>
      <c r="G9" s="218">
        <v>5</v>
      </c>
      <c r="H9" s="214"/>
      <c r="J9" s="200"/>
      <c r="K9" s="208"/>
      <c r="L9" s="209"/>
      <c r="M9" s="209"/>
      <c r="N9" s="209"/>
      <c r="O9" s="209"/>
      <c r="P9" s="209"/>
      <c r="Q9" s="209"/>
      <c r="R9" s="209"/>
      <c r="S9" s="209"/>
      <c r="T9" s="210"/>
      <c r="U9" s="209"/>
      <c r="V9" s="209"/>
      <c r="W9" s="209"/>
      <c r="X9" s="210"/>
      <c r="Y9" s="209"/>
    </row>
    <row r="10" spans="1:25" ht="15.75" customHeight="1" thickBot="1">
      <c r="A10" s="36" t="s">
        <v>17</v>
      </c>
      <c r="B10" s="37">
        <f>B7+B8+B9</f>
        <v>70.599999999999994</v>
      </c>
      <c r="C10" s="34"/>
      <c r="E10" s="258"/>
      <c r="F10" s="2" t="s">
        <v>172</v>
      </c>
      <c r="G10" s="220">
        <v>3</v>
      </c>
      <c r="H10" s="214" t="s">
        <v>264</v>
      </c>
      <c r="J10" s="200"/>
      <c r="K10" s="208"/>
      <c r="L10" s="209"/>
      <c r="M10" s="209"/>
      <c r="N10" s="209"/>
      <c r="O10" s="209"/>
      <c r="P10" s="209"/>
      <c r="Q10" s="209"/>
      <c r="R10" s="209"/>
      <c r="S10" s="209"/>
      <c r="T10" s="210"/>
      <c r="U10" s="209"/>
      <c r="V10" s="209"/>
      <c r="W10" s="209"/>
      <c r="X10" s="210"/>
      <c r="Y10" s="209"/>
    </row>
    <row r="11" spans="1:25" ht="15.75" customHeight="1" thickBot="1">
      <c r="E11" s="258"/>
      <c r="F11" s="2" t="s">
        <v>173</v>
      </c>
      <c r="G11" s="220">
        <v>4</v>
      </c>
      <c r="H11" s="214"/>
      <c r="J11" s="200"/>
      <c r="K11" s="208"/>
      <c r="L11" s="209"/>
      <c r="M11" s="209"/>
      <c r="N11" s="209"/>
      <c r="O11" s="209"/>
      <c r="P11" s="209"/>
      <c r="Q11" s="209"/>
      <c r="R11" s="209"/>
      <c r="S11" s="209"/>
      <c r="T11" s="210"/>
      <c r="U11" s="209"/>
      <c r="V11" s="209"/>
      <c r="W11" s="209"/>
      <c r="X11" s="210"/>
      <c r="Y11" s="209"/>
    </row>
    <row r="12" spans="1:25" ht="15.75" customHeight="1" thickBot="1">
      <c r="E12" s="259"/>
      <c r="F12" s="2" t="s">
        <v>174</v>
      </c>
      <c r="G12" s="218" t="s">
        <v>122</v>
      </c>
      <c r="H12" s="214"/>
      <c r="J12" s="200"/>
      <c r="K12" s="208"/>
      <c r="L12" s="209"/>
      <c r="M12" s="209"/>
      <c r="N12" s="209"/>
      <c r="O12" s="209"/>
      <c r="P12" s="209"/>
      <c r="Q12" s="209"/>
      <c r="R12" s="209"/>
      <c r="S12" s="209"/>
      <c r="T12" s="210"/>
      <c r="U12" s="209"/>
      <c r="V12" s="209"/>
      <c r="W12" s="209"/>
      <c r="X12" s="210"/>
      <c r="Y12" s="212"/>
    </row>
    <row r="13" spans="1:25" ht="15.75" customHeight="1">
      <c r="E13" s="255" t="s">
        <v>49</v>
      </c>
      <c r="F13" s="2" t="s">
        <v>175</v>
      </c>
      <c r="G13" s="218">
        <v>10</v>
      </c>
      <c r="H13" s="221"/>
      <c r="J13" s="262"/>
      <c r="K13" s="196"/>
      <c r="L13" s="199"/>
      <c r="M13" s="200"/>
    </row>
    <row r="14" spans="1:25" ht="15.75" customHeight="1">
      <c r="E14" s="256"/>
      <c r="F14" s="2" t="s">
        <v>176</v>
      </c>
      <c r="G14" s="218">
        <v>3</v>
      </c>
      <c r="H14" s="214"/>
      <c r="J14" s="262"/>
      <c r="K14" s="196"/>
      <c r="L14" s="199"/>
      <c r="M14" s="196"/>
    </row>
    <row r="15" spans="1:25" ht="15.75" customHeight="1">
      <c r="E15" s="256"/>
      <c r="F15" s="2" t="s">
        <v>177</v>
      </c>
      <c r="G15" s="218"/>
      <c r="H15" s="214"/>
      <c r="J15" s="262"/>
      <c r="K15" s="196"/>
      <c r="L15" s="199"/>
      <c r="M15" s="196"/>
    </row>
    <row r="16" spans="1:25" ht="15.75" customHeight="1">
      <c r="E16" s="256"/>
      <c r="F16" s="2" t="s">
        <v>178</v>
      </c>
      <c r="G16" s="218">
        <v>3</v>
      </c>
      <c r="H16" s="214"/>
      <c r="J16" s="262"/>
      <c r="K16" s="196"/>
      <c r="L16" s="199"/>
      <c r="M16" s="196"/>
    </row>
    <row r="17" spans="1:13" ht="15.75" customHeight="1">
      <c r="E17" s="256"/>
      <c r="F17" s="2" t="s">
        <v>179</v>
      </c>
      <c r="G17" s="218">
        <v>2</v>
      </c>
      <c r="H17" s="214"/>
      <c r="J17" s="262"/>
      <c r="K17" s="196"/>
      <c r="L17" s="199"/>
      <c r="M17" s="196"/>
    </row>
    <row r="18" spans="1:13" ht="24.75" customHeight="1">
      <c r="E18" s="256"/>
      <c r="F18" s="2" t="s">
        <v>180</v>
      </c>
      <c r="G18" s="218">
        <v>12</v>
      </c>
      <c r="H18" s="222" t="s">
        <v>271</v>
      </c>
      <c r="J18" s="262"/>
      <c r="K18" s="196"/>
      <c r="L18" s="199"/>
      <c r="M18" s="196"/>
    </row>
    <row r="19" spans="1:13" ht="26.25" customHeight="1">
      <c r="E19" s="256"/>
      <c r="F19" s="2" t="s">
        <v>181</v>
      </c>
      <c r="G19" s="218">
        <v>7</v>
      </c>
      <c r="H19" s="223" t="s">
        <v>272</v>
      </c>
      <c r="J19" s="262"/>
      <c r="K19" s="196"/>
      <c r="L19" s="201"/>
      <c r="M19" s="196"/>
    </row>
    <row r="20" spans="1:13" ht="15.75" customHeight="1">
      <c r="E20" s="256"/>
      <c r="F20" s="2" t="s">
        <v>182</v>
      </c>
      <c r="G20" s="218">
        <v>3</v>
      </c>
      <c r="H20" s="214"/>
      <c r="J20" s="262"/>
      <c r="K20" s="196"/>
      <c r="L20" s="197"/>
      <c r="M20" s="196"/>
    </row>
    <row r="21" spans="1:13" ht="15.75" customHeight="1">
      <c r="E21" s="260"/>
      <c r="F21" s="2" t="s">
        <v>129</v>
      </c>
      <c r="G21" s="172"/>
      <c r="H21" s="188"/>
      <c r="J21" s="262"/>
      <c r="K21" s="196"/>
      <c r="L21" s="197"/>
      <c r="M21" s="196"/>
    </row>
    <row r="22" spans="1:13" ht="15.75" customHeight="1">
      <c r="E22" s="1" t="s">
        <v>17</v>
      </c>
      <c r="F22" s="2"/>
      <c r="G22" s="31">
        <f>SUM(G3:G21)</f>
        <v>70.599999999999994</v>
      </c>
      <c r="H22" s="2"/>
      <c r="J22" s="262"/>
      <c r="K22" s="196"/>
      <c r="L22" s="202"/>
      <c r="M22" s="196"/>
    </row>
    <row r="23" spans="1:13" ht="30.75" customHeight="1">
      <c r="E23" s="251" t="s">
        <v>183</v>
      </c>
      <c r="F23" s="251"/>
      <c r="G23" s="251"/>
      <c r="H23" s="251"/>
    </row>
    <row r="25" spans="1:13" ht="17.25">
      <c r="A25" s="19" t="s">
        <v>1</v>
      </c>
      <c r="B25" s="19" t="s">
        <v>152</v>
      </c>
      <c r="C25" s="19" t="s">
        <v>184</v>
      </c>
      <c r="D25" s="173" t="s">
        <v>16</v>
      </c>
      <c r="E25" s="173" t="s">
        <v>185</v>
      </c>
      <c r="F25" s="173" t="s">
        <v>186</v>
      </c>
      <c r="G25" s="173" t="s">
        <v>187</v>
      </c>
      <c r="H25" s="173" t="s">
        <v>234</v>
      </c>
      <c r="I25" s="22" t="s">
        <v>17</v>
      </c>
      <c r="J25" s="45" t="s">
        <v>188</v>
      </c>
    </row>
    <row r="26" spans="1:13" ht="16.5">
      <c r="A26" s="42" t="s">
        <v>147</v>
      </c>
      <c r="B26" s="43">
        <f>(B5+B8)*10000</f>
        <v>306000</v>
      </c>
      <c r="C26" s="44">
        <v>0.05</v>
      </c>
      <c r="D26" s="2"/>
      <c r="E26" s="13">
        <f>B26*(1-C26)/3</f>
        <v>96900</v>
      </c>
      <c r="F26" s="13">
        <f>E26</f>
        <v>96900</v>
      </c>
      <c r="G26" s="13">
        <f t="shared" ref="G26:G27" si="0">F26</f>
        <v>96900</v>
      </c>
      <c r="H26" s="13"/>
      <c r="I26" s="13">
        <f>SUM(E26:H26)</f>
        <v>290700</v>
      </c>
      <c r="J26" s="13">
        <f>B26*0.05</f>
        <v>15300</v>
      </c>
    </row>
    <row r="27" spans="1:13" ht="16.5">
      <c r="A27" s="42" t="s">
        <v>189</v>
      </c>
      <c r="B27" s="43">
        <f>B9*10000</f>
        <v>400000</v>
      </c>
      <c r="C27" s="13"/>
      <c r="D27" s="2"/>
      <c r="E27" s="13">
        <f>B27/3</f>
        <v>133333.33333333334</v>
      </c>
      <c r="F27" s="13">
        <f>E27</f>
        <v>133333.33333333334</v>
      </c>
      <c r="G27" s="13">
        <f t="shared" si="0"/>
        <v>133333.33333333334</v>
      </c>
      <c r="H27" s="13"/>
      <c r="I27" s="13">
        <f>SUM(E27:H27)</f>
        <v>400000</v>
      </c>
      <c r="J27" s="13"/>
    </row>
    <row r="28" spans="1:13" ht="16.5">
      <c r="A28" s="252" t="s">
        <v>109</v>
      </c>
      <c r="B28" s="253"/>
      <c r="C28" s="254"/>
      <c r="D28" s="13"/>
      <c r="E28" s="13">
        <f t="shared" ref="E28:H28" si="1">SUM(E26:E27)</f>
        <v>230233.33333333334</v>
      </c>
      <c r="F28" s="13">
        <f t="shared" si="1"/>
        <v>230233.33333333334</v>
      </c>
      <c r="G28" s="13">
        <f t="shared" si="1"/>
        <v>230233.33333333334</v>
      </c>
      <c r="H28" s="13">
        <f t="shared" si="1"/>
        <v>0</v>
      </c>
      <c r="I28" s="46"/>
      <c r="J28" s="46"/>
    </row>
    <row r="40" spans="9:9">
      <c r="I40" s="205"/>
    </row>
    <row r="41" spans="9:9" ht="37.5" customHeight="1"/>
  </sheetData>
  <mergeCells count="10">
    <mergeCell ref="J1:M1"/>
    <mergeCell ref="J3:J4"/>
    <mergeCell ref="J13:J22"/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D8" sqref="D8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190</v>
      </c>
      <c r="E1" s="17"/>
      <c r="F1" s="17"/>
      <c r="G1" s="17"/>
      <c r="H1" s="17"/>
      <c r="I1" s="17"/>
    </row>
    <row r="2" spans="1:12" ht="24" customHeight="1">
      <c r="A2" s="18" t="s">
        <v>191</v>
      </c>
      <c r="E2" s="17"/>
      <c r="F2" s="17"/>
      <c r="G2" s="17"/>
      <c r="H2" s="17"/>
      <c r="I2" s="17"/>
    </row>
    <row r="3" spans="1:12">
      <c r="C3" s="6" t="s">
        <v>192</v>
      </c>
      <c r="D3" s="9" t="s">
        <v>256</v>
      </c>
      <c r="E3" s="165">
        <v>0.04</v>
      </c>
    </row>
    <row r="4" spans="1:12">
      <c r="D4" s="6" t="s">
        <v>268</v>
      </c>
    </row>
    <row r="5" spans="1:12" ht="45" customHeight="1">
      <c r="A5" s="268" t="s">
        <v>193</v>
      </c>
      <c r="B5" s="8" t="s">
        <v>143</v>
      </c>
      <c r="C5" s="224" t="s">
        <v>273</v>
      </c>
      <c r="D5" s="224" t="s">
        <v>274</v>
      </c>
      <c r="E5" s="224" t="s">
        <v>275</v>
      </c>
      <c r="F5" s="15"/>
      <c r="G5" s="15"/>
      <c r="H5" s="15"/>
      <c r="I5" s="267" t="s">
        <v>17</v>
      </c>
    </row>
    <row r="6" spans="1:12" ht="31.5" customHeight="1">
      <c r="A6" s="268"/>
      <c r="B6" s="8" t="s">
        <v>144</v>
      </c>
      <c r="C6" s="225" t="s">
        <v>276</v>
      </c>
      <c r="D6" s="225" t="s">
        <v>277</v>
      </c>
      <c r="E6" s="225" t="s">
        <v>277</v>
      </c>
      <c r="F6" s="15"/>
      <c r="G6" s="15"/>
      <c r="H6" s="15"/>
      <c r="I6" s="267"/>
      <c r="K6" s="6">
        <v>100</v>
      </c>
    </row>
    <row r="7" spans="1:12" ht="16.5" customHeight="1">
      <c r="A7" s="268"/>
      <c r="B7" s="21" t="s">
        <v>194</v>
      </c>
      <c r="C7" s="226" t="s">
        <v>278</v>
      </c>
      <c r="D7" s="225" t="s">
        <v>279</v>
      </c>
      <c r="E7" s="225" t="s">
        <v>280</v>
      </c>
      <c r="F7" s="20"/>
      <c r="G7" s="20"/>
      <c r="H7" s="20"/>
      <c r="I7" s="267"/>
      <c r="K7" s="6">
        <f>K6*(1-$E$3)</f>
        <v>96</v>
      </c>
      <c r="L7" s="6">
        <f>K7/$K$6</f>
        <v>0.96</v>
      </c>
    </row>
    <row r="8" spans="1:12" ht="33">
      <c r="A8" s="268"/>
      <c r="B8" s="21" t="s">
        <v>195</v>
      </c>
      <c r="C8" s="227">
        <v>1550</v>
      </c>
      <c r="D8" s="227">
        <v>680</v>
      </c>
      <c r="E8" s="228">
        <v>40</v>
      </c>
      <c r="F8" s="20"/>
      <c r="G8" s="20"/>
      <c r="H8" s="20"/>
      <c r="I8" s="267"/>
      <c r="K8" s="6">
        <f>K7*(1-$E$3)</f>
        <v>92.16</v>
      </c>
      <c r="L8" s="6">
        <f t="shared" ref="L8:L10" si="0">K8/$K$6</f>
        <v>0.92159999999999997</v>
      </c>
    </row>
    <row r="9" spans="1:12" ht="18.75">
      <c r="A9" s="268" t="s">
        <v>196</v>
      </c>
      <c r="B9" s="174" t="s">
        <v>16</v>
      </c>
      <c r="C9" s="181"/>
      <c r="D9" s="181"/>
      <c r="E9" s="181"/>
      <c r="F9" s="182"/>
      <c r="G9" s="182"/>
      <c r="H9" s="183"/>
      <c r="I9" s="26">
        <f>SUM(C9:H9)</f>
        <v>0</v>
      </c>
      <c r="K9" s="6">
        <f t="shared" ref="K9:K10" si="1">K8*(1-$E$3)</f>
        <v>88.47359999999999</v>
      </c>
      <c r="L9" s="6">
        <f t="shared" si="0"/>
        <v>0.88473599999999986</v>
      </c>
    </row>
    <row r="10" spans="1:12" ht="18.75">
      <c r="A10" s="268"/>
      <c r="B10" s="174" t="s">
        <v>185</v>
      </c>
      <c r="C10" s="229">
        <v>3000</v>
      </c>
      <c r="D10" s="229">
        <v>3000</v>
      </c>
      <c r="E10" s="229">
        <v>3000</v>
      </c>
      <c r="F10" s="182"/>
      <c r="G10" s="182"/>
      <c r="H10" s="183"/>
      <c r="I10" s="26">
        <f t="shared" ref="I10:I14" si="2">SUM(C10:H10)</f>
        <v>9000</v>
      </c>
      <c r="K10" s="6">
        <f t="shared" si="1"/>
        <v>84.93465599999999</v>
      </c>
      <c r="L10" s="6">
        <f t="shared" si="0"/>
        <v>0.84934655999999986</v>
      </c>
    </row>
    <row r="11" spans="1:12" ht="18.75">
      <c r="A11" s="268"/>
      <c r="B11" s="174" t="s">
        <v>186</v>
      </c>
      <c r="C11" s="229">
        <v>5000</v>
      </c>
      <c r="D11" s="229">
        <v>5000</v>
      </c>
      <c r="E11" s="229">
        <v>5000</v>
      </c>
      <c r="F11" s="182"/>
      <c r="G11" s="182"/>
      <c r="H11" s="183"/>
      <c r="I11" s="26">
        <f t="shared" si="2"/>
        <v>15000</v>
      </c>
    </row>
    <row r="12" spans="1:12" ht="18.75">
      <c r="A12" s="268"/>
      <c r="B12" s="174" t="s">
        <v>187</v>
      </c>
      <c r="C12" s="229">
        <v>5000</v>
      </c>
      <c r="D12" s="229">
        <v>5000</v>
      </c>
      <c r="E12" s="229">
        <v>5000</v>
      </c>
      <c r="F12" s="182"/>
      <c r="G12" s="182"/>
      <c r="H12" s="183"/>
      <c r="I12" s="26">
        <f t="shared" si="2"/>
        <v>15000</v>
      </c>
    </row>
    <row r="13" spans="1:12" ht="18.75">
      <c r="A13" s="268"/>
      <c r="B13" s="174" t="s">
        <v>234</v>
      </c>
      <c r="C13" s="181"/>
      <c r="D13" s="181"/>
      <c r="E13" s="181"/>
      <c r="F13" s="182"/>
      <c r="G13" s="182"/>
      <c r="H13" s="183"/>
      <c r="I13" s="26">
        <f t="shared" si="2"/>
        <v>0</v>
      </c>
    </row>
    <row r="14" spans="1:12" ht="17.25">
      <c r="A14" s="268"/>
      <c r="B14" s="174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67" t="s">
        <v>17</v>
      </c>
      <c r="B15" s="267"/>
      <c r="C15" s="24">
        <f t="shared" ref="C15:I15" si="3">SUM(C9:C14)</f>
        <v>13000</v>
      </c>
      <c r="D15" s="24">
        <f t="shared" si="3"/>
        <v>13000</v>
      </c>
      <c r="E15" s="24">
        <f t="shared" si="3"/>
        <v>13000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39000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workbookViewId="0">
      <pane xSplit="3" ySplit="5" topLeftCell="D39" activePane="bottomRight" state="frozen"/>
      <selection pane="topRight"/>
      <selection pane="bottomLeft"/>
      <selection pane="bottomRight" activeCell="F42" sqref="F42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85" t="s">
        <v>7</v>
      </c>
      <c r="B1" s="285"/>
      <c r="C1" s="7"/>
      <c r="K1" s="14"/>
    </row>
    <row r="2" spans="1:12">
      <c r="A2" s="286" t="s">
        <v>197</v>
      </c>
      <c r="B2" s="286"/>
      <c r="C2" s="287"/>
      <c r="D2" s="287"/>
      <c r="E2" s="288" t="s">
        <v>265</v>
      </c>
      <c r="F2" s="289"/>
      <c r="G2" s="289"/>
      <c r="H2" s="289"/>
      <c r="I2" s="289"/>
      <c r="J2" s="290"/>
    </row>
    <row r="3" spans="1:12">
      <c r="A3" s="276" t="s">
        <v>15</v>
      </c>
      <c r="B3" s="276" t="s">
        <v>198</v>
      </c>
      <c r="C3" s="8" t="s">
        <v>199</v>
      </c>
      <c r="D3" s="291" t="s">
        <v>249</v>
      </c>
      <c r="E3" s="291"/>
      <c r="F3" s="8" t="s">
        <v>200</v>
      </c>
      <c r="G3" s="277"/>
      <c r="H3" s="278"/>
      <c r="I3" s="279"/>
      <c r="J3" s="292" t="s">
        <v>153</v>
      </c>
    </row>
    <row r="4" spans="1:12" ht="35.25" customHeight="1">
      <c r="A4" s="276"/>
      <c r="B4" s="276"/>
      <c r="C4" s="8" t="s">
        <v>143</v>
      </c>
      <c r="D4" s="186" t="str">
        <f>销量!C5</f>
        <v>H5000S经济型空气主座椅</v>
      </c>
      <c r="E4" s="162" t="str">
        <f>销量!D5</f>
        <v>副座椅</v>
      </c>
      <c r="F4" s="162" t="str">
        <f>销量!E5</f>
        <v>底支架</v>
      </c>
      <c r="G4" s="162">
        <f>销量!F5</f>
        <v>0</v>
      </c>
      <c r="H4" s="162">
        <f>销量!G5</f>
        <v>0</v>
      </c>
      <c r="I4" s="162">
        <f>销量!H5</f>
        <v>0</v>
      </c>
      <c r="J4" s="293"/>
    </row>
    <row r="5" spans="1:12">
      <c r="A5" s="276"/>
      <c r="B5" s="276"/>
      <c r="C5" s="8" t="s">
        <v>144</v>
      </c>
      <c r="D5" s="187" t="str">
        <f>销量!C6</f>
        <v>DZ16231510230</v>
      </c>
      <c r="E5" s="162" t="str">
        <f>销量!D6</f>
        <v>暂无</v>
      </c>
      <c r="F5" s="162" t="str">
        <f>销量!E6</f>
        <v>暂无</v>
      </c>
      <c r="G5" s="162">
        <f>销量!F6</f>
        <v>0</v>
      </c>
      <c r="H5" s="162">
        <f>销量!G6</f>
        <v>0</v>
      </c>
      <c r="I5" s="162">
        <f>销量!H6</f>
        <v>0</v>
      </c>
      <c r="J5" s="294"/>
    </row>
    <row r="6" spans="1:12" ht="16.5" customHeight="1">
      <c r="A6" s="11">
        <v>1</v>
      </c>
      <c r="B6" s="271"/>
      <c r="C6" s="272"/>
      <c r="D6" s="12">
        <f>'[2]主驾驶座椅  '!$BI$12</f>
        <v>1233.6742770364078</v>
      </c>
      <c r="E6" s="12">
        <f>[3]H5000S翻折副驾!$BA$57</f>
        <v>489.3680198264226</v>
      </c>
      <c r="F6" s="12">
        <f>[3]H5000S翻折副驾!$BB$57</f>
        <v>35.200000000000003</v>
      </c>
      <c r="G6" s="12"/>
      <c r="H6" s="12"/>
      <c r="I6" s="12"/>
      <c r="J6" s="176"/>
    </row>
    <row r="7" spans="1:12" ht="16.5" customHeight="1">
      <c r="A7" s="11">
        <v>2</v>
      </c>
      <c r="B7" s="271"/>
      <c r="C7" s="272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71"/>
      <c r="C8" s="272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71"/>
      <c r="C9" s="272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71"/>
      <c r="C10" s="272"/>
      <c r="D10" s="12"/>
      <c r="E10" s="10"/>
      <c r="F10" s="12"/>
      <c r="G10" s="10"/>
      <c r="H10" s="10"/>
      <c r="I10" s="10"/>
      <c r="J10" s="15"/>
      <c r="K10" s="269"/>
      <c r="L10" s="270"/>
    </row>
    <row r="11" spans="1:12" ht="16.5" customHeight="1">
      <c r="A11" s="11">
        <v>6</v>
      </c>
      <c r="B11" s="271"/>
      <c r="C11" s="272"/>
      <c r="D11" s="12"/>
      <c r="E11" s="10"/>
      <c r="F11" s="12"/>
      <c r="G11" s="10"/>
      <c r="H11" s="10"/>
      <c r="I11" s="10"/>
      <c r="J11" s="15"/>
      <c r="K11" s="269"/>
      <c r="L11" s="270"/>
    </row>
    <row r="12" spans="1:12" ht="16.5" customHeight="1">
      <c r="A12" s="11">
        <v>7</v>
      </c>
      <c r="B12" s="271"/>
      <c r="C12" s="272"/>
      <c r="D12" s="12"/>
      <c r="E12" s="10"/>
      <c r="F12" s="12"/>
      <c r="G12" s="10"/>
      <c r="H12" s="10"/>
      <c r="I12" s="10"/>
      <c r="J12" s="15"/>
      <c r="K12" s="269"/>
      <c r="L12" s="270"/>
    </row>
    <row r="13" spans="1:12" ht="16.5" customHeight="1">
      <c r="A13" s="11">
        <v>8</v>
      </c>
      <c r="B13" s="271"/>
      <c r="C13" s="272"/>
      <c r="D13" s="12"/>
      <c r="E13" s="10"/>
      <c r="F13" s="12"/>
      <c r="G13" s="10"/>
      <c r="H13" s="10"/>
      <c r="I13" s="10"/>
      <c r="J13" s="15"/>
      <c r="K13" s="269"/>
      <c r="L13" s="270"/>
    </row>
    <row r="14" spans="1:12" ht="16.5" customHeight="1">
      <c r="A14" s="11">
        <v>9</v>
      </c>
      <c r="B14" s="271"/>
      <c r="C14" s="272"/>
      <c r="D14" s="12"/>
      <c r="E14" s="10"/>
      <c r="F14" s="12"/>
      <c r="G14" s="10"/>
      <c r="H14" s="10"/>
      <c r="I14" s="10"/>
      <c r="J14" s="15"/>
      <c r="K14" s="269"/>
      <c r="L14" s="270"/>
    </row>
    <row r="15" spans="1:12" ht="16.5" customHeight="1">
      <c r="A15" s="11">
        <v>10</v>
      </c>
      <c r="B15" s="271"/>
      <c r="C15" s="272"/>
      <c r="D15" s="12"/>
      <c r="E15" s="10"/>
      <c r="F15" s="12"/>
      <c r="G15" s="10"/>
      <c r="H15" s="10"/>
      <c r="I15" s="10"/>
      <c r="J15" s="15"/>
      <c r="K15" s="269"/>
      <c r="L15" s="270"/>
    </row>
    <row r="16" spans="1:12" ht="16.5" customHeight="1">
      <c r="A16" s="11">
        <v>11</v>
      </c>
      <c r="B16" s="271"/>
      <c r="C16" s="272"/>
      <c r="D16" s="12"/>
      <c r="E16" s="10"/>
      <c r="F16" s="12"/>
      <c r="G16" s="10"/>
      <c r="H16" s="10"/>
      <c r="I16" s="10"/>
      <c r="J16" s="15"/>
      <c r="K16" s="269"/>
      <c r="L16" s="270"/>
    </row>
    <row r="17" spans="1:12" ht="16.5" customHeight="1">
      <c r="A17" s="11">
        <v>12</v>
      </c>
      <c r="B17" s="271"/>
      <c r="C17" s="272"/>
      <c r="D17" s="12"/>
      <c r="E17" s="10"/>
      <c r="F17" s="12"/>
      <c r="G17" s="10"/>
      <c r="H17" s="10"/>
      <c r="I17" s="10"/>
      <c r="J17" s="15"/>
      <c r="K17" s="269"/>
      <c r="L17" s="270"/>
    </row>
    <row r="18" spans="1:12" ht="16.5" customHeight="1">
      <c r="A18" s="11">
        <v>13</v>
      </c>
      <c r="B18" s="271"/>
      <c r="C18" s="272"/>
      <c r="D18" s="12"/>
      <c r="E18" s="10"/>
      <c r="F18" s="12"/>
      <c r="G18" s="10"/>
      <c r="H18" s="10"/>
      <c r="I18" s="10"/>
      <c r="J18" s="15"/>
      <c r="K18" s="269"/>
      <c r="L18" s="270"/>
    </row>
    <row r="19" spans="1:12" ht="16.5" customHeight="1">
      <c r="A19" s="11">
        <v>14</v>
      </c>
      <c r="B19" s="271"/>
      <c r="C19" s="272"/>
      <c r="D19" s="12"/>
      <c r="E19" s="10"/>
      <c r="F19" s="12"/>
      <c r="G19" s="10"/>
      <c r="H19" s="10"/>
      <c r="I19" s="10"/>
      <c r="J19" s="15"/>
      <c r="K19" s="269"/>
      <c r="L19" s="270"/>
    </row>
    <row r="20" spans="1:12" ht="16.5" customHeight="1">
      <c r="A20" s="11">
        <v>15</v>
      </c>
      <c r="B20" s="271"/>
      <c r="C20" s="272"/>
      <c r="D20" s="12"/>
      <c r="E20" s="12"/>
      <c r="F20" s="12"/>
      <c r="G20" s="12"/>
      <c r="H20" s="10"/>
      <c r="I20" s="10"/>
      <c r="J20" s="15"/>
      <c r="K20" s="269"/>
      <c r="L20" s="270"/>
    </row>
    <row r="21" spans="1:12" ht="16.5" customHeight="1">
      <c r="A21" s="11">
        <v>16</v>
      </c>
      <c r="B21" s="271"/>
      <c r="C21" s="272"/>
      <c r="D21" s="10"/>
      <c r="E21" s="12"/>
      <c r="F21" s="10"/>
      <c r="G21" s="12"/>
      <c r="H21" s="10"/>
      <c r="I21" s="10"/>
      <c r="J21" s="15"/>
      <c r="K21" s="269"/>
      <c r="L21" s="270"/>
    </row>
    <row r="22" spans="1:12" ht="16.5" customHeight="1">
      <c r="A22" s="11">
        <v>17</v>
      </c>
      <c r="B22" s="271"/>
      <c r="C22" s="272"/>
      <c r="D22" s="10"/>
      <c r="E22" s="12"/>
      <c r="F22" s="10"/>
      <c r="G22" s="12"/>
      <c r="H22" s="10"/>
      <c r="I22" s="10"/>
      <c r="J22" s="15"/>
      <c r="K22" s="269"/>
      <c r="L22" s="270"/>
    </row>
    <row r="23" spans="1:12" ht="16.5" customHeight="1">
      <c r="A23" s="11">
        <v>18</v>
      </c>
      <c r="B23" s="271"/>
      <c r="C23" s="272"/>
      <c r="D23" s="10"/>
      <c r="E23" s="12"/>
      <c r="F23" s="10"/>
      <c r="G23" s="12"/>
      <c r="H23" s="10"/>
      <c r="I23" s="10"/>
      <c r="J23" s="15"/>
      <c r="K23" s="269"/>
      <c r="L23" s="270"/>
    </row>
    <row r="24" spans="1:12" ht="16.5" customHeight="1">
      <c r="A24" s="11">
        <v>19</v>
      </c>
      <c r="B24" s="271"/>
      <c r="C24" s="272"/>
      <c r="D24" s="10"/>
      <c r="E24" s="12"/>
      <c r="F24" s="10"/>
      <c r="G24" s="12"/>
      <c r="H24" s="10"/>
      <c r="I24" s="10"/>
      <c r="J24" s="15"/>
      <c r="K24" s="269"/>
      <c r="L24" s="270"/>
    </row>
    <row r="25" spans="1:12">
      <c r="A25" s="11">
        <v>20</v>
      </c>
      <c r="B25" s="271"/>
      <c r="C25" s="272"/>
      <c r="D25" s="10"/>
      <c r="E25" s="12"/>
      <c r="F25" s="10"/>
      <c r="G25" s="12"/>
      <c r="H25" s="10"/>
      <c r="I25" s="10"/>
      <c r="J25" s="15"/>
      <c r="K25" s="269"/>
      <c r="L25" s="270"/>
    </row>
    <row r="26" spans="1:12">
      <c r="A26" s="11">
        <v>21</v>
      </c>
      <c r="B26" s="271"/>
      <c r="C26" s="272"/>
      <c r="D26" s="10"/>
      <c r="E26" s="12"/>
      <c r="F26" s="10"/>
      <c r="G26" s="12"/>
      <c r="H26" s="10"/>
      <c r="I26" s="10"/>
      <c r="J26" s="15"/>
      <c r="K26" s="269"/>
      <c r="L26" s="270"/>
    </row>
    <row r="27" spans="1:12">
      <c r="A27" s="11">
        <v>22</v>
      </c>
      <c r="B27" s="271"/>
      <c r="C27" s="272"/>
      <c r="D27" s="10"/>
      <c r="E27" s="12"/>
      <c r="F27" s="10"/>
      <c r="G27" s="12"/>
      <c r="H27" s="10"/>
      <c r="I27" s="10"/>
      <c r="J27" s="15"/>
      <c r="K27" s="269"/>
      <c r="L27" s="270"/>
    </row>
    <row r="28" spans="1:12">
      <c r="A28" s="11">
        <v>23</v>
      </c>
      <c r="B28" s="271"/>
      <c r="C28" s="272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71"/>
      <c r="C29" s="272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71"/>
      <c r="C30" s="272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71"/>
      <c r="C31" s="272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71"/>
      <c r="C32" s="272"/>
      <c r="D32" s="10"/>
      <c r="E32" s="10"/>
      <c r="F32" s="10"/>
      <c r="G32" s="10"/>
      <c r="H32" s="10"/>
      <c r="I32" s="10"/>
      <c r="J32" s="15"/>
    </row>
    <row r="33" spans="1:10" ht="31.5" customHeight="1">
      <c r="A33" s="273" t="s">
        <v>201</v>
      </c>
      <c r="B33" s="274"/>
      <c r="C33" s="275"/>
      <c r="D33" s="13">
        <f t="shared" ref="D33:I33" si="0">SUM(D6:D32)</f>
        <v>1233.6742770364078</v>
      </c>
      <c r="E33" s="13">
        <f t="shared" si="0"/>
        <v>489.3680198264226</v>
      </c>
      <c r="F33" s="13">
        <f t="shared" si="0"/>
        <v>35.200000000000003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6"/>
      <c r="E34" s="25"/>
      <c r="F34" s="25"/>
    </row>
    <row r="35" spans="1:10">
      <c r="D35" s="25"/>
      <c r="E35" s="25"/>
      <c r="F35" s="25"/>
    </row>
    <row r="36" spans="1:10">
      <c r="D36" s="204"/>
      <c r="E36" s="25"/>
      <c r="F36" s="25"/>
    </row>
    <row r="38" spans="1:10" ht="27.75" customHeight="1">
      <c r="D38" s="268" t="s">
        <v>266</v>
      </c>
      <c r="E38" s="268"/>
      <c r="F38" s="268"/>
      <c r="G38" s="268"/>
      <c r="H38" s="268"/>
      <c r="I38" s="268"/>
      <c r="J38" s="268"/>
    </row>
    <row r="39" spans="1:10">
      <c r="D39" s="280" t="s">
        <v>232</v>
      </c>
      <c r="E39" s="282" t="s">
        <v>233</v>
      </c>
      <c r="F39" s="283"/>
      <c r="G39" s="283"/>
      <c r="H39" s="283"/>
      <c r="I39" s="283"/>
      <c r="J39" s="284"/>
    </row>
    <row r="40" spans="1:10">
      <c r="D40" s="281"/>
      <c r="E40" s="170" t="s">
        <v>241</v>
      </c>
      <c r="F40" s="170" t="s">
        <v>242</v>
      </c>
      <c r="G40" s="170" t="s">
        <v>243</v>
      </c>
      <c r="H40" s="170" t="s">
        <v>244</v>
      </c>
      <c r="I40" s="174" t="s">
        <v>245</v>
      </c>
      <c r="J40" s="170"/>
    </row>
    <row r="41" spans="1:10" ht="28.5">
      <c r="D41" s="162" t="str">
        <f>D4</f>
        <v>H5000S经济型空气主座椅</v>
      </c>
      <c r="E41" s="15"/>
      <c r="F41" s="171">
        <f>D33</f>
        <v>1233.6742770364078</v>
      </c>
      <c r="G41" s="171">
        <f>F41*(1-0.04)</f>
        <v>1184.3273059549515</v>
      </c>
      <c r="H41" s="171">
        <f t="shared" ref="H41:H42" si="1">G41*(1-0.04)</f>
        <v>1136.9542137167534</v>
      </c>
      <c r="I41" s="171"/>
      <c r="J41" s="171"/>
    </row>
    <row r="42" spans="1:10">
      <c r="D42" s="15" t="str">
        <f>E4</f>
        <v>副座椅</v>
      </c>
      <c r="E42" s="15"/>
      <c r="F42" s="177">
        <f>E33</f>
        <v>489.3680198264226</v>
      </c>
      <c r="G42" s="171">
        <f t="shared" ref="G42:G43" si="2">F42*(1-0.04)</f>
        <v>469.79329903336566</v>
      </c>
      <c r="H42" s="171">
        <f t="shared" si="1"/>
        <v>451.00156707203104</v>
      </c>
      <c r="I42" s="171"/>
      <c r="J42" s="171"/>
    </row>
    <row r="43" spans="1:10">
      <c r="D43" s="15" t="str">
        <f>F4</f>
        <v>底支架</v>
      </c>
      <c r="E43" s="15"/>
      <c r="F43" s="177">
        <f>F33</f>
        <v>35.200000000000003</v>
      </c>
      <c r="G43" s="171">
        <f t="shared" si="2"/>
        <v>33.792000000000002</v>
      </c>
      <c r="H43" s="171">
        <f t="shared" ref="H43" si="3">G43*(1-0.04)</f>
        <v>32.44032</v>
      </c>
      <c r="I43" s="171"/>
      <c r="J43" s="171"/>
    </row>
    <row r="44" spans="1:10">
      <c r="D44" s="15"/>
      <c r="E44" s="177">
        <f>G33</f>
        <v>0</v>
      </c>
      <c r="F44" s="171">
        <f t="shared" ref="F44:H44" si="4">E44*(1-0.04)</f>
        <v>0</v>
      </c>
      <c r="G44" s="171">
        <f t="shared" si="4"/>
        <v>0</v>
      </c>
      <c r="H44" s="171">
        <f t="shared" si="4"/>
        <v>0</v>
      </c>
      <c r="I44" s="171"/>
      <c r="J44" s="171"/>
    </row>
    <row r="45" spans="1:10">
      <c r="D45" s="15"/>
      <c r="E45" s="177">
        <f>H33</f>
        <v>0</v>
      </c>
      <c r="F45" s="171">
        <f t="shared" ref="F45:H45" si="5">E45*(1-0.04)</f>
        <v>0</v>
      </c>
      <c r="G45" s="171">
        <f t="shared" si="5"/>
        <v>0</v>
      </c>
      <c r="H45" s="171">
        <f t="shared" si="5"/>
        <v>0</v>
      </c>
      <c r="I45" s="171"/>
      <c r="J45" s="171"/>
    </row>
    <row r="46" spans="1:10">
      <c r="D46" s="15"/>
      <c r="E46" s="177">
        <f>I33</f>
        <v>0</v>
      </c>
      <c r="F46" s="171">
        <f t="shared" ref="F46:H46" si="6">E46*(1-0.04)</f>
        <v>0</v>
      </c>
      <c r="G46" s="171">
        <f t="shared" si="6"/>
        <v>0</v>
      </c>
      <c r="H46" s="171">
        <f t="shared" si="6"/>
        <v>0</v>
      </c>
      <c r="I46" s="171"/>
      <c r="J46" s="171"/>
    </row>
  </sheetData>
  <mergeCells count="57"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5</vt:i4>
      </vt:variant>
    </vt:vector>
  </HeadingPairs>
  <TitlesOfParts>
    <vt:vector size="17" baseType="lpstr">
      <vt:lpstr>假设条件</vt:lpstr>
      <vt:lpstr>损益表</vt:lpstr>
      <vt:lpstr>现金</vt:lpstr>
      <vt:lpstr>2023年</vt:lpstr>
      <vt:lpstr>2024年</vt:lpstr>
      <vt:lpstr>2025年</vt:lpstr>
      <vt:lpstr>项目投资</vt:lpstr>
      <vt:lpstr>销量</vt:lpstr>
      <vt:lpstr>材料成本</vt:lpstr>
      <vt:lpstr>其他</vt:lpstr>
      <vt:lpstr>标准成本</vt:lpstr>
      <vt:lpstr>附加值</vt:lpstr>
      <vt:lpstr>'2023年'!Print_Area</vt:lpstr>
      <vt:lpstr>'2024年'!Print_Area</vt:lpstr>
      <vt:lpstr>'2025年'!Print_Area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2023-01-29T05:59:09Z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