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项目类\可行性分析\李尔B01V71发泡投资收益分析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'2023年'!$A$1:$K$48</definedName>
    <definedName name="_xlnm.Print_Area" localSheetId="4">'2024年'!$A$1:$K$48</definedName>
    <definedName name="_xlnm.Print_Area" localSheetId="5">'2025年'!$A$1:$K$48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K24" i="50" l="1"/>
  <c r="K10" i="50"/>
  <c r="C14" i="2"/>
  <c r="D6" i="50"/>
  <c r="D5" i="50"/>
  <c r="D4" i="50"/>
  <c r="C38" i="43"/>
  <c r="D33" i="43"/>
  <c r="D10" i="43" s="1"/>
  <c r="E21" i="53"/>
  <c r="E20" i="53"/>
  <c r="C21" i="53"/>
  <c r="C20" i="53"/>
  <c r="K21" i="57" l="1"/>
  <c r="K21" i="59"/>
  <c r="K21" i="58"/>
  <c r="C33" i="43"/>
  <c r="D7" i="50"/>
  <c r="C33" i="56" l="1"/>
  <c r="E110" i="50" l="1"/>
  <c r="E111" i="50"/>
  <c r="E112" i="50"/>
  <c r="E113" i="50"/>
  <c r="E114" i="50"/>
  <c r="E115" i="50"/>
  <c r="E116" i="50"/>
  <c r="E117" i="50"/>
  <c r="E97" i="50"/>
  <c r="E98" i="50"/>
  <c r="E99" i="50"/>
  <c r="E100" i="50"/>
  <c r="E101" i="50"/>
  <c r="E102" i="50"/>
  <c r="E103" i="50"/>
  <c r="E104" i="50"/>
  <c r="E84" i="50"/>
  <c r="E85" i="50"/>
  <c r="E86" i="50"/>
  <c r="E87" i="50"/>
  <c r="E88" i="50"/>
  <c r="E89" i="50"/>
  <c r="E90" i="50"/>
  <c r="E91" i="50"/>
  <c r="E71" i="50"/>
  <c r="E72" i="50"/>
  <c r="E73" i="50"/>
  <c r="E74" i="50"/>
  <c r="E75" i="50"/>
  <c r="E76" i="50"/>
  <c r="E77" i="50"/>
  <c r="E78" i="50"/>
  <c r="E58" i="50"/>
  <c r="E59" i="50"/>
  <c r="E60" i="50"/>
  <c r="E61" i="50"/>
  <c r="E62" i="50"/>
  <c r="E63" i="50"/>
  <c r="E64" i="50"/>
  <c r="E65" i="50"/>
  <c r="E45" i="50"/>
  <c r="E46" i="50"/>
  <c r="E47" i="50"/>
  <c r="E48" i="50"/>
  <c r="E49" i="50"/>
  <c r="E50" i="50"/>
  <c r="E51" i="50"/>
  <c r="E52" i="50"/>
  <c r="E32" i="50"/>
  <c r="E33" i="50"/>
  <c r="E34" i="50"/>
  <c r="E35" i="50"/>
  <c r="E36" i="50"/>
  <c r="E37" i="50"/>
  <c r="E38" i="50"/>
  <c r="E39" i="50"/>
  <c r="E18" i="50"/>
  <c r="E19" i="50"/>
  <c r="E20" i="50"/>
  <c r="E21" i="50"/>
  <c r="E22" i="50"/>
  <c r="E23" i="50"/>
  <c r="E24" i="50"/>
  <c r="E25" i="50"/>
  <c r="C33" i="58" l="1"/>
  <c r="H31" i="50"/>
  <c r="D36" i="50" s="1"/>
  <c r="E45" i="43" s="1"/>
  <c r="E45" i="58" s="1"/>
  <c r="D39" i="50"/>
  <c r="E47" i="43" s="1"/>
  <c r="D37" i="50"/>
  <c r="E44" i="43"/>
  <c r="D33" i="50"/>
  <c r="E43" i="43" s="1"/>
  <c r="E43" i="58" s="1"/>
  <c r="H3" i="50"/>
  <c r="D8" i="50" s="1"/>
  <c r="C45" i="43" s="1"/>
  <c r="C45" i="59" s="1"/>
  <c r="H17" i="50"/>
  <c r="D25" i="50" s="1"/>
  <c r="D47" i="43" s="1"/>
  <c r="H44" i="50"/>
  <c r="H57" i="50"/>
  <c r="D65" i="50"/>
  <c r="G47" i="43" s="1"/>
  <c r="G22" i="43" s="1"/>
  <c r="H70" i="50"/>
  <c r="D78" i="50"/>
  <c r="H47" i="43" s="1"/>
  <c r="H83" i="50"/>
  <c r="H96" i="50"/>
  <c r="D104" i="50"/>
  <c r="J47" i="43" s="1"/>
  <c r="J22" i="43" s="1"/>
  <c r="D62" i="50"/>
  <c r="G45" i="43"/>
  <c r="G45" i="58" s="1"/>
  <c r="D75" i="50"/>
  <c r="H45" i="43" s="1"/>
  <c r="H45" i="57" s="1"/>
  <c r="D101" i="50"/>
  <c r="J45" i="43"/>
  <c r="J45" i="56" s="1"/>
  <c r="D63" i="50"/>
  <c r="G44" i="43"/>
  <c r="G44" i="58" s="1"/>
  <c r="D76" i="50"/>
  <c r="H44" i="43" s="1"/>
  <c r="D89" i="50"/>
  <c r="I44" i="43" s="1"/>
  <c r="I44" i="59" s="1"/>
  <c r="D102" i="50"/>
  <c r="J44" i="43"/>
  <c r="J44" i="58" s="1"/>
  <c r="D19" i="50"/>
  <c r="D43" i="43" s="1"/>
  <c r="D59" i="50"/>
  <c r="G43" i="43" s="1"/>
  <c r="G43" i="56" s="1"/>
  <c r="D72" i="50"/>
  <c r="H43" i="43" s="1"/>
  <c r="D98" i="50"/>
  <c r="J43" i="43" s="1"/>
  <c r="J43" i="59" s="1"/>
  <c r="D18" i="50"/>
  <c r="D36" i="43"/>
  <c r="D36" i="57" s="1"/>
  <c r="D32" i="50"/>
  <c r="E36" i="43" s="1"/>
  <c r="E36" i="57" s="1"/>
  <c r="D58" i="50"/>
  <c r="G36" i="43" s="1"/>
  <c r="D71" i="50"/>
  <c r="H36" i="43" s="1"/>
  <c r="H36" i="57" s="1"/>
  <c r="H11" i="57" s="1"/>
  <c r="D97" i="50"/>
  <c r="J36" i="43" s="1"/>
  <c r="C37" i="43"/>
  <c r="D20" i="50"/>
  <c r="D37" i="43" s="1"/>
  <c r="D37" i="56" s="1"/>
  <c r="D34" i="50"/>
  <c r="E37" i="43" s="1"/>
  <c r="D60" i="50"/>
  <c r="G37" i="43" s="1"/>
  <c r="D73" i="50"/>
  <c r="H37" i="43"/>
  <c r="H37" i="59" s="1"/>
  <c r="D99" i="50"/>
  <c r="J37" i="43" s="1"/>
  <c r="D38" i="43"/>
  <c r="D38" i="50"/>
  <c r="E38" i="43" s="1"/>
  <c r="D64" i="50"/>
  <c r="G38" i="43" s="1"/>
  <c r="D77" i="50"/>
  <c r="H38" i="43"/>
  <c r="H38" i="59" s="1"/>
  <c r="D103" i="50"/>
  <c r="J38" i="43" s="1"/>
  <c r="E44" i="57"/>
  <c r="G44" i="57"/>
  <c r="E45" i="57"/>
  <c r="G45" i="57"/>
  <c r="E36" i="59"/>
  <c r="H36" i="59"/>
  <c r="G43" i="59"/>
  <c r="E45" i="59"/>
  <c r="G47" i="59"/>
  <c r="D36" i="58"/>
  <c r="E36" i="58"/>
  <c r="E11" i="58" s="1"/>
  <c r="H36" i="58"/>
  <c r="H11" i="58" s="1"/>
  <c r="D37" i="58"/>
  <c r="G37" i="58"/>
  <c r="G12" i="58" s="1"/>
  <c r="H37" i="58"/>
  <c r="J37" i="58"/>
  <c r="E36" i="56"/>
  <c r="E11" i="56" s="1"/>
  <c r="H36" i="56"/>
  <c r="H37" i="56"/>
  <c r="E45" i="56"/>
  <c r="E20" i="56" s="1"/>
  <c r="G45" i="56"/>
  <c r="H45" i="56"/>
  <c r="H20" i="56" s="1"/>
  <c r="G7" i="57"/>
  <c r="D7" i="59"/>
  <c r="G7" i="59"/>
  <c r="J7" i="59"/>
  <c r="G17" i="55"/>
  <c r="G18" i="55" s="1"/>
  <c r="G19" i="55" s="1"/>
  <c r="J17" i="55"/>
  <c r="J18" i="55" s="1"/>
  <c r="J19" i="55" s="1"/>
  <c r="D33" i="56"/>
  <c r="D33" i="58" s="1"/>
  <c r="D33" i="59" s="1"/>
  <c r="D33" i="57" s="1"/>
  <c r="E33" i="56"/>
  <c r="E33" i="58"/>
  <c r="F33" i="56"/>
  <c r="F33" i="58" s="1"/>
  <c r="F33" i="59" s="1"/>
  <c r="G33" i="56"/>
  <c r="G33" i="58"/>
  <c r="G33" i="59" s="1"/>
  <c r="G33" i="57" s="1"/>
  <c r="G10" i="57" s="1"/>
  <c r="H33" i="56"/>
  <c r="H33" i="58"/>
  <c r="I33" i="56"/>
  <c r="I33" i="58" s="1"/>
  <c r="I33" i="59" s="1"/>
  <c r="I33" i="57" s="1"/>
  <c r="J33" i="56"/>
  <c r="J33" i="58"/>
  <c r="J33" i="59" s="1"/>
  <c r="J33" i="57" s="1"/>
  <c r="E33" i="59"/>
  <c r="E33" i="57" s="1"/>
  <c r="H33" i="59"/>
  <c r="H33" i="57" s="1"/>
  <c r="C33" i="59"/>
  <c r="C33" i="57" s="1"/>
  <c r="C10" i="57" s="1"/>
  <c r="G7" i="58"/>
  <c r="E10" i="56"/>
  <c r="H10" i="56"/>
  <c r="J10" i="56"/>
  <c r="D31" i="57"/>
  <c r="G31" i="57"/>
  <c r="I31" i="57"/>
  <c r="J31" i="57"/>
  <c r="G31" i="59"/>
  <c r="J31" i="59"/>
  <c r="F31" i="58"/>
  <c r="G31" i="56"/>
  <c r="J31" i="56"/>
  <c r="C6" i="57"/>
  <c r="D6" i="57"/>
  <c r="E6" i="57"/>
  <c r="F6" i="57"/>
  <c r="G6" i="57"/>
  <c r="H6" i="57"/>
  <c r="I6" i="57"/>
  <c r="J6" i="57"/>
  <c r="C6" i="59"/>
  <c r="D6" i="59"/>
  <c r="E6" i="59"/>
  <c r="F6" i="59"/>
  <c r="G6" i="59"/>
  <c r="H6" i="59"/>
  <c r="I6" i="59"/>
  <c r="J6" i="59"/>
  <c r="C6" i="58"/>
  <c r="K6" i="58" s="1"/>
  <c r="D6" i="58"/>
  <c r="E6" i="58"/>
  <c r="F6" i="58"/>
  <c r="G6" i="58"/>
  <c r="H6" i="58"/>
  <c r="I6" i="58"/>
  <c r="J6" i="58"/>
  <c r="E3" i="57"/>
  <c r="G3" i="57"/>
  <c r="H3" i="57"/>
  <c r="J3" i="57"/>
  <c r="F4" i="57"/>
  <c r="I4" i="57"/>
  <c r="G3" i="59"/>
  <c r="J3" i="59"/>
  <c r="D4" i="58"/>
  <c r="F4" i="58"/>
  <c r="G4" i="58"/>
  <c r="I4" i="58"/>
  <c r="J4" i="58"/>
  <c r="E7" i="56"/>
  <c r="H7" i="56"/>
  <c r="I7" i="56"/>
  <c r="C6" i="56"/>
  <c r="D6" i="56"/>
  <c r="E6" i="56"/>
  <c r="F6" i="56"/>
  <c r="G6" i="56"/>
  <c r="H6" i="56"/>
  <c r="I6" i="56"/>
  <c r="J6" i="56"/>
  <c r="G3" i="56"/>
  <c r="J3" i="56"/>
  <c r="E12" i="53"/>
  <c r="D17" i="55" s="1"/>
  <c r="D18" i="55" s="1"/>
  <c r="D19" i="55" s="1"/>
  <c r="F12" i="53"/>
  <c r="E17" i="55" s="1"/>
  <c r="E18" i="55" s="1"/>
  <c r="E19" i="55" s="1"/>
  <c r="G12" i="53"/>
  <c r="F17" i="55" s="1"/>
  <c r="F18" i="55" s="1"/>
  <c r="F19" i="55" s="1"/>
  <c r="H12" i="53"/>
  <c r="I12" i="53"/>
  <c r="H17" i="55" s="1"/>
  <c r="H18" i="55" s="1"/>
  <c r="H19" i="55" s="1"/>
  <c r="J12" i="53"/>
  <c r="I17" i="55" s="1"/>
  <c r="I18" i="55" s="1"/>
  <c r="I19" i="55" s="1"/>
  <c r="K12" i="53"/>
  <c r="D12" i="53"/>
  <c r="C17" i="55" s="1"/>
  <c r="C18" i="55" s="1"/>
  <c r="C19" i="55" s="1"/>
  <c r="G10" i="43"/>
  <c r="J10" i="43"/>
  <c r="I34" i="43"/>
  <c r="G32" i="43"/>
  <c r="G34" i="43" s="1"/>
  <c r="I32" i="43"/>
  <c r="J32" i="43"/>
  <c r="J34" i="43" s="1"/>
  <c r="D31" i="43"/>
  <c r="D31" i="58" s="1"/>
  <c r="E31" i="43"/>
  <c r="E31" i="59" s="1"/>
  <c r="F31" i="43"/>
  <c r="F31" i="59" s="1"/>
  <c r="G31" i="43"/>
  <c r="G31" i="58" s="1"/>
  <c r="H31" i="43"/>
  <c r="I31" i="43"/>
  <c r="I31" i="59" s="1"/>
  <c r="J31" i="43"/>
  <c r="J31" i="58" s="1"/>
  <c r="I19" i="43"/>
  <c r="G7" i="43"/>
  <c r="G9" i="43" s="1"/>
  <c r="I7" i="43"/>
  <c r="I9" i="43" s="1"/>
  <c r="J7" i="43"/>
  <c r="J9" i="43" s="1"/>
  <c r="D6" i="43"/>
  <c r="D12" i="43" s="1"/>
  <c r="E6" i="43"/>
  <c r="F6" i="43"/>
  <c r="G6" i="43"/>
  <c r="G12" i="43" s="1"/>
  <c r="H6" i="43"/>
  <c r="I6" i="43"/>
  <c r="J6" i="43"/>
  <c r="J12" i="43" s="1"/>
  <c r="D3" i="43"/>
  <c r="D3" i="58" s="1"/>
  <c r="E3" i="43"/>
  <c r="E3" i="59" s="1"/>
  <c r="F3" i="43"/>
  <c r="F3" i="57" s="1"/>
  <c r="G3" i="43"/>
  <c r="G3" i="58" s="1"/>
  <c r="H3" i="43"/>
  <c r="H3" i="59" s="1"/>
  <c r="I3" i="43"/>
  <c r="I3" i="57" s="1"/>
  <c r="J3" i="43"/>
  <c r="J3" i="58" s="1"/>
  <c r="D4" i="43"/>
  <c r="D4" i="57" s="1"/>
  <c r="E4" i="43"/>
  <c r="E4" i="58" s="1"/>
  <c r="F4" i="43"/>
  <c r="F4" i="59" s="1"/>
  <c r="G4" i="43"/>
  <c r="G4" i="57" s="1"/>
  <c r="H4" i="43"/>
  <c r="H4" i="58" s="1"/>
  <c r="I4" i="43"/>
  <c r="I4" i="59" s="1"/>
  <c r="J4" i="43"/>
  <c r="J4" i="57" s="1"/>
  <c r="G113" i="50"/>
  <c r="F113" i="50"/>
  <c r="G100" i="50"/>
  <c r="F100" i="50"/>
  <c r="G87" i="50"/>
  <c r="F87" i="50"/>
  <c r="G74" i="50"/>
  <c r="F74" i="50"/>
  <c r="G61" i="50"/>
  <c r="F61" i="50"/>
  <c r="G48" i="50"/>
  <c r="F48" i="50"/>
  <c r="G35" i="50"/>
  <c r="F35" i="50"/>
  <c r="G21" i="50"/>
  <c r="F21" i="50"/>
  <c r="F7" i="50"/>
  <c r="H109" i="50"/>
  <c r="D116" i="50"/>
  <c r="D4" i="53"/>
  <c r="E4" i="53"/>
  <c r="F4" i="53"/>
  <c r="G4" i="53"/>
  <c r="H4" i="53"/>
  <c r="I4" i="53"/>
  <c r="J4" i="53"/>
  <c r="K4" i="53"/>
  <c r="D5" i="53"/>
  <c r="E5" i="53"/>
  <c r="F5" i="53"/>
  <c r="G5" i="53"/>
  <c r="H5" i="53"/>
  <c r="I5" i="53"/>
  <c r="J5" i="53"/>
  <c r="K5" i="53"/>
  <c r="D100" i="50"/>
  <c r="D111" i="50"/>
  <c r="D115" i="50"/>
  <c r="D112" i="50"/>
  <c r="D113" i="50"/>
  <c r="D114" i="50"/>
  <c r="D74" i="50"/>
  <c r="D61" i="50"/>
  <c r="D87" i="50"/>
  <c r="D48" i="50"/>
  <c r="D117" i="50"/>
  <c r="D110" i="50"/>
  <c r="K8" i="43"/>
  <c r="D15" i="55"/>
  <c r="E15" i="55"/>
  <c r="F15" i="55"/>
  <c r="G15" i="55"/>
  <c r="H15" i="55"/>
  <c r="I15" i="55"/>
  <c r="J15" i="55"/>
  <c r="K15" i="55"/>
  <c r="E7" i="50"/>
  <c r="L12" i="53"/>
  <c r="D21" i="50"/>
  <c r="D35" i="50"/>
  <c r="N7" i="55"/>
  <c r="N8" i="55" s="1"/>
  <c r="L10" i="55"/>
  <c r="L11" i="55"/>
  <c r="L12" i="55"/>
  <c r="L13" i="55"/>
  <c r="L14" i="55"/>
  <c r="C15" i="55"/>
  <c r="C2" i="59"/>
  <c r="C2" i="58"/>
  <c r="C2" i="57"/>
  <c r="C2" i="56"/>
  <c r="G7" i="50"/>
  <c r="C3" i="43"/>
  <c r="C3" i="57" s="1"/>
  <c r="C4" i="43"/>
  <c r="C4" i="59" s="1"/>
  <c r="B9" i="51"/>
  <c r="B10" i="51" s="1"/>
  <c r="O7" i="55"/>
  <c r="K6" i="56"/>
  <c r="C7" i="57"/>
  <c r="C7" i="59"/>
  <c r="B5" i="51"/>
  <c r="L9" i="55"/>
  <c r="G22" i="51"/>
  <c r="B27" i="51"/>
  <c r="B8" i="51"/>
  <c r="B7" i="51"/>
  <c r="C31" i="43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/>
  <c r="E6" i="36"/>
  <c r="E5" i="36"/>
  <c r="K5" i="36"/>
  <c r="J5" i="36"/>
  <c r="D5" i="36"/>
  <c r="C5" i="36"/>
  <c r="D4" i="36"/>
  <c r="E4" i="36"/>
  <c r="F4" i="36"/>
  <c r="G4" i="36"/>
  <c r="H4" i="36"/>
  <c r="I4" i="36"/>
  <c r="J4" i="36"/>
  <c r="K4" i="36"/>
  <c r="L4" i="36"/>
  <c r="C5" i="2"/>
  <c r="C56" i="2"/>
  <c r="E10" i="36"/>
  <c r="E17" i="36"/>
  <c r="E19" i="36"/>
  <c r="K10" i="36"/>
  <c r="K17" i="36"/>
  <c r="K19" i="36"/>
  <c r="B26" i="51"/>
  <c r="J26" i="51" s="1"/>
  <c r="M6" i="36"/>
  <c r="G10" i="36"/>
  <c r="J10" i="36"/>
  <c r="J17" i="36"/>
  <c r="J19" i="36"/>
  <c r="C10" i="36"/>
  <c r="C17" i="36"/>
  <c r="M15" i="36"/>
  <c r="M7" i="36"/>
  <c r="M12" i="36"/>
  <c r="H10" i="36"/>
  <c r="D10" i="36"/>
  <c r="D17" i="36"/>
  <c r="M5" i="36"/>
  <c r="M11" i="36"/>
  <c r="F10" i="36"/>
  <c r="I10" i="36"/>
  <c r="I17" i="36"/>
  <c r="I19" i="36"/>
  <c r="L10" i="36"/>
  <c r="M13" i="36"/>
  <c r="M14" i="36"/>
  <c r="C57" i="2"/>
  <c r="E23" i="36"/>
  <c r="C18" i="36"/>
  <c r="D18" i="36"/>
  <c r="E18" i="36"/>
  <c r="C19" i="36"/>
  <c r="M10" i="36"/>
  <c r="D19" i="36"/>
  <c r="E22" i="36"/>
  <c r="M17" i="36"/>
  <c r="M19" i="36"/>
  <c r="I22" i="36"/>
  <c r="I23" i="36"/>
  <c r="C20" i="36"/>
  <c r="D20" i="36"/>
  <c r="E20" i="36"/>
  <c r="G18" i="2" l="1"/>
  <c r="E27" i="51"/>
  <c r="K21" i="56" s="1"/>
  <c r="D11" i="43"/>
  <c r="D7" i="43"/>
  <c r="D9" i="43" s="1"/>
  <c r="D22" i="43"/>
  <c r="D43" i="58"/>
  <c r="D43" i="59"/>
  <c r="D31" i="56"/>
  <c r="D23" i="50"/>
  <c r="D44" i="43" s="1"/>
  <c r="D22" i="50"/>
  <c r="D45" i="43" s="1"/>
  <c r="D32" i="43"/>
  <c r="D34" i="43" s="1"/>
  <c r="D40" i="43" s="1"/>
  <c r="D31" i="59"/>
  <c r="D36" i="56"/>
  <c r="D36" i="59"/>
  <c r="D11" i="50"/>
  <c r="C47" i="43" s="1"/>
  <c r="D3" i="56"/>
  <c r="D3" i="59"/>
  <c r="D3" i="57"/>
  <c r="J44" i="59"/>
  <c r="G44" i="56"/>
  <c r="G19" i="56" s="1"/>
  <c r="G44" i="59"/>
  <c r="G19" i="59" s="1"/>
  <c r="D45" i="57"/>
  <c r="D43" i="57"/>
  <c r="J43" i="56"/>
  <c r="D43" i="56"/>
  <c r="J47" i="59"/>
  <c r="G45" i="59"/>
  <c r="E43" i="59"/>
  <c r="E43" i="57"/>
  <c r="H37" i="57"/>
  <c r="G19" i="43"/>
  <c r="D12" i="58"/>
  <c r="E43" i="56"/>
  <c r="C10" i="58"/>
  <c r="F33" i="57"/>
  <c r="F10" i="59"/>
  <c r="H10" i="57"/>
  <c r="L15" i="55"/>
  <c r="J38" i="58"/>
  <c r="J13" i="43"/>
  <c r="J38" i="57"/>
  <c r="J38" i="59"/>
  <c r="J38" i="56"/>
  <c r="J13" i="56" s="1"/>
  <c r="J11" i="43"/>
  <c r="J36" i="56"/>
  <c r="J19" i="43"/>
  <c r="J44" i="56"/>
  <c r="J19" i="56" s="1"/>
  <c r="J44" i="57"/>
  <c r="J40" i="43"/>
  <c r="H44" i="58"/>
  <c r="H44" i="57"/>
  <c r="H44" i="59"/>
  <c r="H19" i="59" s="1"/>
  <c r="H44" i="56"/>
  <c r="H19" i="56" s="1"/>
  <c r="H43" i="57"/>
  <c r="H43" i="59"/>
  <c r="H43" i="56"/>
  <c r="H43" i="58"/>
  <c r="H47" i="58"/>
  <c r="H47" i="57"/>
  <c r="H22" i="57" s="1"/>
  <c r="H47" i="59"/>
  <c r="H47" i="56"/>
  <c r="G38" i="59"/>
  <c r="G13" i="59" s="1"/>
  <c r="G38" i="57"/>
  <c r="G38" i="58"/>
  <c r="G13" i="58" s="1"/>
  <c r="G38" i="56"/>
  <c r="G13" i="56" s="1"/>
  <c r="G13" i="43"/>
  <c r="G36" i="58"/>
  <c r="G11" i="58" s="1"/>
  <c r="G14" i="58" s="1"/>
  <c r="G36" i="56"/>
  <c r="G11" i="43"/>
  <c r="G40" i="43"/>
  <c r="G14" i="43"/>
  <c r="E37" i="59"/>
  <c r="E12" i="59" s="1"/>
  <c r="E37" i="58"/>
  <c r="E12" i="58" s="1"/>
  <c r="E37" i="57"/>
  <c r="E12" i="57" s="1"/>
  <c r="E37" i="56"/>
  <c r="E12" i="56" s="1"/>
  <c r="E13" i="43"/>
  <c r="D38" i="57"/>
  <c r="D13" i="57" s="1"/>
  <c r="D13" i="43"/>
  <c r="D14" i="43" s="1"/>
  <c r="D38" i="59"/>
  <c r="D13" i="59" s="1"/>
  <c r="D38" i="56"/>
  <c r="D13" i="56" s="1"/>
  <c r="D38" i="58"/>
  <c r="D13" i="58" s="1"/>
  <c r="D44" i="59"/>
  <c r="D19" i="43"/>
  <c r="D44" i="56"/>
  <c r="C37" i="57"/>
  <c r="C12" i="57" s="1"/>
  <c r="C37" i="58"/>
  <c r="C12" i="58" s="1"/>
  <c r="C36" i="43"/>
  <c r="C36" i="57" s="1"/>
  <c r="C11" i="57" s="1"/>
  <c r="C43" i="43"/>
  <c r="C43" i="59" s="1"/>
  <c r="D9" i="50"/>
  <c r="C44" i="43" s="1"/>
  <c r="C44" i="57" s="1"/>
  <c r="C19" i="57" s="1"/>
  <c r="C47" i="57"/>
  <c r="C22" i="57" s="1"/>
  <c r="O8" i="55"/>
  <c r="N9" i="55"/>
  <c r="E8" i="56"/>
  <c r="H8" i="56"/>
  <c r="H9" i="56" s="1"/>
  <c r="G8" i="58"/>
  <c r="G9" i="58" s="1"/>
  <c r="G32" i="58" s="1"/>
  <c r="G34" i="58" s="1"/>
  <c r="C3" i="58"/>
  <c r="C47" i="56"/>
  <c r="C22" i="56" s="1"/>
  <c r="C37" i="59"/>
  <c r="C12" i="59" s="1"/>
  <c r="C13" i="43"/>
  <c r="C37" i="56"/>
  <c r="C12" i="56" s="1"/>
  <c r="C55" i="2"/>
  <c r="D26" i="51"/>
  <c r="K21" i="43"/>
  <c r="C18" i="2" s="1"/>
  <c r="J21" i="56"/>
  <c r="J46" i="56" s="1"/>
  <c r="C7" i="43"/>
  <c r="I10" i="43"/>
  <c r="F10" i="43"/>
  <c r="F7" i="43"/>
  <c r="F9" i="43" s="1"/>
  <c r="E9" i="56"/>
  <c r="C22" i="43"/>
  <c r="C10" i="43"/>
  <c r="C20" i="43"/>
  <c r="E3" i="2"/>
  <c r="H11" i="43"/>
  <c r="H19" i="43"/>
  <c r="H22" i="43"/>
  <c r="H7" i="43"/>
  <c r="H9" i="43" s="1"/>
  <c r="H10" i="43"/>
  <c r="H13" i="43"/>
  <c r="H20" i="43"/>
  <c r="E11" i="43"/>
  <c r="E19" i="43"/>
  <c r="E22" i="43"/>
  <c r="E7" i="43"/>
  <c r="E9" i="43" s="1"/>
  <c r="E12" i="43"/>
  <c r="K6" i="43"/>
  <c r="I8" i="56"/>
  <c r="I9" i="56" s="1"/>
  <c r="E47" i="58"/>
  <c r="E22" i="58" s="1"/>
  <c r="E47" i="57"/>
  <c r="E47" i="59"/>
  <c r="E22" i="59" s="1"/>
  <c r="E47" i="56"/>
  <c r="E22" i="56" s="1"/>
  <c r="C12" i="43"/>
  <c r="C31" i="59"/>
  <c r="C32" i="43"/>
  <c r="C34" i="43" s="1"/>
  <c r="C31" i="57"/>
  <c r="C31" i="58"/>
  <c r="D21" i="56"/>
  <c r="D46" i="56" s="1"/>
  <c r="D3" i="2"/>
  <c r="G15" i="43"/>
  <c r="E20" i="43"/>
  <c r="H12" i="43"/>
  <c r="H31" i="57"/>
  <c r="H31" i="56"/>
  <c r="H32" i="43"/>
  <c r="H34" i="43" s="1"/>
  <c r="H40" i="43" s="1"/>
  <c r="H31" i="59"/>
  <c r="H31" i="58"/>
  <c r="E31" i="57"/>
  <c r="E31" i="56"/>
  <c r="E32" i="43"/>
  <c r="E34" i="43" s="1"/>
  <c r="E40" i="43" s="1"/>
  <c r="E31" i="58"/>
  <c r="E10" i="43"/>
  <c r="D19" i="56"/>
  <c r="C31" i="56"/>
  <c r="C38" i="59"/>
  <c r="C13" i="59" s="1"/>
  <c r="F32" i="43"/>
  <c r="F34" i="43" s="1"/>
  <c r="I10" i="56"/>
  <c r="F10" i="56"/>
  <c r="C7" i="56"/>
  <c r="F7" i="56"/>
  <c r="C10" i="56"/>
  <c r="I10" i="58"/>
  <c r="F10" i="58"/>
  <c r="C7" i="58"/>
  <c r="C8" i="58" s="1"/>
  <c r="H11" i="59"/>
  <c r="H12" i="59"/>
  <c r="H13" i="59"/>
  <c r="H22" i="59"/>
  <c r="H7" i="59"/>
  <c r="E11" i="59"/>
  <c r="E20" i="59"/>
  <c r="E7" i="59"/>
  <c r="J13" i="57"/>
  <c r="J19" i="57"/>
  <c r="J10" i="57"/>
  <c r="G13" i="57"/>
  <c r="G19" i="57"/>
  <c r="G20" i="57"/>
  <c r="D11" i="57"/>
  <c r="D20" i="57"/>
  <c r="I31" i="56"/>
  <c r="F31" i="57"/>
  <c r="D10" i="56"/>
  <c r="I7" i="58"/>
  <c r="D7" i="58"/>
  <c r="I7" i="59"/>
  <c r="H10" i="59"/>
  <c r="H7" i="57"/>
  <c r="D7" i="57"/>
  <c r="I44" i="58"/>
  <c r="I19" i="58" s="1"/>
  <c r="I44" i="57"/>
  <c r="I19" i="57" s="1"/>
  <c r="I44" i="56"/>
  <c r="I19" i="56" s="1"/>
  <c r="J45" i="58"/>
  <c r="J20" i="58" s="1"/>
  <c r="J45" i="59"/>
  <c r="J20" i="59" s="1"/>
  <c r="J45" i="57"/>
  <c r="J20" i="57" s="1"/>
  <c r="J11" i="56"/>
  <c r="J20" i="56"/>
  <c r="J7" i="56"/>
  <c r="G11" i="56"/>
  <c r="G20" i="56"/>
  <c r="G7" i="56"/>
  <c r="D11" i="56"/>
  <c r="D7" i="56"/>
  <c r="J19" i="58"/>
  <c r="J12" i="58"/>
  <c r="J13" i="58"/>
  <c r="J10" i="58"/>
  <c r="G20" i="58"/>
  <c r="G19" i="58"/>
  <c r="G10" i="58"/>
  <c r="D11" i="58"/>
  <c r="D10" i="58"/>
  <c r="I19" i="59"/>
  <c r="C20" i="59"/>
  <c r="C10" i="59"/>
  <c r="K6" i="59"/>
  <c r="H12" i="57"/>
  <c r="H19" i="57"/>
  <c r="H20" i="57"/>
  <c r="E19" i="57"/>
  <c r="E22" i="57"/>
  <c r="E10" i="57"/>
  <c r="F31" i="56"/>
  <c r="I31" i="58"/>
  <c r="G10" i="56"/>
  <c r="J7" i="58"/>
  <c r="F7" i="58"/>
  <c r="F7" i="59"/>
  <c r="I10" i="59"/>
  <c r="E10" i="59"/>
  <c r="J7" i="57"/>
  <c r="E7" i="57"/>
  <c r="D10" i="57"/>
  <c r="D12" i="56"/>
  <c r="E20" i="57"/>
  <c r="E38" i="57"/>
  <c r="E13" i="57" s="1"/>
  <c r="E38" i="59"/>
  <c r="E13" i="59" s="1"/>
  <c r="E38" i="58"/>
  <c r="E13" i="58" s="1"/>
  <c r="E14" i="58" s="1"/>
  <c r="E38" i="56"/>
  <c r="E13" i="56" s="1"/>
  <c r="J37" i="57"/>
  <c r="J12" i="57" s="1"/>
  <c r="J37" i="59"/>
  <c r="J37" i="56"/>
  <c r="J12" i="56" s="1"/>
  <c r="J36" i="57"/>
  <c r="J11" i="57" s="1"/>
  <c r="J36" i="59"/>
  <c r="J11" i="59" s="1"/>
  <c r="J36" i="58"/>
  <c r="J11" i="58" s="1"/>
  <c r="E11" i="57"/>
  <c r="H45" i="58"/>
  <c r="H20" i="58" s="1"/>
  <c r="H45" i="59"/>
  <c r="H20" i="59" s="1"/>
  <c r="J47" i="58"/>
  <c r="J22" i="58" s="1"/>
  <c r="J47" i="57"/>
  <c r="J22" i="57" s="1"/>
  <c r="J47" i="56"/>
  <c r="J22" i="56" s="1"/>
  <c r="G47" i="58"/>
  <c r="G22" i="58" s="1"/>
  <c r="G47" i="57"/>
  <c r="G22" i="57" s="1"/>
  <c r="G47" i="56"/>
  <c r="G22" i="56" s="1"/>
  <c r="D47" i="58"/>
  <c r="D22" i="58" s="1"/>
  <c r="D47" i="57"/>
  <c r="D22" i="57" s="1"/>
  <c r="D47" i="59"/>
  <c r="D47" i="56"/>
  <c r="D22" i="56" s="1"/>
  <c r="D85" i="50"/>
  <c r="I43" i="43" s="1"/>
  <c r="D86" i="50"/>
  <c r="I37" i="43" s="1"/>
  <c r="I12" i="43" s="1"/>
  <c r="D91" i="50"/>
  <c r="I47" i="43" s="1"/>
  <c r="D88" i="50"/>
  <c r="I45" i="43" s="1"/>
  <c r="D84" i="50"/>
  <c r="I36" i="43" s="1"/>
  <c r="D90" i="50"/>
  <c r="I38" i="43" s="1"/>
  <c r="I13" i="43" s="1"/>
  <c r="D46" i="50"/>
  <c r="F43" i="43" s="1"/>
  <c r="D47" i="50"/>
  <c r="F37" i="43" s="1"/>
  <c r="F12" i="43" s="1"/>
  <c r="D52" i="50"/>
  <c r="F47" i="43" s="1"/>
  <c r="D49" i="50"/>
  <c r="F45" i="43" s="1"/>
  <c r="D45" i="50"/>
  <c r="F36" i="43" s="1"/>
  <c r="D50" i="50"/>
  <c r="F44" i="43" s="1"/>
  <c r="D51" i="50"/>
  <c r="F38" i="43" s="1"/>
  <c r="E44" i="58"/>
  <c r="E19" i="58" s="1"/>
  <c r="E44" i="59"/>
  <c r="E19" i="59" s="1"/>
  <c r="E44" i="56"/>
  <c r="E19" i="56" s="1"/>
  <c r="J20" i="43"/>
  <c r="G20" i="43"/>
  <c r="D20" i="43"/>
  <c r="H12" i="56"/>
  <c r="H22" i="56"/>
  <c r="H22" i="58"/>
  <c r="H19" i="58"/>
  <c r="E20" i="58"/>
  <c r="J22" i="59"/>
  <c r="J12" i="59"/>
  <c r="J13" i="59"/>
  <c r="J19" i="59"/>
  <c r="G22" i="59"/>
  <c r="G20" i="59"/>
  <c r="D22" i="59"/>
  <c r="D19" i="59"/>
  <c r="I10" i="57"/>
  <c r="F10" i="57"/>
  <c r="K6" i="57"/>
  <c r="H7" i="58"/>
  <c r="E7" i="58"/>
  <c r="H10" i="58"/>
  <c r="E10" i="58"/>
  <c r="J10" i="59"/>
  <c r="G10" i="59"/>
  <c r="D10" i="59"/>
  <c r="I7" i="57"/>
  <c r="F7" i="57"/>
  <c r="H11" i="56"/>
  <c r="H12" i="58"/>
  <c r="D11" i="59"/>
  <c r="H38" i="57"/>
  <c r="H13" i="57" s="1"/>
  <c r="H38" i="58"/>
  <c r="H13" i="58" s="1"/>
  <c r="H38" i="56"/>
  <c r="H13" i="56" s="1"/>
  <c r="G37" i="57"/>
  <c r="G12" i="57" s="1"/>
  <c r="G37" i="59"/>
  <c r="G12" i="59" s="1"/>
  <c r="G37" i="56"/>
  <c r="G12" i="56" s="1"/>
  <c r="C45" i="58"/>
  <c r="C20" i="58" s="1"/>
  <c r="C45" i="57"/>
  <c r="C20" i="57" s="1"/>
  <c r="C45" i="56"/>
  <c r="C20" i="56" s="1"/>
  <c r="D37" i="57"/>
  <c r="D12" i="57" s="1"/>
  <c r="D37" i="59"/>
  <c r="D12" i="59" s="1"/>
  <c r="G36" i="57"/>
  <c r="G11" i="57" s="1"/>
  <c r="G14" i="57" s="1"/>
  <c r="G36" i="59"/>
  <c r="G11" i="59" s="1"/>
  <c r="G14" i="59" s="1"/>
  <c r="D44" i="58"/>
  <c r="D19" i="58" s="1"/>
  <c r="D44" i="57"/>
  <c r="D19" i="57" s="1"/>
  <c r="J43" i="58"/>
  <c r="J43" i="57"/>
  <c r="G43" i="58"/>
  <c r="G43" i="57"/>
  <c r="H4" i="56"/>
  <c r="E4" i="56"/>
  <c r="I3" i="58"/>
  <c r="F3" i="58"/>
  <c r="H4" i="59"/>
  <c r="E4" i="59"/>
  <c r="C4" i="57"/>
  <c r="J4" i="56"/>
  <c r="G4" i="56"/>
  <c r="D4" i="56"/>
  <c r="I3" i="56"/>
  <c r="F3" i="56"/>
  <c r="C3" i="56"/>
  <c r="C4" i="58"/>
  <c r="H3" i="58"/>
  <c r="E3" i="58"/>
  <c r="J4" i="59"/>
  <c r="G4" i="59"/>
  <c r="D4" i="59"/>
  <c r="I3" i="59"/>
  <c r="F3" i="59"/>
  <c r="C3" i="59"/>
  <c r="H4" i="57"/>
  <c r="E4" i="57"/>
  <c r="I4" i="56"/>
  <c r="F4" i="56"/>
  <c r="C4" i="56"/>
  <c r="H3" i="56"/>
  <c r="E3" i="56"/>
  <c r="D15" i="43" l="1"/>
  <c r="D16" i="43" s="1"/>
  <c r="D45" i="58"/>
  <c r="D20" i="58" s="1"/>
  <c r="D45" i="59"/>
  <c r="D20" i="59" s="1"/>
  <c r="D45" i="56"/>
  <c r="D20" i="56" s="1"/>
  <c r="C47" i="58"/>
  <c r="C22" i="58" s="1"/>
  <c r="C47" i="59"/>
  <c r="C22" i="59" s="1"/>
  <c r="C40" i="43"/>
  <c r="E14" i="56"/>
  <c r="C43" i="58"/>
  <c r="C43" i="57"/>
  <c r="J14" i="58"/>
  <c r="D14" i="58"/>
  <c r="G40" i="58"/>
  <c r="J14" i="43"/>
  <c r="J15" i="43" s="1"/>
  <c r="J16" i="43" s="1"/>
  <c r="C43" i="56"/>
  <c r="C38" i="56"/>
  <c r="C13" i="56" s="1"/>
  <c r="C38" i="58"/>
  <c r="C13" i="58" s="1"/>
  <c r="C38" i="57"/>
  <c r="C13" i="57" s="1"/>
  <c r="C14" i="57" s="1"/>
  <c r="C36" i="56"/>
  <c r="C11" i="56" s="1"/>
  <c r="C11" i="43"/>
  <c r="C14" i="43" s="1"/>
  <c r="J14" i="59"/>
  <c r="J14" i="57"/>
  <c r="I40" i="43"/>
  <c r="H14" i="57"/>
  <c r="G15" i="58"/>
  <c r="C44" i="59"/>
  <c r="C19" i="59" s="1"/>
  <c r="C44" i="56"/>
  <c r="C19" i="56" s="1"/>
  <c r="C44" i="58"/>
  <c r="C19" i="58" s="1"/>
  <c r="C36" i="58"/>
  <c r="C11" i="58" s="1"/>
  <c r="C14" i="58" s="1"/>
  <c r="C36" i="59"/>
  <c r="C11" i="59" s="1"/>
  <c r="C14" i="59" s="1"/>
  <c r="C19" i="43"/>
  <c r="N10" i="55"/>
  <c r="O9" i="55"/>
  <c r="F21" i="56"/>
  <c r="F46" i="56" s="1"/>
  <c r="I21" i="56"/>
  <c r="I46" i="56" s="1"/>
  <c r="G21" i="56"/>
  <c r="G46" i="56" s="1"/>
  <c r="E21" i="56"/>
  <c r="E46" i="56" s="1"/>
  <c r="K18" i="58"/>
  <c r="K18" i="56"/>
  <c r="K18" i="57"/>
  <c r="G60" i="2" s="1"/>
  <c r="E26" i="51"/>
  <c r="F26" i="51" s="1"/>
  <c r="G26" i="51" s="1"/>
  <c r="H26" i="51" s="1"/>
  <c r="K18" i="59"/>
  <c r="K18" i="43"/>
  <c r="C60" i="2" s="1"/>
  <c r="D28" i="51"/>
  <c r="C21" i="56"/>
  <c r="C46" i="56" s="1"/>
  <c r="D18" i="2"/>
  <c r="H21" i="56"/>
  <c r="H46" i="56" s="1"/>
  <c r="E28" i="51"/>
  <c r="G16" i="58"/>
  <c r="I32" i="56"/>
  <c r="I34" i="56" s="1"/>
  <c r="D14" i="59"/>
  <c r="H14" i="58"/>
  <c r="E8" i="58"/>
  <c r="E9" i="58" s="1"/>
  <c r="F38" i="57"/>
  <c r="F13" i="57" s="1"/>
  <c r="F38" i="58"/>
  <c r="F13" i="58" s="1"/>
  <c r="F38" i="56"/>
  <c r="F13" i="56" s="1"/>
  <c r="F38" i="59"/>
  <c r="F13" i="59" s="1"/>
  <c r="F45" i="57"/>
  <c r="F20" i="57" s="1"/>
  <c r="F45" i="56"/>
  <c r="F20" i="56" s="1"/>
  <c r="F45" i="58"/>
  <c r="F20" i="58" s="1"/>
  <c r="F45" i="59"/>
  <c r="F20" i="59" s="1"/>
  <c r="K20" i="59" s="1"/>
  <c r="F17" i="2" s="1"/>
  <c r="F20" i="43"/>
  <c r="F43" i="57"/>
  <c r="F43" i="58"/>
  <c r="F43" i="59"/>
  <c r="F43" i="56"/>
  <c r="I45" i="58"/>
  <c r="I20" i="58" s="1"/>
  <c r="I45" i="57"/>
  <c r="I20" i="57" s="1"/>
  <c r="I45" i="56"/>
  <c r="I20" i="56" s="1"/>
  <c r="I45" i="59"/>
  <c r="I20" i="59" s="1"/>
  <c r="I43" i="57"/>
  <c r="I43" i="58"/>
  <c r="I43" i="59"/>
  <c r="I43" i="56"/>
  <c r="E14" i="57"/>
  <c r="J8" i="58"/>
  <c r="J9" i="58" s="1"/>
  <c r="D8" i="56"/>
  <c r="D9" i="56" s="1"/>
  <c r="J8" i="56"/>
  <c r="J9" i="56" s="1"/>
  <c r="C14" i="56"/>
  <c r="D8" i="58"/>
  <c r="D9" i="58" s="1"/>
  <c r="D14" i="57"/>
  <c r="E8" i="59"/>
  <c r="E9" i="59" s="1"/>
  <c r="E14" i="59"/>
  <c r="F8" i="56"/>
  <c r="F9" i="56" s="1"/>
  <c r="E14" i="43"/>
  <c r="K10" i="43"/>
  <c r="C7" i="2" s="1"/>
  <c r="E15" i="56"/>
  <c r="E32" i="56"/>
  <c r="E34" i="56" s="1"/>
  <c r="E40" i="56" s="1"/>
  <c r="E48" i="56" s="1"/>
  <c r="K7" i="43"/>
  <c r="C4" i="2" s="1"/>
  <c r="C9" i="43"/>
  <c r="H8" i="58"/>
  <c r="H9" i="58" s="1"/>
  <c r="F44" i="58"/>
  <c r="F19" i="58" s="1"/>
  <c r="F44" i="57"/>
  <c r="F19" i="57" s="1"/>
  <c r="K19" i="57" s="1"/>
  <c r="G16" i="2" s="1"/>
  <c r="F44" i="59"/>
  <c r="F19" i="59" s="1"/>
  <c r="F44" i="56"/>
  <c r="F19" i="56" s="1"/>
  <c r="F47" i="58"/>
  <c r="F22" i="58" s="1"/>
  <c r="F47" i="59"/>
  <c r="F22" i="59" s="1"/>
  <c r="F47" i="57"/>
  <c r="F22" i="57" s="1"/>
  <c r="F47" i="56"/>
  <c r="F22" i="56" s="1"/>
  <c r="F22" i="43"/>
  <c r="I38" i="57"/>
  <c r="I13" i="57" s="1"/>
  <c r="I38" i="59"/>
  <c r="I13" i="59" s="1"/>
  <c r="K13" i="59" s="1"/>
  <c r="F10" i="2" s="1"/>
  <c r="F36" i="2" s="1"/>
  <c r="I38" i="58"/>
  <c r="I13" i="58" s="1"/>
  <c r="I38" i="56"/>
  <c r="I13" i="56" s="1"/>
  <c r="I47" i="59"/>
  <c r="I22" i="59" s="1"/>
  <c r="I47" i="58"/>
  <c r="I22" i="58" s="1"/>
  <c r="I47" i="57"/>
  <c r="I22" i="57" s="1"/>
  <c r="I47" i="56"/>
  <c r="I22" i="56" s="1"/>
  <c r="I22" i="43"/>
  <c r="F8" i="59"/>
  <c r="F9" i="59" s="1"/>
  <c r="E18" i="59"/>
  <c r="E17" i="59" s="1"/>
  <c r="H18" i="59"/>
  <c r="H17" i="59" s="1"/>
  <c r="F3" i="2"/>
  <c r="D18" i="59"/>
  <c r="D17" i="59" s="1"/>
  <c r="I18" i="59"/>
  <c r="G18" i="59"/>
  <c r="G17" i="59" s="1"/>
  <c r="F18" i="59"/>
  <c r="J18" i="59"/>
  <c r="J17" i="59" s="1"/>
  <c r="C18" i="59"/>
  <c r="C17" i="59" s="1"/>
  <c r="K17" i="59" s="1"/>
  <c r="K10" i="58"/>
  <c r="E7" i="2" s="1"/>
  <c r="E30" i="2" s="1"/>
  <c r="D14" i="56"/>
  <c r="J14" i="56"/>
  <c r="I8" i="58"/>
  <c r="I9" i="58" s="1"/>
  <c r="H8" i="59"/>
  <c r="H9" i="59" s="1"/>
  <c r="H14" i="59"/>
  <c r="K7" i="56"/>
  <c r="D4" i="2" s="1"/>
  <c r="G6" i="36" s="1"/>
  <c r="G5" i="36" s="1"/>
  <c r="G17" i="36" s="1"/>
  <c r="G19" i="36" s="1"/>
  <c r="C9" i="56"/>
  <c r="K12" i="43"/>
  <c r="C9" i="2" s="1"/>
  <c r="F13" i="43"/>
  <c r="K13" i="43" s="1"/>
  <c r="C10" i="2" s="1"/>
  <c r="H14" i="56"/>
  <c r="G3" i="2"/>
  <c r="F18" i="57"/>
  <c r="I18" i="57"/>
  <c r="E21" i="57"/>
  <c r="E46" i="57" s="1"/>
  <c r="H21" i="57"/>
  <c r="H46" i="57" s="1"/>
  <c r="D18" i="57"/>
  <c r="D17" i="57" s="1"/>
  <c r="H18" i="57"/>
  <c r="H17" i="57" s="1"/>
  <c r="F21" i="57"/>
  <c r="F46" i="57" s="1"/>
  <c r="J21" i="57"/>
  <c r="J46" i="57" s="1"/>
  <c r="J18" i="57"/>
  <c r="J17" i="57" s="1"/>
  <c r="I21" i="57"/>
  <c r="I46" i="57" s="1"/>
  <c r="G18" i="57"/>
  <c r="G17" i="57" s="1"/>
  <c r="G21" i="57"/>
  <c r="G46" i="57" s="1"/>
  <c r="E18" i="57"/>
  <c r="E17" i="57" s="1"/>
  <c r="D21" i="57"/>
  <c r="D46" i="57" s="1"/>
  <c r="C21" i="57"/>
  <c r="C18" i="57"/>
  <c r="C17" i="57" s="1"/>
  <c r="K17" i="57" s="1"/>
  <c r="G41" i="2" s="1"/>
  <c r="F36" i="57"/>
  <c r="F11" i="57" s="1"/>
  <c r="F36" i="59"/>
  <c r="F11" i="59" s="1"/>
  <c r="F36" i="56"/>
  <c r="F11" i="56" s="1"/>
  <c r="F36" i="58"/>
  <c r="F11" i="58" s="1"/>
  <c r="F11" i="43"/>
  <c r="F14" i="43" s="1"/>
  <c r="F15" i="43" s="1"/>
  <c r="F37" i="57"/>
  <c r="F12" i="57" s="1"/>
  <c r="F37" i="59"/>
  <c r="F12" i="59" s="1"/>
  <c r="F37" i="56"/>
  <c r="F12" i="56" s="1"/>
  <c r="F37" i="58"/>
  <c r="F12" i="58" s="1"/>
  <c r="I36" i="57"/>
  <c r="I11" i="57" s="1"/>
  <c r="I36" i="56"/>
  <c r="I11" i="56" s="1"/>
  <c r="I36" i="58"/>
  <c r="I11" i="58" s="1"/>
  <c r="I36" i="59"/>
  <c r="I11" i="59" s="1"/>
  <c r="I37" i="57"/>
  <c r="I12" i="57" s="1"/>
  <c r="I37" i="58"/>
  <c r="I12" i="58" s="1"/>
  <c r="I37" i="59"/>
  <c r="I12" i="59" s="1"/>
  <c r="I37" i="56"/>
  <c r="I12" i="56" s="1"/>
  <c r="K10" i="57"/>
  <c r="G7" i="2" s="1"/>
  <c r="G30" i="2" s="1"/>
  <c r="F8" i="58"/>
  <c r="F9" i="58" s="1"/>
  <c r="K10" i="59"/>
  <c r="F7" i="2" s="1"/>
  <c r="F30" i="2" s="1"/>
  <c r="H15" i="56"/>
  <c r="H32" i="56"/>
  <c r="H34" i="56" s="1"/>
  <c r="H40" i="56" s="1"/>
  <c r="G8" i="56"/>
  <c r="G9" i="56" s="1"/>
  <c r="G14" i="56"/>
  <c r="K7" i="57"/>
  <c r="G4" i="2" s="1"/>
  <c r="H6" i="36" s="1"/>
  <c r="H5" i="36" s="1"/>
  <c r="H17" i="36" s="1"/>
  <c r="H19" i="36" s="1"/>
  <c r="I8" i="59"/>
  <c r="I9" i="59" s="1"/>
  <c r="K7" i="58"/>
  <c r="E4" i="2" s="1"/>
  <c r="K8" i="58"/>
  <c r="E5" i="2" s="1"/>
  <c r="K10" i="56"/>
  <c r="D7" i="2" s="1"/>
  <c r="D30" i="2" s="1"/>
  <c r="F40" i="43"/>
  <c r="G16" i="43"/>
  <c r="D18" i="43"/>
  <c r="D17" i="43" s="1"/>
  <c r="G18" i="43"/>
  <c r="G17" i="43" s="1"/>
  <c r="J18" i="43"/>
  <c r="J17" i="43" s="1"/>
  <c r="F21" i="43"/>
  <c r="F46" i="43" s="1"/>
  <c r="I21" i="43"/>
  <c r="I46" i="43" s="1"/>
  <c r="E18" i="43"/>
  <c r="E17" i="43" s="1"/>
  <c r="E21" i="43"/>
  <c r="E46" i="43" s="1"/>
  <c r="E48" i="43" s="1"/>
  <c r="J21" i="43"/>
  <c r="F18" i="43"/>
  <c r="F17" i="43" s="1"/>
  <c r="I18" i="43"/>
  <c r="I17" i="43" s="1"/>
  <c r="D21" i="43"/>
  <c r="G21" i="43"/>
  <c r="H18" i="43"/>
  <c r="H17" i="43" s="1"/>
  <c r="H21" i="43"/>
  <c r="H46" i="43" s="1"/>
  <c r="H48" i="43" s="1"/>
  <c r="C3" i="2"/>
  <c r="C21" i="43"/>
  <c r="C46" i="43" s="1"/>
  <c r="C48" i="43" s="1"/>
  <c r="C18" i="43"/>
  <c r="C17" i="43" s="1"/>
  <c r="E15" i="43"/>
  <c r="H14" i="43"/>
  <c r="H15" i="43" s="1"/>
  <c r="K22" i="43"/>
  <c r="I20" i="43"/>
  <c r="K20" i="43" s="1"/>
  <c r="C17" i="2" s="1"/>
  <c r="F19" i="43"/>
  <c r="K19" i="43" s="1"/>
  <c r="C16" i="2" s="1"/>
  <c r="I11" i="43"/>
  <c r="I14" i="43" s="1"/>
  <c r="I15" i="43" s="1"/>
  <c r="K7" i="59"/>
  <c r="F4" i="2" s="1"/>
  <c r="K13" i="57" l="1"/>
  <c r="G10" i="2" s="1"/>
  <c r="K17" i="43"/>
  <c r="F14" i="59"/>
  <c r="K19" i="59"/>
  <c r="F16" i="2" s="1"/>
  <c r="H48" i="56"/>
  <c r="I48" i="43"/>
  <c r="K19" i="58"/>
  <c r="E16" i="2" s="1"/>
  <c r="K11" i="58"/>
  <c r="E8" i="2" s="1"/>
  <c r="E34" i="2" s="1"/>
  <c r="K11" i="43"/>
  <c r="C8" i="2" s="1"/>
  <c r="C34" i="2" s="1"/>
  <c r="K12" i="59"/>
  <c r="F9" i="2" s="1"/>
  <c r="F35" i="2" s="1"/>
  <c r="K20" i="58"/>
  <c r="E17" i="2" s="1"/>
  <c r="H17" i="2" s="1"/>
  <c r="K12" i="58"/>
  <c r="E9" i="2" s="1"/>
  <c r="E35" i="2" s="1"/>
  <c r="K12" i="57"/>
  <c r="G9" i="2" s="1"/>
  <c r="G35" i="2" s="1"/>
  <c r="K22" i="57"/>
  <c r="G19" i="2" s="1"/>
  <c r="K20" i="56"/>
  <c r="D17" i="2" s="1"/>
  <c r="K13" i="56"/>
  <c r="D10" i="2" s="1"/>
  <c r="D36" i="2" s="1"/>
  <c r="K12" i="56"/>
  <c r="D9" i="2" s="1"/>
  <c r="D35" i="2" s="1"/>
  <c r="K20" i="57"/>
  <c r="G17" i="2" s="1"/>
  <c r="K13" i="58"/>
  <c r="E10" i="2" s="1"/>
  <c r="E36" i="2" s="1"/>
  <c r="F14" i="56"/>
  <c r="K19" i="56"/>
  <c r="D16" i="2" s="1"/>
  <c r="D42" i="2" s="1"/>
  <c r="J8" i="59"/>
  <c r="J9" i="59" s="1"/>
  <c r="C8" i="59"/>
  <c r="C9" i="59" s="1"/>
  <c r="K9" i="59" s="1"/>
  <c r="F6" i="2" s="1"/>
  <c r="F29" i="2" s="1"/>
  <c r="F31" i="2" s="1"/>
  <c r="F32" i="2" s="1"/>
  <c r="D8" i="59"/>
  <c r="D9" i="59" s="1"/>
  <c r="G8" i="59"/>
  <c r="G9" i="59" s="1"/>
  <c r="O10" i="55"/>
  <c r="N11" i="55"/>
  <c r="O11" i="55" s="1"/>
  <c r="E23" i="57"/>
  <c r="I26" i="51"/>
  <c r="H60" i="2" s="1"/>
  <c r="I18" i="58"/>
  <c r="H18" i="58"/>
  <c r="H17" i="58" s="1"/>
  <c r="J18" i="58"/>
  <c r="J17" i="58" s="1"/>
  <c r="D18" i="58"/>
  <c r="D17" i="58" s="1"/>
  <c r="G18" i="58"/>
  <c r="G17" i="58" s="1"/>
  <c r="C18" i="58"/>
  <c r="C17" i="58" s="1"/>
  <c r="E18" i="58"/>
  <c r="E17" i="58" s="1"/>
  <c r="F18" i="58"/>
  <c r="F17" i="58" s="1"/>
  <c r="I17" i="58"/>
  <c r="D60" i="2"/>
  <c r="C18" i="56"/>
  <c r="C17" i="56" s="1"/>
  <c r="H18" i="56"/>
  <c r="H17" i="56" s="1"/>
  <c r="F18" i="56"/>
  <c r="F17" i="56" s="1"/>
  <c r="F23" i="56" s="1"/>
  <c r="D18" i="56"/>
  <c r="D17" i="56" s="1"/>
  <c r="D23" i="56" s="1"/>
  <c r="I18" i="56"/>
  <c r="I17" i="56" s="1"/>
  <c r="I23" i="56" s="1"/>
  <c r="G18" i="56"/>
  <c r="G17" i="56" s="1"/>
  <c r="G23" i="56" s="1"/>
  <c r="E18" i="56"/>
  <c r="E17" i="56" s="1"/>
  <c r="E23" i="56" s="1"/>
  <c r="E24" i="56" s="1"/>
  <c r="J18" i="56"/>
  <c r="J17" i="56" s="1"/>
  <c r="J23" i="56" s="1"/>
  <c r="F28" i="51"/>
  <c r="H23" i="56"/>
  <c r="H24" i="56" s="1"/>
  <c r="C42" i="2"/>
  <c r="C43" i="2"/>
  <c r="F16" i="43"/>
  <c r="I32" i="58"/>
  <c r="I34" i="58" s="1"/>
  <c r="I40" i="58" s="1"/>
  <c r="K23" i="57"/>
  <c r="I16" i="43"/>
  <c r="G15" i="56"/>
  <c r="G32" i="56"/>
  <c r="G34" i="56" s="1"/>
  <c r="G40" i="56" s="1"/>
  <c r="G48" i="56" s="1"/>
  <c r="F32" i="58"/>
  <c r="F34" i="58" s="1"/>
  <c r="F40" i="58" s="1"/>
  <c r="D15" i="58"/>
  <c r="D32" i="58"/>
  <c r="D34" i="58" s="1"/>
  <c r="D40" i="58" s="1"/>
  <c r="J15" i="56"/>
  <c r="J32" i="56"/>
  <c r="J34" i="56" s="1"/>
  <c r="J40" i="56" s="1"/>
  <c r="J48" i="56" s="1"/>
  <c r="D43" i="2"/>
  <c r="H16" i="43"/>
  <c r="C32" i="56"/>
  <c r="C34" i="56" s="1"/>
  <c r="C40" i="56" s="1"/>
  <c r="C48" i="56" s="1"/>
  <c r="C15" i="56"/>
  <c r="K9" i="56"/>
  <c r="D6" i="2" s="1"/>
  <c r="H15" i="59"/>
  <c r="H32" i="59"/>
  <c r="H34" i="59" s="1"/>
  <c r="H40" i="59" s="1"/>
  <c r="D15" i="56"/>
  <c r="D32" i="56"/>
  <c r="D34" i="56" s="1"/>
  <c r="D40" i="56" s="1"/>
  <c r="D48" i="56" s="1"/>
  <c r="G43" i="2"/>
  <c r="C19" i="2"/>
  <c r="K23" i="43"/>
  <c r="J46" i="43"/>
  <c r="J48" i="43" s="1"/>
  <c r="J23" i="43"/>
  <c r="J24" i="43" s="1"/>
  <c r="I32" i="59"/>
  <c r="I34" i="59" s="1"/>
  <c r="I40" i="59" s="1"/>
  <c r="H16" i="56"/>
  <c r="H23" i="43"/>
  <c r="H24" i="43" s="1"/>
  <c r="F48" i="43"/>
  <c r="C23" i="43"/>
  <c r="K14" i="43"/>
  <c r="C11" i="2" s="1"/>
  <c r="E16" i="43"/>
  <c r="H3" i="2"/>
  <c r="G46" i="43"/>
  <c r="G48" i="43" s="1"/>
  <c r="G23" i="43"/>
  <c r="G24" i="43" s="1"/>
  <c r="C9" i="58"/>
  <c r="I14" i="59"/>
  <c r="I15" i="59" s="1"/>
  <c r="I14" i="57"/>
  <c r="F14" i="58"/>
  <c r="F15" i="58" s="1"/>
  <c r="F14" i="57"/>
  <c r="C36" i="2"/>
  <c r="I23" i="43"/>
  <c r="I24" i="43" s="1"/>
  <c r="F23" i="43"/>
  <c r="F24" i="43" s="1"/>
  <c r="K8" i="59"/>
  <c r="F5" i="2" s="1"/>
  <c r="H23" i="57"/>
  <c r="K11" i="59"/>
  <c r="F8" i="2" s="1"/>
  <c r="F34" i="2" s="1"/>
  <c r="I17" i="59"/>
  <c r="F17" i="59"/>
  <c r="I14" i="58"/>
  <c r="I15" i="58" s="1"/>
  <c r="C46" i="57"/>
  <c r="C23" i="57"/>
  <c r="C35" i="2"/>
  <c r="F32" i="59"/>
  <c r="F34" i="59" s="1"/>
  <c r="F40" i="59" s="1"/>
  <c r="F15" i="59"/>
  <c r="G36" i="2"/>
  <c r="K9" i="43"/>
  <c r="C15" i="43"/>
  <c r="E23" i="43"/>
  <c r="E24" i="43" s="1"/>
  <c r="F15" i="56"/>
  <c r="F32" i="56"/>
  <c r="F34" i="56" s="1"/>
  <c r="F40" i="56" s="1"/>
  <c r="F48" i="56" s="1"/>
  <c r="E15" i="59"/>
  <c r="E32" i="59"/>
  <c r="E34" i="59" s="1"/>
  <c r="E40" i="59" s="1"/>
  <c r="K11" i="56"/>
  <c r="D8" i="2" s="1"/>
  <c r="J32" i="58"/>
  <c r="J34" i="58" s="1"/>
  <c r="J40" i="58" s="1"/>
  <c r="J15" i="58"/>
  <c r="K11" i="57"/>
  <c r="G8" i="2" s="1"/>
  <c r="E15" i="58"/>
  <c r="E32" i="58"/>
  <c r="E34" i="58" s="1"/>
  <c r="E40" i="58" s="1"/>
  <c r="I40" i="56"/>
  <c r="I48" i="56" s="1"/>
  <c r="J23" i="57"/>
  <c r="D23" i="57"/>
  <c r="C41" i="2"/>
  <c r="D46" i="43"/>
  <c r="D48" i="43" s="1"/>
  <c r="D23" i="43"/>
  <c r="D24" i="43" s="1"/>
  <c r="I14" i="56"/>
  <c r="I15" i="56" s="1"/>
  <c r="G42" i="2"/>
  <c r="K8" i="56"/>
  <c r="D5" i="2" s="1"/>
  <c r="K22" i="58"/>
  <c r="H15" i="58"/>
  <c r="H32" i="58"/>
  <c r="H34" i="58" s="1"/>
  <c r="H40" i="58" s="1"/>
  <c r="H4" i="2"/>
  <c r="L6" i="36" s="1"/>
  <c r="L5" i="36" s="1"/>
  <c r="L17" i="36" s="1"/>
  <c r="L19" i="36" s="1"/>
  <c r="F6" i="36"/>
  <c r="F5" i="36" s="1"/>
  <c r="F17" i="36" s="1"/>
  <c r="C6" i="2"/>
  <c r="C47" i="2" s="1"/>
  <c r="E16" i="56"/>
  <c r="C30" i="2"/>
  <c r="H7" i="2"/>
  <c r="K14" i="56"/>
  <c r="D11" i="2" s="1"/>
  <c r="K14" i="59"/>
  <c r="F11" i="2" s="1"/>
  <c r="I17" i="57"/>
  <c r="I23" i="57" s="1"/>
  <c r="F17" i="57"/>
  <c r="F23" i="57" s="1"/>
  <c r="K14" i="57"/>
  <c r="G11" i="2" s="1"/>
  <c r="K22" i="56"/>
  <c r="G23" i="57"/>
  <c r="K22" i="59"/>
  <c r="H30" i="2" l="1"/>
  <c r="H16" i="2"/>
  <c r="H10" i="2"/>
  <c r="H9" i="2"/>
  <c r="H35" i="2" s="1"/>
  <c r="K17" i="58"/>
  <c r="E14" i="2" s="1"/>
  <c r="K14" i="58"/>
  <c r="E11" i="2" s="1"/>
  <c r="H11" i="2" s="1"/>
  <c r="H8" i="2"/>
  <c r="D32" i="59"/>
  <c r="D34" i="59" s="1"/>
  <c r="D40" i="59" s="1"/>
  <c r="D15" i="59"/>
  <c r="D16" i="59" s="1"/>
  <c r="C8" i="57"/>
  <c r="C9" i="57" s="1"/>
  <c r="G8" i="57"/>
  <c r="G9" i="57" s="1"/>
  <c r="I8" i="57"/>
  <c r="I9" i="57" s="1"/>
  <c r="I32" i="57" s="1"/>
  <c r="I34" i="57" s="1"/>
  <c r="I40" i="57" s="1"/>
  <c r="I48" i="57" s="1"/>
  <c r="J8" i="57"/>
  <c r="J9" i="57" s="1"/>
  <c r="E8" i="57"/>
  <c r="E9" i="57" s="1"/>
  <c r="F8" i="57"/>
  <c r="F9" i="57" s="1"/>
  <c r="H8" i="57"/>
  <c r="H9" i="57" s="1"/>
  <c r="D8" i="57"/>
  <c r="C15" i="59"/>
  <c r="C16" i="59" s="1"/>
  <c r="C32" i="59"/>
  <c r="C34" i="59" s="1"/>
  <c r="C40" i="59" s="1"/>
  <c r="G15" i="59"/>
  <c r="G16" i="59" s="1"/>
  <c r="G32" i="59"/>
  <c r="G34" i="59" s="1"/>
  <c r="G40" i="59" s="1"/>
  <c r="J15" i="59"/>
  <c r="J16" i="59" s="1"/>
  <c r="J32" i="59"/>
  <c r="J34" i="59" s="1"/>
  <c r="J40" i="59" s="1"/>
  <c r="K17" i="56"/>
  <c r="D14" i="2" s="1"/>
  <c r="C23" i="56"/>
  <c r="C24" i="56" s="1"/>
  <c r="K23" i="58"/>
  <c r="E20" i="2" s="1"/>
  <c r="I27" i="51"/>
  <c r="G28" i="51"/>
  <c r="I16" i="58"/>
  <c r="I25" i="43"/>
  <c r="I26" i="43" s="1"/>
  <c r="I27" i="43" s="1"/>
  <c r="H34" i="2"/>
  <c r="E25" i="43"/>
  <c r="E26" i="43" s="1"/>
  <c r="E27" i="43" s="1"/>
  <c r="I16" i="59"/>
  <c r="F25" i="43"/>
  <c r="F26" i="43" s="1"/>
  <c r="F27" i="43" s="1"/>
  <c r="F16" i="58"/>
  <c r="H25" i="43"/>
  <c r="H26" i="43" s="1"/>
  <c r="H27" i="43" s="1"/>
  <c r="F19" i="2"/>
  <c r="E25" i="56"/>
  <c r="E26" i="56" s="1"/>
  <c r="E27" i="56" s="1"/>
  <c r="F18" i="36"/>
  <c r="G18" i="36" s="1"/>
  <c r="H18" i="36" s="1"/>
  <c r="F19" i="36"/>
  <c r="F20" i="36" s="1"/>
  <c r="G20" i="36" s="1"/>
  <c r="H20" i="36" s="1"/>
  <c r="H16" i="58"/>
  <c r="E19" i="2"/>
  <c r="D25" i="43"/>
  <c r="D26" i="43" s="1"/>
  <c r="D27" i="43" s="1"/>
  <c r="G34" i="2"/>
  <c r="J16" i="58"/>
  <c r="C15" i="58"/>
  <c r="C32" i="58"/>
  <c r="C34" i="58" s="1"/>
  <c r="C40" i="58" s="1"/>
  <c r="K9" i="58"/>
  <c r="E6" i="2" s="1"/>
  <c r="E29" i="2" s="1"/>
  <c r="E31" i="2" s="1"/>
  <c r="E32" i="2" s="1"/>
  <c r="H25" i="56"/>
  <c r="H26" i="56" s="1"/>
  <c r="H27" i="56" s="1"/>
  <c r="H16" i="59"/>
  <c r="D16" i="58"/>
  <c r="H43" i="2"/>
  <c r="I24" i="56"/>
  <c r="I16" i="56"/>
  <c r="E16" i="59"/>
  <c r="F24" i="56"/>
  <c r="F16" i="56"/>
  <c r="G25" i="43"/>
  <c r="G26" i="43" s="1"/>
  <c r="G27" i="43" s="1"/>
  <c r="J25" i="43"/>
  <c r="J26" i="43" s="1"/>
  <c r="J27" i="43" s="1"/>
  <c r="C20" i="2"/>
  <c r="C51" i="2"/>
  <c r="D29" i="2"/>
  <c r="D31" i="2" s="1"/>
  <c r="D32" i="2" s="1"/>
  <c r="D50" i="2"/>
  <c r="D49" i="2"/>
  <c r="J24" i="56"/>
  <c r="J16" i="56"/>
  <c r="G24" i="56"/>
  <c r="G16" i="56"/>
  <c r="D19" i="2"/>
  <c r="D51" i="2" s="1"/>
  <c r="C29" i="2"/>
  <c r="C31" i="2" s="1"/>
  <c r="C32" i="2" s="1"/>
  <c r="C50" i="2"/>
  <c r="E16" i="58"/>
  <c r="D34" i="2"/>
  <c r="K15" i="43"/>
  <c r="C24" i="43"/>
  <c r="C16" i="43"/>
  <c r="F16" i="59"/>
  <c r="H36" i="2"/>
  <c r="C48" i="2"/>
  <c r="D24" i="56"/>
  <c r="D16" i="56"/>
  <c r="K15" i="56"/>
  <c r="C16" i="56"/>
  <c r="D47" i="2"/>
  <c r="C49" i="2"/>
  <c r="H42" i="2"/>
  <c r="D41" i="2" l="1"/>
  <c r="H14" i="2"/>
  <c r="H41" i="2" s="1"/>
  <c r="D48" i="2"/>
  <c r="K23" i="56"/>
  <c r="D20" i="2" s="1"/>
  <c r="F15" i="57"/>
  <c r="F32" i="57"/>
  <c r="F34" i="57" s="1"/>
  <c r="F40" i="57" s="1"/>
  <c r="F48" i="57" s="1"/>
  <c r="I15" i="57"/>
  <c r="K8" i="57"/>
  <c r="G5" i="2" s="1"/>
  <c r="H5" i="2" s="1"/>
  <c r="D9" i="57"/>
  <c r="K9" i="57" s="1"/>
  <c r="G6" i="2" s="1"/>
  <c r="E15" i="57"/>
  <c r="E32" i="57"/>
  <c r="E34" i="57" s="1"/>
  <c r="E40" i="57" s="1"/>
  <c r="E48" i="57" s="1"/>
  <c r="G15" i="57"/>
  <c r="G32" i="57"/>
  <c r="G34" i="57" s="1"/>
  <c r="G40" i="57" s="1"/>
  <c r="G48" i="57" s="1"/>
  <c r="K15" i="59"/>
  <c r="H15" i="57"/>
  <c r="H32" i="57"/>
  <c r="H34" i="57" s="1"/>
  <c r="H40" i="57" s="1"/>
  <c r="H48" i="57" s="1"/>
  <c r="J15" i="57"/>
  <c r="J32" i="57"/>
  <c r="J34" i="57" s="1"/>
  <c r="J40" i="57" s="1"/>
  <c r="J48" i="57" s="1"/>
  <c r="C32" i="57"/>
  <c r="C34" i="57" s="1"/>
  <c r="C40" i="57" s="1"/>
  <c r="C48" i="57" s="1"/>
  <c r="C15" i="57"/>
  <c r="E18" i="2"/>
  <c r="J21" i="58"/>
  <c r="I21" i="58"/>
  <c r="H21" i="58"/>
  <c r="G21" i="58"/>
  <c r="C21" i="58"/>
  <c r="D21" i="58"/>
  <c r="F21" i="58"/>
  <c r="E21" i="58"/>
  <c r="H28" i="51"/>
  <c r="D12" i="2"/>
  <c r="D38" i="2" s="1"/>
  <c r="K16" i="56"/>
  <c r="D13" i="2" s="1"/>
  <c r="K24" i="56"/>
  <c r="G29" i="2"/>
  <c r="G31" i="2" s="1"/>
  <c r="G32" i="2" s="1"/>
  <c r="G50" i="2"/>
  <c r="G49" i="2"/>
  <c r="G47" i="2"/>
  <c r="K24" i="43"/>
  <c r="K16" i="43"/>
  <c r="C12" i="2"/>
  <c r="G25" i="56"/>
  <c r="G26" i="56" s="1"/>
  <c r="G27" i="56" s="1"/>
  <c r="F25" i="56"/>
  <c r="F26" i="56" s="1"/>
  <c r="F27" i="56" s="1"/>
  <c r="I20" i="36"/>
  <c r="J20" i="36" s="1"/>
  <c r="K20" i="36" s="1"/>
  <c r="L20" i="36" s="1"/>
  <c r="I24" i="36"/>
  <c r="D25" i="56"/>
  <c r="D26" i="56" s="1"/>
  <c r="D27" i="56" s="1"/>
  <c r="H20" i="2"/>
  <c r="I25" i="56"/>
  <c r="I26" i="56" s="1"/>
  <c r="I27" i="56" s="1"/>
  <c r="K15" i="58"/>
  <c r="C16" i="58"/>
  <c r="G48" i="2"/>
  <c r="E24" i="36"/>
  <c r="I18" i="36"/>
  <c r="J18" i="36" s="1"/>
  <c r="K18" i="36" s="1"/>
  <c r="L18" i="36" s="1"/>
  <c r="G51" i="2"/>
  <c r="C25" i="56"/>
  <c r="C26" i="56" s="1"/>
  <c r="C27" i="56" s="1"/>
  <c r="C25" i="43"/>
  <c r="C26" i="43" s="1"/>
  <c r="C27" i="43" s="1"/>
  <c r="H6" i="2"/>
  <c r="J25" i="56"/>
  <c r="J26" i="56" s="1"/>
  <c r="J27" i="56" s="1"/>
  <c r="H19" i="2"/>
  <c r="D39" i="2" l="1"/>
  <c r="H51" i="2"/>
  <c r="E24" i="57"/>
  <c r="E25" i="57" s="1"/>
  <c r="E26" i="57" s="1"/>
  <c r="E27" i="57" s="1"/>
  <c r="E16" i="57"/>
  <c r="I24" i="57"/>
  <c r="I25" i="57" s="1"/>
  <c r="I26" i="57" s="1"/>
  <c r="I27" i="57" s="1"/>
  <c r="I16" i="57"/>
  <c r="H16" i="57"/>
  <c r="H24" i="57"/>
  <c r="H25" i="57" s="1"/>
  <c r="H26" i="57" s="1"/>
  <c r="H27" i="57" s="1"/>
  <c r="G16" i="57"/>
  <c r="G24" i="57"/>
  <c r="G25" i="57" s="1"/>
  <c r="G26" i="57" s="1"/>
  <c r="G27" i="57" s="1"/>
  <c r="D32" i="57"/>
  <c r="D34" i="57" s="1"/>
  <c r="D40" i="57" s="1"/>
  <c r="D48" i="57" s="1"/>
  <c r="D15" i="57"/>
  <c r="C16" i="57"/>
  <c r="C24" i="57"/>
  <c r="C25" i="57" s="1"/>
  <c r="C26" i="57" s="1"/>
  <c r="C27" i="57" s="1"/>
  <c r="J16" i="57"/>
  <c r="J24" i="57"/>
  <c r="J25" i="57" s="1"/>
  <c r="J26" i="57" s="1"/>
  <c r="J27" i="57" s="1"/>
  <c r="K16" i="59"/>
  <c r="F13" i="2" s="1"/>
  <c r="F12" i="2"/>
  <c r="F38" i="2" s="1"/>
  <c r="F24" i="57"/>
  <c r="F25" i="57" s="1"/>
  <c r="F26" i="57" s="1"/>
  <c r="F27" i="57" s="1"/>
  <c r="F16" i="57"/>
  <c r="F46" i="58"/>
  <c r="F48" i="58" s="1"/>
  <c r="F23" i="58"/>
  <c r="F24" i="58" s="1"/>
  <c r="F25" i="58" s="1"/>
  <c r="F26" i="58" s="1"/>
  <c r="F27" i="58" s="1"/>
  <c r="J46" i="58"/>
  <c r="J48" i="58" s="1"/>
  <c r="J23" i="58"/>
  <c r="J24" i="58" s="1"/>
  <c r="E46" i="58"/>
  <c r="E48" i="58" s="1"/>
  <c r="E23" i="58"/>
  <c r="E24" i="58" s="1"/>
  <c r="E25" i="58" s="1"/>
  <c r="E26" i="58" s="1"/>
  <c r="E27" i="58" s="1"/>
  <c r="C46" i="58"/>
  <c r="C48" i="58" s="1"/>
  <c r="C23" i="58"/>
  <c r="C24" i="58" s="1"/>
  <c r="C25" i="58" s="1"/>
  <c r="C26" i="58" s="1"/>
  <c r="I46" i="58"/>
  <c r="I48" i="58" s="1"/>
  <c r="I23" i="58"/>
  <c r="I24" i="58" s="1"/>
  <c r="I25" i="58" s="1"/>
  <c r="I26" i="58" s="1"/>
  <c r="I27" i="58" s="1"/>
  <c r="F18" i="2"/>
  <c r="H18" i="2" s="1"/>
  <c r="H50" i="2" s="1"/>
  <c r="G21" i="59"/>
  <c r="H21" i="59"/>
  <c r="D21" i="59"/>
  <c r="F21" i="59"/>
  <c r="J21" i="59"/>
  <c r="E21" i="59"/>
  <c r="C21" i="59"/>
  <c r="I21" i="59"/>
  <c r="K23" i="59"/>
  <c r="G46" i="58"/>
  <c r="G48" i="58" s="1"/>
  <c r="G23" i="58"/>
  <c r="G24" i="58" s="1"/>
  <c r="D46" i="58"/>
  <c r="D48" i="58" s="1"/>
  <c r="D23" i="58"/>
  <c r="D24" i="58" s="1"/>
  <c r="H46" i="58"/>
  <c r="H48" i="58" s="1"/>
  <c r="H23" i="58"/>
  <c r="H24" i="58" s="1"/>
  <c r="H25" i="58" s="1"/>
  <c r="H26" i="58" s="1"/>
  <c r="H27" i="58" s="1"/>
  <c r="E12" i="2"/>
  <c r="E38" i="2" s="1"/>
  <c r="E39" i="2" s="1"/>
  <c r="K16" i="58"/>
  <c r="E13" i="2" s="1"/>
  <c r="K24" i="58"/>
  <c r="K25" i="43"/>
  <c r="K26" i="43" s="1"/>
  <c r="K27" i="43" s="1"/>
  <c r="C38" i="2"/>
  <c r="C39" i="2" s="1"/>
  <c r="C13" i="2"/>
  <c r="C21" i="2"/>
  <c r="D21" i="2"/>
  <c r="D53" i="2" s="1"/>
  <c r="K25" i="56"/>
  <c r="D22" i="2" s="1"/>
  <c r="H29" i="2"/>
  <c r="H31" i="2" s="1"/>
  <c r="H32" i="2" s="1"/>
  <c r="H12" i="2"/>
  <c r="H48" i="2"/>
  <c r="H49" i="2"/>
  <c r="H47" i="2"/>
  <c r="K15" i="57" l="1"/>
  <c r="D24" i="57"/>
  <c r="D25" i="57" s="1"/>
  <c r="D26" i="57" s="1"/>
  <c r="D27" i="57" s="1"/>
  <c r="D16" i="57"/>
  <c r="D25" i="58"/>
  <c r="D26" i="58" s="1"/>
  <c r="D27" i="58" s="1"/>
  <c r="C46" i="59"/>
  <c r="C48" i="59" s="1"/>
  <c r="C23" i="59"/>
  <c r="C24" i="59" s="1"/>
  <c r="C25" i="59" s="1"/>
  <c r="C26" i="59" s="1"/>
  <c r="G46" i="59"/>
  <c r="G48" i="59" s="1"/>
  <c r="G23" i="59"/>
  <c r="G24" i="59" s="1"/>
  <c r="F39" i="2"/>
  <c r="K24" i="59"/>
  <c r="E46" i="59"/>
  <c r="E48" i="59" s="1"/>
  <c r="E23" i="59"/>
  <c r="E24" i="59" s="1"/>
  <c r="D46" i="59"/>
  <c r="D48" i="59" s="1"/>
  <c r="D23" i="59"/>
  <c r="D24" i="59" s="1"/>
  <c r="F46" i="59"/>
  <c r="F48" i="59" s="1"/>
  <c r="F23" i="59"/>
  <c r="F24" i="59" s="1"/>
  <c r="F25" i="59" s="1"/>
  <c r="F26" i="59" s="1"/>
  <c r="F27" i="59" s="1"/>
  <c r="K26" i="56"/>
  <c r="D23" i="2" s="1"/>
  <c r="G25" i="58"/>
  <c r="G26" i="58" s="1"/>
  <c r="G27" i="58" s="1"/>
  <c r="I46" i="59"/>
  <c r="I48" i="59" s="1"/>
  <c r="I23" i="59"/>
  <c r="I24" i="59" s="1"/>
  <c r="J46" i="59"/>
  <c r="J48" i="59" s="1"/>
  <c r="J23" i="59"/>
  <c r="J24" i="59" s="1"/>
  <c r="J25" i="59" s="1"/>
  <c r="J26" i="59" s="1"/>
  <c r="J27" i="59" s="1"/>
  <c r="H46" i="59"/>
  <c r="H48" i="59" s="1"/>
  <c r="H23" i="59"/>
  <c r="H24" i="59" s="1"/>
  <c r="J25" i="58"/>
  <c r="J26" i="58" s="1"/>
  <c r="J27" i="58" s="1"/>
  <c r="H38" i="2"/>
  <c r="H39" i="2" s="1"/>
  <c r="H13" i="2"/>
  <c r="H21" i="2"/>
  <c r="C53" i="2"/>
  <c r="C22" i="2"/>
  <c r="C23" i="2" s="1"/>
  <c r="K26" i="58"/>
  <c r="C27" i="58"/>
  <c r="E21" i="2"/>
  <c r="K25" i="58"/>
  <c r="E22" i="2" s="1"/>
  <c r="G12" i="2" l="1"/>
  <c r="G38" i="2" s="1"/>
  <c r="G39" i="2" s="1"/>
  <c r="K16" i="57"/>
  <c r="G13" i="2" s="1"/>
  <c r="K24" i="57"/>
  <c r="K27" i="56"/>
  <c r="D24" i="2" s="1"/>
  <c r="D25" i="59"/>
  <c r="D26" i="59" s="1"/>
  <c r="D27" i="59" s="1"/>
  <c r="G25" i="59"/>
  <c r="G26" i="59" s="1"/>
  <c r="G27" i="59" s="1"/>
  <c r="H25" i="59"/>
  <c r="H26" i="59" s="1"/>
  <c r="H27" i="59" s="1"/>
  <c r="K25" i="59"/>
  <c r="F22" i="2" s="1"/>
  <c r="F21" i="2"/>
  <c r="I25" i="59"/>
  <c r="I26" i="59" s="1"/>
  <c r="I27" i="59" s="1"/>
  <c r="E25" i="59"/>
  <c r="E26" i="59" s="1"/>
  <c r="E27" i="59" s="1"/>
  <c r="K26" i="59"/>
  <c r="C27" i="59"/>
  <c r="C59" i="2"/>
  <c r="C58" i="2" s="1"/>
  <c r="C24" i="2"/>
  <c r="C52" i="2"/>
  <c r="H53" i="2"/>
  <c r="H22" i="2"/>
  <c r="H23" i="2" s="1"/>
  <c r="K27" i="58"/>
  <c r="E24" i="2" s="1"/>
  <c r="E23" i="2"/>
  <c r="D52" i="2"/>
  <c r="D59" i="2"/>
  <c r="D58" i="2" s="1"/>
  <c r="G21" i="2" l="1"/>
  <c r="G53" i="2" s="1"/>
  <c r="K25" i="57"/>
  <c r="G22" i="2" s="1"/>
  <c r="F23" i="2"/>
  <c r="K27" i="59"/>
  <c r="F24" i="2" s="1"/>
  <c r="H59" i="2"/>
  <c r="H58" i="2" s="1"/>
  <c r="H24" i="2"/>
  <c r="H52" i="2"/>
  <c r="K26" i="57" l="1"/>
  <c r="K27" i="57" l="1"/>
  <c r="G24" i="2" s="1"/>
  <c r="G23" i="2"/>
  <c r="G59" i="2" l="1"/>
  <c r="G58" i="2" s="1"/>
  <c r="G52" i="2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2021.12月河北报表数据</t>
        </r>
      </text>
    </comment>
  </commentList>
</comments>
</file>

<file path=xl/sharedStrings.xml><?xml version="1.0" encoding="utf-8"?>
<sst xmlns="http://schemas.openxmlformats.org/spreadsheetml/2006/main" count="1402" uniqueCount="289">
  <si>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</si>
  <si>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</si>
  <si>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</si>
  <si>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</si>
  <si>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</si>
  <si>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</si>
  <si>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</si>
  <si>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</si>
  <si>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</si>
  <si>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</si>
  <si>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如有产线改造按照产销量摊销，无净残值。</t>
  </si>
  <si>
    <t>投资回收期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</si>
  <si>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</si>
  <si>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</si>
  <si>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</si>
  <si>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</si>
  <si>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</si>
  <si>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</si>
  <si>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</si>
  <si>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</si>
  <si>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</si>
  <si>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</si>
  <si>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</si>
  <si>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</si>
  <si>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</si>
  <si>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</si>
  <si>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</si>
  <si>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</si>
  <si>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</si>
  <si>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</si>
  <si>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</si>
  <si>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</si>
  <si>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</si>
  <si>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</si>
  <si>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</si>
  <si>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</si>
  <si>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</si>
  <si>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</si>
  <si>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</si>
  <si>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</si>
  <si>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</si>
  <si>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</si>
  <si>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</si>
  <si>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</si>
  <si>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</si>
  <si>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</si>
  <si>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</si>
  <si>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</si>
  <si>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</si>
  <si>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</si>
  <si>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</si>
  <si>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</si>
  <si>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</si>
  <si>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</si>
  <si>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</si>
  <si>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</si>
  <si>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</si>
  <si>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</si>
  <si>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</si>
  <si>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</si>
  <si>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</si>
  <si>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</si>
  <si>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</si>
  <si>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</si>
  <si>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</si>
  <si>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</si>
  <si>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</si>
  <si>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</si>
  <si>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</si>
  <si>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</si>
  <si>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</si>
  <si>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</si>
  <si>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</si>
  <si>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</si>
  <si>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</si>
  <si>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</si>
  <si>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</si>
  <si>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</si>
  <si>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</si>
  <si>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</si>
  <si>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</si>
  <si>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</si>
  <si>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</si>
  <si>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</si>
  <si>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</si>
  <si>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</si>
  <si>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</si>
  <si>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</si>
  <si>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</si>
  <si>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</si>
  <si>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</si>
  <si>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</si>
  <si>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</si>
  <si>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</si>
  <si>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</si>
  <si>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</si>
  <si>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</si>
  <si>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</si>
  <si>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</si>
  <si>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</si>
  <si>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</si>
  <si>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</si>
  <si>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</si>
  <si>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</si>
  <si>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</si>
  <si>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</si>
  <si>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</si>
  <si>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</si>
  <si>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</si>
  <si>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</si>
  <si>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</si>
  <si>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</si>
  <si>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</si>
  <si>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</si>
  <si>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</si>
  <si>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</si>
  <si>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</si>
  <si>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</si>
  <si>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</si>
  <si>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</si>
  <si>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</si>
  <si>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</si>
  <si>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</si>
  <si>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</si>
  <si>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</si>
  <si>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</si>
  <si>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</si>
  <si>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</si>
  <si>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</si>
  <si>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</si>
  <si>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</si>
  <si>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</si>
  <si>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</si>
  <si>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</si>
  <si>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</si>
  <si>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</si>
  <si>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</si>
  <si>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</si>
  <si>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</si>
  <si>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</si>
  <si>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</si>
  <si>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</si>
  <si>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</si>
  <si>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</si>
  <si>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</si>
  <si>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</si>
  <si>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</si>
  <si>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</si>
  <si>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</si>
  <si>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</si>
  <si>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</si>
  <si>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</si>
  <si>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</si>
  <si>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</si>
  <si>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</si>
  <si>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</si>
  <si>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</si>
  <si>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</si>
  <si>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</si>
  <si>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</si>
  <si>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</si>
  <si>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</si>
  <si>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</si>
  <si>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</si>
  <si>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</si>
  <si>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</si>
  <si>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</si>
  <si>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</si>
  <si>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</si>
  <si>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</si>
  <si>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</si>
  <si>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</si>
  <si>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</si>
  <si>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</si>
  <si>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</si>
  <si>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</si>
  <si>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</si>
  <si>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</si>
  <si>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</si>
  <si>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</si>
  <si>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</si>
  <si>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</si>
  <si>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</si>
  <si>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</si>
  <si>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</si>
  <si>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</si>
  <si>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</si>
  <si>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</si>
  <si>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</si>
  <si>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</si>
  <si>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</si>
  <si>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</si>
  <si>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</si>
  <si>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</si>
  <si>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</si>
  <si>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</si>
  <si>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</si>
  <si>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</si>
  <si>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</si>
  <si>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</si>
  <si>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</si>
  <si>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</si>
  <si>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</si>
  <si>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</si>
  <si>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</si>
  <si>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</si>
  <si>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</si>
  <si>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</si>
  <si>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</si>
  <si>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</si>
  <si>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</si>
  <si>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</si>
  <si>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</si>
  <si>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</si>
  <si>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</si>
  <si>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</si>
  <si>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</si>
  <si>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</si>
  <si>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</si>
  <si>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</si>
  <si>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</si>
  <si>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</si>
  <si>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</si>
  <si>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</si>
  <si>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产品名称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</si>
  <si>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</si>
  <si>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</si>
  <si>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</si>
  <si>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</si>
  <si>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>所得税(税率25%）</t>
    <phoneticPr fontId="37" type="noConversion"/>
  </si>
  <si>
    <t>所得税(税率15%）</t>
    <phoneticPr fontId="37" type="noConversion"/>
  </si>
  <si>
    <t>财务费用按集团水平。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</si>
  <si>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</si>
  <si>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</si>
  <si>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</si>
  <si>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>2023年</t>
    <phoneticPr fontId="37" type="noConversion"/>
  </si>
  <si>
    <t>2027年</t>
  </si>
  <si>
    <t>2028年</t>
  </si>
  <si>
    <t>变动费用参考河北工厂2021年实际及2022预算暂估。</t>
    <phoneticPr fontId="37" type="noConversion"/>
  </si>
  <si>
    <t>预测工厂产能满足客户订单，新增生产设备。</t>
    <phoneticPr fontId="37" type="noConversion"/>
  </si>
  <si>
    <t>2029年</t>
  </si>
  <si>
    <t>2030年</t>
  </si>
  <si>
    <t>参考产品物料号</t>
    <phoneticPr fontId="37" type="noConversion"/>
  </si>
  <si>
    <t>产品图号/物料号</t>
    <phoneticPr fontId="37" type="noConversion"/>
  </si>
  <si>
    <t>QAD号为老产品物料号，仅供参考</t>
    <phoneticPr fontId="37" type="noConversion"/>
  </si>
  <si>
    <t>材料成本年降汇总表</t>
    <phoneticPr fontId="37" type="noConversion"/>
  </si>
  <si>
    <t>开发费分摊情况</t>
  </si>
  <si>
    <t>产品应用场景</t>
  </si>
  <si>
    <t>三包周期</t>
  </si>
  <si>
    <t>涂红色处为必填项</t>
  </si>
  <si>
    <t>综合占收入比率</t>
    <phoneticPr fontId="37" type="noConversion"/>
  </si>
  <si>
    <t>成本</t>
    <phoneticPr fontId="37" type="noConversion"/>
  </si>
  <si>
    <t>附加值</t>
    <phoneticPr fontId="37" type="noConversion"/>
  </si>
  <si>
    <t>附加值率</t>
    <phoneticPr fontId="37" type="noConversion"/>
  </si>
  <si>
    <r>
      <t>2023</t>
    </r>
    <r>
      <rPr>
        <b/>
        <sz val="10"/>
        <rFont val="宋体"/>
        <family val="3"/>
        <charset val="134"/>
      </rPr>
      <t>年</t>
    </r>
    <phoneticPr fontId="37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</si>
  <si>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</si>
  <si>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</si>
  <si>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</si>
  <si>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</si>
  <si>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>客户及供应商交流成本、样品状态事宜，预计3-4次，单次1-2人；</t>
    <phoneticPr fontId="34" type="noConversion"/>
  </si>
  <si>
    <t>开发费用包括福田、一汽、重汽、荣昌造型，其它不包括。</t>
    <phoneticPr fontId="34" type="noConversion"/>
  </si>
  <si>
    <t>河北工厂</t>
    <phoneticPr fontId="34" type="noConversion"/>
  </si>
  <si>
    <t>送货地点</t>
    <phoneticPr fontId="34" type="noConversion"/>
  </si>
  <si>
    <t>承兑</t>
    <phoneticPr fontId="34" type="noConversion"/>
  </si>
  <si>
    <t>现汇或承兑的比例</t>
    <phoneticPr fontId="34" type="noConversion"/>
  </si>
  <si>
    <t>工装汽运</t>
    <phoneticPr fontId="34" type="noConversion"/>
  </si>
  <si>
    <t>包含所有的主、辅料</t>
    <phoneticPr fontId="34" type="noConversion"/>
  </si>
  <si>
    <t>其他</t>
    <phoneticPr fontId="34" type="noConversion"/>
  </si>
  <si>
    <t>扣除三包异常后</t>
    <phoneticPr fontId="37" type="noConversion"/>
  </si>
  <si>
    <t>材料成本（连降3%）</t>
    <phoneticPr fontId="37" type="noConversion"/>
  </si>
  <si>
    <t>2023年</t>
    <phoneticPr fontId="37" type="noConversion"/>
  </si>
  <si>
    <r>
      <t xml:space="preserve">李尔座椅发泡项目投资收益分析            </t>
    </r>
    <r>
      <rPr>
        <sz val="10"/>
        <color theme="1"/>
        <rFont val="微软雅黑"/>
        <family val="2"/>
        <charset val="134"/>
      </rPr>
      <t>单位：元</t>
    </r>
    <phoneticPr fontId="37" type="noConversion"/>
  </si>
  <si>
    <t xml:space="preserve">  5年</t>
    <phoneticPr fontId="37" type="noConversion"/>
  </si>
  <si>
    <t>V71发泡</t>
    <phoneticPr fontId="37" type="noConversion"/>
  </si>
  <si>
    <t>B01发泡</t>
    <phoneticPr fontId="34" type="noConversion"/>
  </si>
  <si>
    <t>不含包装费、模具、工装</t>
    <phoneticPr fontId="37" type="noConversion"/>
  </si>
  <si>
    <t>客户支付</t>
    <phoneticPr fontId="37" type="noConversion"/>
  </si>
  <si>
    <t>北京北汽李尔汽车系统有限公司保定分公司</t>
    <phoneticPr fontId="37" type="noConversion"/>
  </si>
  <si>
    <t xml:space="preserve">ZY2318李尔座椅发泡项目研发费用预算表 </t>
    <phoneticPr fontId="37" type="noConversion"/>
  </si>
  <si>
    <t>李尔座椅发泡项目</t>
    <phoneticPr fontId="37" type="noConversion"/>
  </si>
  <si>
    <t>销售价格（未税）：由营销部门提供，无年降。</t>
    <phoneticPr fontId="37" type="noConversion"/>
  </si>
  <si>
    <t>成本预估根据项目经理提供资料估算。供应商年度降价无。</t>
    <phoneticPr fontId="37" type="noConversion"/>
  </si>
  <si>
    <t>研发费用客户支付。</t>
    <phoneticPr fontId="37" type="noConversion"/>
  </si>
  <si>
    <t>投资仅指此项目研发费用及模夹检具工装、生产地产线改造投入。本项目投资客户支付。</t>
    <phoneticPr fontId="37" type="noConversion"/>
  </si>
  <si>
    <t>ZY2318</t>
    <phoneticPr fontId="37" type="noConversion"/>
  </si>
  <si>
    <t>李尔座椅发泡项目</t>
    <phoneticPr fontId="37" type="noConversion"/>
  </si>
  <si>
    <t>供应商年降：0%</t>
    <phoneticPr fontId="37" type="noConversion"/>
  </si>
  <si>
    <t>徐水</t>
    <phoneticPr fontId="34" type="noConversion"/>
  </si>
  <si>
    <t>客户支付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</si>
</sst>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22"/>
      <color rgb="FFFF0000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0" fillId="8" borderId="1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9" borderId="1" xfId="0" applyFont="1" applyFill="1" applyBorder="1" applyAlignment="1">
      <alignment vertical="center" wrapText="1"/>
    </xf>
    <xf numFmtId="0" fontId="40" fillId="0" borderId="1" xfId="0" applyFont="1" applyBorder="1">
      <alignment vertical="center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6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43" fontId="40" fillId="8" borderId="4" xfId="1" applyFont="1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4" fillId="0" borderId="16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11" applyFont="1" applyFill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10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5" fillId="10" borderId="0" xfId="0" applyFont="1" applyFill="1">
      <alignment vertical="center"/>
    </xf>
    <xf numFmtId="0" fontId="40" fillId="0" borderId="0" xfId="0" applyFont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9" fontId="45" fillId="0" borderId="1" xfId="3" applyFont="1" applyFill="1" applyBorder="1" applyAlignment="1">
      <alignment horizontal="center" vertical="center"/>
    </xf>
    <xf numFmtId="10" fontId="45" fillId="0" borderId="1" xfId="3" applyNumberFormat="1" applyFont="1" applyFill="1" applyBorder="1" applyAlignment="1">
      <alignment horizontal="center" vertical="center"/>
    </xf>
    <xf numFmtId="0" fontId="48" fillId="0" borderId="0" xfId="0" applyFont="1">
      <alignment vertical="center"/>
    </xf>
    <xf numFmtId="178" fontId="48" fillId="0" borderId="0" xfId="1" applyNumberFormat="1" applyFont="1">
      <alignment vertical="center"/>
    </xf>
    <xf numFmtId="0" fontId="47" fillId="0" borderId="0" xfId="0" applyFont="1" applyAlignment="1">
      <alignment vertical="center"/>
    </xf>
    <xf numFmtId="0" fontId="48" fillId="2" borderId="0" xfId="0" applyFont="1" applyFill="1">
      <alignment vertical="center"/>
    </xf>
    <xf numFmtId="10" fontId="48" fillId="7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0" fontId="49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Fill="1">
      <alignment vertical="center"/>
    </xf>
    <xf numFmtId="0" fontId="50" fillId="0" borderId="1" xfId="0" applyFont="1" applyBorder="1" applyAlignment="1">
      <alignment horizontal="center" vertical="center" wrapText="1"/>
    </xf>
    <xf numFmtId="0" fontId="51" fillId="0" borderId="1" xfId="1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51" fillId="0" borderId="1" xfId="11" applyFont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 readingOrder="1"/>
    </xf>
    <xf numFmtId="0" fontId="53" fillId="0" borderId="1" xfId="0" applyFont="1" applyFill="1" applyBorder="1" applyAlignment="1">
      <alignment horizontal="center" vertical="center" wrapText="1" readingOrder="1"/>
    </xf>
    <xf numFmtId="178" fontId="53" fillId="3" borderId="1" xfId="1" applyNumberFormat="1" applyFont="1" applyFill="1" applyBorder="1" applyAlignment="1">
      <alignment horizontal="center" vertical="center" wrapText="1" readingOrder="1"/>
    </xf>
    <xf numFmtId="0" fontId="53" fillId="0" borderId="0" xfId="0" applyFont="1" applyFill="1" applyAlignment="1">
      <alignment horizontal="center" vertical="center" wrapText="1"/>
    </xf>
    <xf numFmtId="178" fontId="53" fillId="3" borderId="1" xfId="0" applyNumberFormat="1" applyFont="1" applyFill="1" applyBorder="1" applyAlignment="1">
      <alignment horizontal="center" wrapText="1" readingOrder="1"/>
    </xf>
    <xf numFmtId="43" fontId="48" fillId="0" borderId="0" xfId="1" applyFont="1">
      <alignment vertical="center"/>
    </xf>
    <xf numFmtId="0" fontId="48" fillId="0" borderId="1" xfId="0" applyFont="1" applyBorder="1">
      <alignment vertical="center"/>
    </xf>
    <xf numFmtId="43" fontId="48" fillId="0" borderId="1" xfId="0" applyNumberFormat="1" applyFont="1" applyBorder="1">
      <alignment vertical="center"/>
    </xf>
    <xf numFmtId="180" fontId="48" fillId="0" borderId="1" xfId="3" applyNumberFormat="1" applyFont="1" applyBorder="1">
      <alignment vertical="center"/>
    </xf>
    <xf numFmtId="0" fontId="41" fillId="0" borderId="0" xfId="0" applyFont="1">
      <alignment vertical="center"/>
    </xf>
    <xf numFmtId="0" fontId="46" fillId="0" borderId="13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3" fillId="3" borderId="1" xfId="0" applyFont="1" applyFill="1" applyBorder="1" applyAlignment="1">
      <alignment horizontal="center" vertical="center" wrapText="1" readingOrder="1"/>
    </xf>
    <xf numFmtId="0" fontId="48" fillId="0" borderId="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6" fillId="0" borderId="1" xfId="0" applyFont="1" applyBorder="1" applyAlignment="1">
      <alignment vertical="center" wrapText="1"/>
    </xf>
    <xf numFmtId="0" fontId="55" fillId="0" borderId="0" xfId="0" applyFont="1" applyAlignment="1">
      <alignment horizontal="center" vertical="center"/>
    </xf>
    <xf numFmtId="43" fontId="0" fillId="10" borderId="1" xfId="0" applyNumberForma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43" fontId="0" fillId="0" borderId="0" xfId="1" applyFont="1" applyFill="1" applyBorder="1">
      <alignment vertical="center"/>
    </xf>
    <xf numFmtId="43" fontId="0" fillId="0" borderId="0" xfId="1" applyFont="1" applyFill="1" applyBorder="1" applyAlignment="1">
      <alignment vertical="center"/>
    </xf>
    <xf numFmtId="43" fontId="0" fillId="0" borderId="0" xfId="0" applyNumberFormat="1" applyFill="1" applyBorder="1">
      <alignment vertical="center"/>
    </xf>
    <xf numFmtId="43" fontId="26" fillId="0" borderId="0" xfId="1" applyFont="1" applyFill="1" applyBorder="1" applyAlignment="1">
      <alignment horizontal="center" vertical="center"/>
    </xf>
    <xf numFmtId="180" fontId="0" fillId="10" borderId="0" xfId="3" applyNumberFormat="1" applyFont="1" applyFill="1">
      <alignment vertical="center"/>
    </xf>
    <xf numFmtId="0" fontId="56" fillId="0" borderId="9" xfId="0" applyFont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8" sqref="C8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33" t="s">
        <v>279</v>
      </c>
      <c r="B1" s="234"/>
      <c r="C1" s="234"/>
    </row>
    <row r="2" spans="1:4" s="128" customFormat="1" ht="35.25" customHeight="1">
      <c r="A2" s="129" t="s">
        <v>0</v>
      </c>
      <c r="B2" s="129" t="s">
        <v>1</v>
      </c>
      <c r="C2" s="129" t="s">
        <v>2</v>
      </c>
      <c r="D2" s="130"/>
    </row>
    <row r="3" spans="1:4" s="128" customFormat="1" ht="33.75" customHeight="1">
      <c r="A3" s="131">
        <v>1</v>
      </c>
      <c r="B3" s="131" t="s">
        <v>3</v>
      </c>
      <c r="C3" s="132" t="s">
        <v>4</v>
      </c>
      <c r="D3" s="130"/>
    </row>
    <row r="4" spans="1:4" s="128" customFormat="1" ht="33.75" customHeight="1">
      <c r="A4" s="131">
        <v>2</v>
      </c>
      <c r="B4" s="131" t="s">
        <v>5</v>
      </c>
      <c r="C4" s="132" t="s">
        <v>280</v>
      </c>
    </row>
    <row r="5" spans="1:4" s="128" customFormat="1" ht="33.75" customHeight="1">
      <c r="A5" s="131">
        <v>3</v>
      </c>
      <c r="B5" s="231" t="s">
        <v>6</v>
      </c>
      <c r="C5" s="133" t="s">
        <v>281</v>
      </c>
    </row>
    <row r="6" spans="1:4" s="128" customFormat="1" ht="33.75" customHeight="1">
      <c r="A6" s="131">
        <v>4</v>
      </c>
      <c r="B6" s="232"/>
      <c r="C6" s="132" t="s">
        <v>7</v>
      </c>
    </row>
    <row r="7" spans="1:4" s="128" customFormat="1" ht="33.75" customHeight="1">
      <c r="A7" s="131">
        <v>5</v>
      </c>
      <c r="B7" s="134" t="s">
        <v>8</v>
      </c>
      <c r="C7" s="132" t="s">
        <v>238</v>
      </c>
    </row>
    <row r="8" spans="1:4" s="128" customFormat="1" ht="33.75" customHeight="1">
      <c r="A8" s="131">
        <v>6</v>
      </c>
      <c r="B8" s="231" t="s">
        <v>9</v>
      </c>
      <c r="C8" s="132" t="s">
        <v>239</v>
      </c>
    </row>
    <row r="9" spans="1:4" s="128" customFormat="1" ht="33.75" customHeight="1">
      <c r="A9" s="131">
        <v>7</v>
      </c>
      <c r="B9" s="232"/>
      <c r="C9" s="132" t="s">
        <v>282</v>
      </c>
    </row>
    <row r="10" spans="1:4" s="128" customFormat="1" ht="33.75" customHeight="1">
      <c r="A10" s="131">
        <v>8</v>
      </c>
      <c r="B10" s="232"/>
      <c r="C10" s="133" t="s">
        <v>231</v>
      </c>
    </row>
    <row r="11" spans="1:4" s="128" customFormat="1" ht="33.75" customHeight="1">
      <c r="A11" s="131">
        <v>9</v>
      </c>
      <c r="B11" s="232"/>
      <c r="C11" s="132" t="s">
        <v>10</v>
      </c>
    </row>
    <row r="12" spans="1:4" s="128" customFormat="1" ht="33.75" customHeight="1">
      <c r="A12" s="131">
        <v>10</v>
      </c>
      <c r="B12" s="134" t="s">
        <v>11</v>
      </c>
      <c r="C12" s="132" t="s">
        <v>283</v>
      </c>
    </row>
    <row r="13" spans="1:4" ht="33.75" customHeight="1"/>
    <row r="14" spans="1:4" ht="33.75" customHeight="1"/>
    <row r="15" spans="1:4" ht="33.75" customHeight="1">
      <c r="C15" s="135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60" zoomScaleNormal="60" workbookViewId="0">
      <selection activeCell="C8" sqref="C8"/>
    </sheetView>
  </sheetViews>
  <sheetFormatPr defaultColWidth="9" defaultRowHeight="20.25"/>
  <cols>
    <col min="1" max="1" width="14" style="200" customWidth="1"/>
    <col min="2" max="2" width="14.125" style="200" customWidth="1"/>
    <col min="3" max="11" width="18.25" style="200" customWidth="1"/>
    <col min="12" max="12" width="11.625" style="200" customWidth="1"/>
    <col min="13" max="13" width="4" style="200" customWidth="1"/>
    <col min="14" max="14" width="9.125" style="200" customWidth="1"/>
    <col min="15" max="16384" width="9" style="200"/>
  </cols>
  <sheetData>
    <row r="1" spans="1:15" ht="42.75" customHeight="1">
      <c r="A1" s="267" t="s">
        <v>184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5" ht="24" customHeight="1">
      <c r="A2" s="202" t="s">
        <v>185</v>
      </c>
      <c r="E2" s="201"/>
      <c r="F2" s="201"/>
      <c r="G2" s="201"/>
      <c r="H2" s="201"/>
      <c r="I2" s="201"/>
      <c r="J2" s="201"/>
      <c r="K2" s="201"/>
      <c r="L2" s="201"/>
    </row>
    <row r="3" spans="1:15">
      <c r="C3" s="200" t="s">
        <v>186</v>
      </c>
      <c r="D3" s="203" t="s">
        <v>272</v>
      </c>
      <c r="E3" s="204">
        <v>0</v>
      </c>
      <c r="F3" s="205"/>
      <c r="G3" s="205"/>
      <c r="H3" s="205"/>
      <c r="K3" s="206"/>
    </row>
    <row r="4" spans="1:15">
      <c r="K4" s="207"/>
    </row>
    <row r="5" spans="1:15" ht="45" customHeight="1">
      <c r="A5" s="266" t="s">
        <v>187</v>
      </c>
      <c r="B5" s="208" t="s">
        <v>137</v>
      </c>
      <c r="C5" s="228" t="s">
        <v>274</v>
      </c>
      <c r="D5" s="209" t="s">
        <v>273</v>
      </c>
      <c r="E5" s="209"/>
      <c r="F5" s="209"/>
      <c r="G5" s="209"/>
      <c r="H5" s="209"/>
      <c r="I5" s="209"/>
      <c r="J5" s="209"/>
      <c r="K5" s="210"/>
      <c r="L5" s="265" t="s">
        <v>13</v>
      </c>
    </row>
    <row r="6" spans="1:15" ht="31.5" customHeight="1">
      <c r="A6" s="266"/>
      <c r="B6" s="208" t="s">
        <v>138</v>
      </c>
      <c r="C6" s="229"/>
      <c r="D6" s="209"/>
      <c r="E6" s="209"/>
      <c r="F6" s="209"/>
      <c r="G6" s="209"/>
      <c r="H6" s="209"/>
      <c r="I6" s="209"/>
      <c r="J6" s="209"/>
      <c r="K6" s="211"/>
      <c r="L6" s="265"/>
      <c r="N6" s="200">
        <v>100</v>
      </c>
    </row>
    <row r="7" spans="1:15" ht="32.25" customHeight="1">
      <c r="A7" s="266"/>
      <c r="B7" s="212" t="s">
        <v>188</v>
      </c>
      <c r="C7" s="230"/>
      <c r="D7" s="209"/>
      <c r="E7" s="209"/>
      <c r="F7" s="209"/>
      <c r="G7" s="209"/>
      <c r="H7" s="209"/>
      <c r="I7" s="213"/>
      <c r="J7" s="213"/>
      <c r="K7" s="211"/>
      <c r="L7" s="265"/>
      <c r="N7" s="200">
        <f>N6*(1-$E$3)</f>
        <v>100</v>
      </c>
      <c r="O7" s="200">
        <f>N7/$N$6</f>
        <v>1</v>
      </c>
    </row>
    <row r="8" spans="1:15" ht="60.75">
      <c r="A8" s="266"/>
      <c r="B8" s="212" t="s">
        <v>189</v>
      </c>
      <c r="C8" s="229">
        <v>350.03</v>
      </c>
      <c r="D8" s="214">
        <v>526.08000000000004</v>
      </c>
      <c r="E8" s="214"/>
      <c r="F8" s="215"/>
      <c r="G8" s="216"/>
      <c r="H8" s="216"/>
      <c r="I8" s="216"/>
      <c r="J8" s="216"/>
      <c r="K8" s="211"/>
      <c r="L8" s="265"/>
      <c r="N8" s="200">
        <f>N7*(1-$E$3)</f>
        <v>100</v>
      </c>
      <c r="O8" s="200">
        <f t="shared" ref="O8:O11" si="0">N8/$N$6</f>
        <v>1</v>
      </c>
    </row>
    <row r="9" spans="1:15">
      <c r="A9" s="266" t="s">
        <v>190</v>
      </c>
      <c r="B9" s="217" t="s">
        <v>235</v>
      </c>
      <c r="C9" s="218">
        <v>65000</v>
      </c>
      <c r="D9" s="218">
        <v>13000</v>
      </c>
      <c r="E9" s="218"/>
      <c r="F9" s="218"/>
      <c r="G9" s="218"/>
      <c r="H9" s="218"/>
      <c r="I9" s="218"/>
      <c r="J9" s="218"/>
      <c r="K9" s="219"/>
      <c r="L9" s="220">
        <f>SUM(C9:K9)</f>
        <v>78000</v>
      </c>
      <c r="N9" s="200">
        <f t="shared" ref="N9:N11" si="1">N8*(1-$E$3)</f>
        <v>100</v>
      </c>
      <c r="O9" s="200">
        <f t="shared" si="0"/>
        <v>1</v>
      </c>
    </row>
    <row r="10" spans="1:15">
      <c r="A10" s="266"/>
      <c r="B10" s="217" t="s">
        <v>180</v>
      </c>
      <c r="C10" s="218"/>
      <c r="D10" s="218"/>
      <c r="E10" s="218"/>
      <c r="F10" s="218"/>
      <c r="G10" s="218"/>
      <c r="H10" s="218"/>
      <c r="I10" s="218"/>
      <c r="J10" s="218"/>
      <c r="K10" s="221"/>
      <c r="L10" s="220">
        <f t="shared" ref="L10:L14" si="2">SUM(C10:K10)</f>
        <v>0</v>
      </c>
      <c r="N10" s="200">
        <f t="shared" si="1"/>
        <v>100</v>
      </c>
      <c r="O10" s="200">
        <f t="shared" si="0"/>
        <v>1</v>
      </c>
    </row>
    <row r="11" spans="1:15">
      <c r="A11" s="266"/>
      <c r="B11" s="217" t="s">
        <v>181</v>
      </c>
      <c r="C11" s="218"/>
      <c r="D11" s="218"/>
      <c r="E11" s="218"/>
      <c r="F11" s="218"/>
      <c r="G11" s="218"/>
      <c r="H11" s="218"/>
      <c r="I11" s="218"/>
      <c r="J11" s="218"/>
      <c r="K11" s="219"/>
      <c r="L11" s="220">
        <f t="shared" si="2"/>
        <v>0</v>
      </c>
      <c r="N11" s="200">
        <f t="shared" si="1"/>
        <v>100</v>
      </c>
      <c r="O11" s="200">
        <f t="shared" si="0"/>
        <v>1</v>
      </c>
    </row>
    <row r="12" spans="1:15">
      <c r="A12" s="266"/>
      <c r="B12" s="217" t="s">
        <v>225</v>
      </c>
      <c r="C12" s="218"/>
      <c r="D12" s="218"/>
      <c r="E12" s="218"/>
      <c r="F12" s="218"/>
      <c r="G12" s="218"/>
      <c r="H12" s="218"/>
      <c r="I12" s="218"/>
      <c r="J12" s="218"/>
      <c r="K12" s="178"/>
      <c r="L12" s="220">
        <f t="shared" si="2"/>
        <v>0</v>
      </c>
    </row>
    <row r="13" spans="1:15">
      <c r="A13" s="266"/>
      <c r="B13" s="217" t="s">
        <v>236</v>
      </c>
      <c r="C13" s="218"/>
      <c r="D13" s="218"/>
      <c r="E13" s="218"/>
      <c r="F13" s="218"/>
      <c r="G13" s="218"/>
      <c r="H13" s="218"/>
      <c r="I13" s="218"/>
      <c r="J13" s="218"/>
      <c r="K13" s="178"/>
      <c r="L13" s="220">
        <f t="shared" si="2"/>
        <v>0</v>
      </c>
    </row>
    <row r="14" spans="1:15">
      <c r="A14" s="266"/>
      <c r="B14" s="217" t="s">
        <v>237</v>
      </c>
      <c r="C14" s="219"/>
      <c r="D14" s="219"/>
      <c r="E14" s="219"/>
      <c r="F14" s="219"/>
      <c r="G14" s="219"/>
      <c r="H14" s="219"/>
      <c r="I14" s="219"/>
      <c r="J14" s="219"/>
      <c r="K14" s="219"/>
      <c r="L14" s="220">
        <f t="shared" si="2"/>
        <v>0</v>
      </c>
    </row>
    <row r="15" spans="1:15">
      <c r="A15" s="265" t="s">
        <v>13</v>
      </c>
      <c r="B15" s="265"/>
      <c r="C15" s="222">
        <f t="shared" ref="C15:L15" si="3">SUM(C9:C14)</f>
        <v>65000</v>
      </c>
      <c r="D15" s="222">
        <f t="shared" si="3"/>
        <v>13000</v>
      </c>
      <c r="E15" s="222">
        <f t="shared" si="3"/>
        <v>0</v>
      </c>
      <c r="F15" s="222">
        <f t="shared" si="3"/>
        <v>0</v>
      </c>
      <c r="G15" s="222">
        <f t="shared" si="3"/>
        <v>0</v>
      </c>
      <c r="H15" s="222">
        <f t="shared" si="3"/>
        <v>0</v>
      </c>
      <c r="I15" s="222">
        <f t="shared" si="3"/>
        <v>0</v>
      </c>
      <c r="J15" s="222">
        <f t="shared" si="3"/>
        <v>0</v>
      </c>
      <c r="K15" s="222">
        <f t="shared" si="3"/>
        <v>0</v>
      </c>
      <c r="L15" s="222">
        <f t="shared" si="3"/>
        <v>78000</v>
      </c>
    </row>
    <row r="16" spans="1:15">
      <c r="A16" s="223"/>
      <c r="B16" s="223"/>
      <c r="C16" s="223"/>
    </row>
    <row r="17" spans="2:12" ht="29.25" customHeight="1">
      <c r="B17" s="224" t="s">
        <v>251</v>
      </c>
      <c r="C17" s="225">
        <f>材料成本!D12</f>
        <v>255.9</v>
      </c>
      <c r="D17" s="225">
        <f>材料成本!E12</f>
        <v>363.43</v>
      </c>
      <c r="E17" s="225">
        <f>材料成本!F12</f>
        <v>0</v>
      </c>
      <c r="F17" s="225">
        <f>材料成本!G12</f>
        <v>0</v>
      </c>
      <c r="G17" s="225">
        <f>材料成本!H12</f>
        <v>0</v>
      </c>
      <c r="H17" s="225">
        <f>材料成本!I12</f>
        <v>0</v>
      </c>
      <c r="I17" s="225">
        <f>材料成本!J12</f>
        <v>0</v>
      </c>
      <c r="J17" s="225">
        <f>材料成本!K12</f>
        <v>0</v>
      </c>
      <c r="K17" s="224"/>
      <c r="L17" s="224"/>
    </row>
    <row r="18" spans="2:12" ht="29.25" customHeight="1">
      <c r="B18" s="224" t="s">
        <v>252</v>
      </c>
      <c r="C18" s="225">
        <f>C8-C17</f>
        <v>94.129999999999967</v>
      </c>
      <c r="D18" s="225">
        <f t="shared" ref="D18:J18" si="4">D8-D17</f>
        <v>162.65000000000003</v>
      </c>
      <c r="E18" s="225">
        <f t="shared" si="4"/>
        <v>0</v>
      </c>
      <c r="F18" s="225">
        <f t="shared" si="4"/>
        <v>0</v>
      </c>
      <c r="G18" s="225">
        <f t="shared" si="4"/>
        <v>0</v>
      </c>
      <c r="H18" s="225">
        <f t="shared" si="4"/>
        <v>0</v>
      </c>
      <c r="I18" s="225">
        <f t="shared" si="4"/>
        <v>0</v>
      </c>
      <c r="J18" s="225">
        <f t="shared" si="4"/>
        <v>0</v>
      </c>
      <c r="K18" s="224"/>
      <c r="L18" s="224"/>
    </row>
    <row r="19" spans="2:12" ht="29.25" customHeight="1">
      <c r="B19" s="224" t="s">
        <v>253</v>
      </c>
      <c r="C19" s="226">
        <f>C18/C8</f>
        <v>0.26891980687369649</v>
      </c>
      <c r="D19" s="226">
        <f t="shared" ref="D19:J19" si="5">D18/D8</f>
        <v>0.30917350973236013</v>
      </c>
      <c r="E19" s="226" t="e">
        <f t="shared" si="5"/>
        <v>#DIV/0!</v>
      </c>
      <c r="F19" s="226" t="e">
        <f t="shared" si="5"/>
        <v>#DIV/0!</v>
      </c>
      <c r="G19" s="226" t="e">
        <f t="shared" si="5"/>
        <v>#DIV/0!</v>
      </c>
      <c r="H19" s="226" t="e">
        <f t="shared" si="5"/>
        <v>#DIV/0!</v>
      </c>
      <c r="I19" s="226" t="e">
        <f t="shared" si="5"/>
        <v>#DIV/0!</v>
      </c>
      <c r="J19" s="226" t="e">
        <f t="shared" si="5"/>
        <v>#DIV/0!</v>
      </c>
      <c r="K19" s="224"/>
      <c r="L19" s="224"/>
    </row>
  </sheetData>
  <mergeCells count="5">
    <mergeCell ref="A15:B15"/>
    <mergeCell ref="A5:A8"/>
    <mergeCell ref="A9:A14"/>
    <mergeCell ref="L5:L8"/>
    <mergeCell ref="A1:L1"/>
  </mergeCells>
  <phoneticPr fontId="37" type="noConversion"/>
  <conditionalFormatting sqref="K3">
    <cfRule type="cellIs" dxfId="0" priority="1" operator="equal">
      <formula>"价值版"</formula>
    </cfRule>
  </conditionalFormatting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pane xSplit="3" ySplit="5" topLeftCell="D6" activePane="bottomRight" state="frozen"/>
      <selection pane="topRight"/>
      <selection pane="bottomLeft"/>
      <selection pane="bottomRight" activeCell="F12" sqref="F12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6.625" style="5" customWidth="1"/>
    <col min="5" max="5" width="17" style="5" customWidth="1"/>
    <col min="6" max="12" width="12" style="5" customWidth="1"/>
    <col min="13" max="13" width="17.375" style="5" customWidth="1"/>
    <col min="14" max="14" width="16" style="5" customWidth="1"/>
    <col min="15" max="16384" width="9" style="5"/>
  </cols>
  <sheetData>
    <row r="1" spans="1:15" s="4" customFormat="1" ht="28.5" customHeight="1">
      <c r="A1" s="273" t="s">
        <v>6</v>
      </c>
      <c r="B1" s="273"/>
      <c r="C1" s="6"/>
      <c r="N1" s="9"/>
    </row>
    <row r="2" spans="1:15">
      <c r="A2" s="274" t="s">
        <v>191</v>
      </c>
      <c r="B2" s="274"/>
      <c r="C2" s="275"/>
      <c r="D2" s="275"/>
      <c r="E2" s="276" t="s">
        <v>286</v>
      </c>
      <c r="F2" s="277"/>
      <c r="G2" s="277"/>
      <c r="H2" s="277"/>
      <c r="I2" s="277"/>
      <c r="J2" s="277"/>
      <c r="K2" s="277"/>
      <c r="L2" s="277"/>
      <c r="M2" s="278"/>
    </row>
    <row r="3" spans="1:15" ht="24" customHeight="1">
      <c r="A3" s="286" t="s">
        <v>12</v>
      </c>
      <c r="B3" s="286" t="s">
        <v>192</v>
      </c>
      <c r="C3" s="7" t="s">
        <v>193</v>
      </c>
      <c r="D3" s="310" t="s">
        <v>285</v>
      </c>
      <c r="E3" s="310"/>
      <c r="F3" s="7" t="s">
        <v>194</v>
      </c>
      <c r="G3" s="309" t="s">
        <v>284</v>
      </c>
      <c r="H3" s="187"/>
      <c r="I3" s="187"/>
      <c r="J3" s="187"/>
      <c r="K3" s="187"/>
      <c r="L3" s="179"/>
      <c r="M3" s="279" t="s">
        <v>147</v>
      </c>
    </row>
    <row r="4" spans="1:15">
      <c r="A4" s="286"/>
      <c r="B4" s="286"/>
      <c r="C4" s="7" t="s">
        <v>137</v>
      </c>
      <c r="D4" s="166" t="str">
        <f>销量!C5</f>
        <v>B01发泡</v>
      </c>
      <c r="E4" s="166" t="str">
        <f>销量!D5</f>
        <v>V71发泡</v>
      </c>
      <c r="F4" s="166">
        <f>销量!E5</f>
        <v>0</v>
      </c>
      <c r="G4" s="166">
        <f>销量!F5</f>
        <v>0</v>
      </c>
      <c r="H4" s="166">
        <f>销量!G5</f>
        <v>0</v>
      </c>
      <c r="I4" s="166">
        <f>销量!H5</f>
        <v>0</v>
      </c>
      <c r="J4" s="166">
        <f>销量!I5</f>
        <v>0</v>
      </c>
      <c r="K4" s="166">
        <f>销量!J5</f>
        <v>0</v>
      </c>
      <c r="L4" s="166"/>
      <c r="M4" s="280"/>
    </row>
    <row r="5" spans="1:15" ht="30">
      <c r="A5" s="286"/>
      <c r="B5" s="286"/>
      <c r="C5" s="7" t="s">
        <v>243</v>
      </c>
      <c r="D5" s="167">
        <f>销量!C6</f>
        <v>0</v>
      </c>
      <c r="E5" s="167">
        <f>销量!D6</f>
        <v>0</v>
      </c>
      <c r="F5" s="167">
        <f>销量!E6</f>
        <v>0</v>
      </c>
      <c r="G5" s="167">
        <f>销量!F6</f>
        <v>0</v>
      </c>
      <c r="H5" s="167">
        <f>销量!G6</f>
        <v>0</v>
      </c>
      <c r="I5" s="167">
        <f>销量!H6</f>
        <v>0</v>
      </c>
      <c r="J5" s="167">
        <f>销量!I6</f>
        <v>0</v>
      </c>
      <c r="K5" s="167">
        <f>销量!J6</f>
        <v>0</v>
      </c>
      <c r="L5" s="167"/>
      <c r="M5" s="281"/>
    </row>
    <row r="6" spans="1:15" s="183" customFormat="1" ht="38.25" customHeight="1">
      <c r="A6" s="186">
        <v>1</v>
      </c>
      <c r="B6" s="282"/>
      <c r="C6" s="283"/>
      <c r="D6" s="189">
        <v>255.9</v>
      </c>
      <c r="E6" s="189">
        <v>363.43</v>
      </c>
      <c r="F6" s="189"/>
      <c r="G6" s="189"/>
      <c r="H6" s="189"/>
      <c r="I6" s="189"/>
      <c r="J6" s="189"/>
      <c r="K6" s="189"/>
      <c r="L6" s="192"/>
      <c r="M6" s="146" t="s">
        <v>244</v>
      </c>
    </row>
    <row r="7" spans="1:15" s="183" customFormat="1" ht="16.5" customHeight="1">
      <c r="A7" s="186">
        <v>2</v>
      </c>
      <c r="B7" s="282"/>
      <c r="C7" s="283"/>
      <c r="D7" s="191"/>
      <c r="E7" s="191"/>
      <c r="F7" s="191"/>
      <c r="G7" s="191"/>
      <c r="H7" s="191"/>
      <c r="I7" s="191"/>
      <c r="J7" s="191"/>
      <c r="K7" s="191"/>
      <c r="L7" s="191"/>
      <c r="M7" s="190"/>
    </row>
    <row r="8" spans="1:15" s="183" customFormat="1" ht="16.5" customHeight="1">
      <c r="A8" s="186">
        <v>3</v>
      </c>
      <c r="B8" s="282"/>
      <c r="C8" s="283"/>
      <c r="D8" s="192"/>
      <c r="E8" s="191"/>
      <c r="F8" s="192"/>
      <c r="G8" s="192"/>
      <c r="H8" s="192"/>
      <c r="I8" s="192"/>
      <c r="J8" s="192"/>
      <c r="K8" s="192"/>
      <c r="L8" s="191"/>
      <c r="M8" s="190"/>
    </row>
    <row r="9" spans="1:15" s="183" customFormat="1">
      <c r="A9" s="186">
        <v>4</v>
      </c>
      <c r="B9" s="282"/>
      <c r="C9" s="283"/>
      <c r="D9" s="192"/>
      <c r="E9" s="191"/>
      <c r="F9" s="192"/>
      <c r="G9" s="192"/>
      <c r="H9" s="192"/>
      <c r="I9" s="192"/>
      <c r="J9" s="192"/>
      <c r="K9" s="192"/>
      <c r="L9" s="191"/>
      <c r="M9" s="190"/>
    </row>
    <row r="10" spans="1:15" s="183" customFormat="1" ht="16.5" customHeight="1">
      <c r="A10" s="186">
        <v>5</v>
      </c>
      <c r="B10" s="282"/>
      <c r="C10" s="283"/>
      <c r="D10" s="192"/>
      <c r="E10" s="191"/>
      <c r="F10" s="192"/>
      <c r="G10" s="192"/>
      <c r="H10" s="192"/>
      <c r="I10" s="192"/>
      <c r="J10" s="192"/>
      <c r="K10" s="192"/>
      <c r="L10" s="191"/>
      <c r="M10" s="190"/>
      <c r="N10" s="284"/>
      <c r="O10" s="285"/>
    </row>
    <row r="11" spans="1:15" s="183" customFormat="1" ht="16.5" customHeight="1">
      <c r="A11" s="186">
        <v>6</v>
      </c>
      <c r="B11" s="282"/>
      <c r="C11" s="283"/>
      <c r="D11" s="192"/>
      <c r="E11" s="191"/>
      <c r="F11" s="192"/>
      <c r="G11" s="192"/>
      <c r="H11" s="192"/>
      <c r="I11" s="192"/>
      <c r="J11" s="192"/>
      <c r="K11" s="192"/>
      <c r="L11" s="191"/>
      <c r="M11" s="190"/>
      <c r="N11" s="284"/>
      <c r="O11" s="285"/>
    </row>
    <row r="12" spans="1:15" ht="31.5" customHeight="1">
      <c r="A12" s="288" t="s">
        <v>195</v>
      </c>
      <c r="B12" s="289"/>
      <c r="C12" s="290"/>
      <c r="D12" s="8">
        <f>SUM(D6:D11)</f>
        <v>255.9</v>
      </c>
      <c r="E12" s="8">
        <f>SUM(E6:E11)</f>
        <v>363.43</v>
      </c>
      <c r="F12" s="8">
        <f t="shared" ref="F12:K12" si="0">SUM(F6:F11)</f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  <c r="J12" s="8">
        <f t="shared" si="0"/>
        <v>0</v>
      </c>
      <c r="K12" s="8">
        <f t="shared" si="0"/>
        <v>0</v>
      </c>
      <c r="L12" s="8">
        <f>SUM(L6:L11)</f>
        <v>0</v>
      </c>
      <c r="M12" s="299" t="s">
        <v>275</v>
      </c>
    </row>
    <row r="13" spans="1:15">
      <c r="D13" s="151"/>
      <c r="E13" s="14"/>
      <c r="F13" s="14"/>
      <c r="G13" s="14"/>
      <c r="H13" s="14"/>
      <c r="I13" s="14"/>
      <c r="J13" s="14"/>
      <c r="K13" s="14"/>
    </row>
    <row r="14" spans="1:15">
      <c r="D14" s="14"/>
      <c r="E14" s="14"/>
      <c r="F14" s="14"/>
      <c r="G14" s="14"/>
      <c r="H14" s="14"/>
      <c r="I14" s="14"/>
      <c r="J14" s="14"/>
      <c r="K14" s="14"/>
    </row>
    <row r="15" spans="1:15">
      <c r="D15" s="14"/>
      <c r="E15" s="14"/>
      <c r="F15" s="14"/>
      <c r="G15" s="14"/>
      <c r="H15" s="14"/>
      <c r="I15" s="14"/>
      <c r="J15" s="14"/>
      <c r="K15" s="14"/>
    </row>
    <row r="17" spans="2:13" ht="27.75" customHeight="1">
      <c r="C17" s="10"/>
      <c r="D17" s="287" t="s">
        <v>245</v>
      </c>
      <c r="E17" s="287"/>
      <c r="F17" s="287"/>
      <c r="G17" s="287"/>
      <c r="H17" s="287"/>
      <c r="I17" s="287"/>
      <c r="J17" s="287"/>
      <c r="K17" s="287"/>
      <c r="L17" s="287"/>
      <c r="M17" s="287"/>
    </row>
    <row r="18" spans="2:13">
      <c r="C18" s="268" t="s">
        <v>224</v>
      </c>
      <c r="D18" s="268" t="s">
        <v>242</v>
      </c>
      <c r="E18" s="270" t="s">
        <v>269</v>
      </c>
      <c r="F18" s="271"/>
      <c r="G18" s="271"/>
      <c r="H18" s="271"/>
      <c r="I18" s="271"/>
      <c r="J18" s="271"/>
      <c r="K18" s="271"/>
      <c r="L18" s="271"/>
      <c r="M18" s="272"/>
    </row>
    <row r="19" spans="2:13">
      <c r="B19" s="14"/>
      <c r="C19" s="269"/>
      <c r="D19" s="269"/>
      <c r="E19" s="155" t="s">
        <v>270</v>
      </c>
      <c r="F19" s="185" t="s">
        <v>180</v>
      </c>
      <c r="G19" s="185" t="s">
        <v>181</v>
      </c>
      <c r="H19" s="185" t="s">
        <v>225</v>
      </c>
      <c r="I19" s="185" t="s">
        <v>236</v>
      </c>
      <c r="J19" s="185" t="s">
        <v>237</v>
      </c>
      <c r="K19" s="185" t="s">
        <v>240</v>
      </c>
      <c r="L19" s="185" t="s">
        <v>241</v>
      </c>
      <c r="M19" s="155"/>
    </row>
    <row r="20" spans="2:13">
      <c r="C20" s="229" t="str">
        <f>D4</f>
        <v>B01发泡</v>
      </c>
      <c r="D20" s="229"/>
      <c r="E20" s="191">
        <f>D12</f>
        <v>255.9</v>
      </c>
      <c r="F20" s="191"/>
      <c r="G20" s="157"/>
      <c r="H20" s="157"/>
      <c r="I20" s="157"/>
      <c r="J20" s="157"/>
      <c r="K20" s="157"/>
      <c r="L20" s="157"/>
      <c r="M20" s="157"/>
    </row>
    <row r="21" spans="2:13">
      <c r="C21" s="229" t="str">
        <f>E4</f>
        <v>V71发泡</v>
      </c>
      <c r="D21" s="188"/>
      <c r="E21" s="191">
        <f>E12</f>
        <v>363.43</v>
      </c>
      <c r="F21" s="157"/>
      <c r="G21" s="157"/>
      <c r="H21" s="157"/>
      <c r="I21" s="157"/>
      <c r="J21" s="157"/>
      <c r="K21" s="157"/>
      <c r="L21" s="157"/>
      <c r="M21" s="157"/>
    </row>
    <row r="22" spans="2:13">
      <c r="C22" s="229"/>
      <c r="D22" s="188"/>
      <c r="E22" s="191"/>
      <c r="F22" s="157"/>
      <c r="G22" s="157"/>
      <c r="H22" s="157"/>
      <c r="I22" s="157"/>
      <c r="J22" s="157"/>
      <c r="K22" s="157"/>
      <c r="L22" s="157"/>
      <c r="M22" s="157"/>
    </row>
    <row r="23" spans="2:13">
      <c r="C23" s="229"/>
      <c r="D23" s="188"/>
      <c r="E23" s="191"/>
      <c r="F23" s="157"/>
      <c r="G23" s="157"/>
      <c r="H23" s="157"/>
      <c r="I23" s="157"/>
      <c r="J23" s="157"/>
      <c r="K23" s="157"/>
      <c r="L23" s="157"/>
      <c r="M23" s="157"/>
    </row>
    <row r="24" spans="2:13">
      <c r="C24" s="229"/>
      <c r="D24" s="188"/>
      <c r="E24" s="191"/>
      <c r="F24" s="157"/>
      <c r="G24" s="157"/>
      <c r="H24" s="157"/>
      <c r="I24" s="157"/>
      <c r="J24" s="157"/>
      <c r="K24" s="157"/>
      <c r="L24" s="157"/>
      <c r="M24" s="157"/>
    </row>
    <row r="25" spans="2:13">
      <c r="C25" s="188"/>
      <c r="D25" s="188"/>
      <c r="E25" s="191"/>
      <c r="F25" s="157"/>
      <c r="G25" s="157"/>
      <c r="H25" s="157"/>
      <c r="I25" s="157"/>
      <c r="J25" s="157"/>
      <c r="K25" s="157"/>
      <c r="L25" s="157"/>
      <c r="M25" s="157"/>
    </row>
    <row r="26" spans="2:13">
      <c r="C26" s="188"/>
      <c r="D26" s="188"/>
      <c r="E26" s="191"/>
      <c r="F26" s="157"/>
      <c r="G26" s="157"/>
      <c r="H26" s="157"/>
      <c r="I26" s="157"/>
      <c r="J26" s="157"/>
      <c r="K26" s="157"/>
      <c r="L26" s="157"/>
      <c r="M26" s="10"/>
    </row>
    <row r="27" spans="2:13">
      <c r="C27" s="188"/>
      <c r="D27" s="188"/>
      <c r="E27" s="191"/>
      <c r="F27" s="157"/>
      <c r="G27" s="157"/>
      <c r="H27" s="157"/>
      <c r="I27" s="157"/>
      <c r="J27" s="157"/>
      <c r="K27" s="157"/>
      <c r="L27" s="157"/>
      <c r="M27" s="10"/>
    </row>
  </sheetData>
  <mergeCells count="20">
    <mergeCell ref="N10:O10"/>
    <mergeCell ref="N11:O11"/>
    <mergeCell ref="A3:A5"/>
    <mergeCell ref="B3:B5"/>
    <mergeCell ref="D17:M17"/>
    <mergeCell ref="A12:C12"/>
    <mergeCell ref="C18:C19"/>
    <mergeCell ref="D18:D19"/>
    <mergeCell ref="E18:M18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C6" sqref="C6"/>
    </sheetView>
  </sheetViews>
  <sheetFormatPr defaultColWidth="9" defaultRowHeight="13.5"/>
  <cols>
    <col min="1" max="1" width="9" style="3"/>
    <col min="2" max="2" width="29.625" style="3" customWidth="1"/>
    <col min="3" max="3" width="21.625" style="3" customWidth="1"/>
    <col min="4" max="4" width="22" style="3" customWidth="1"/>
    <col min="5" max="16384" width="9" style="3"/>
  </cols>
  <sheetData>
    <row r="1" spans="1:5" ht="27" customHeight="1">
      <c r="A1" s="180" t="s">
        <v>12</v>
      </c>
      <c r="B1" s="180" t="s">
        <v>196</v>
      </c>
      <c r="C1" s="180" t="s">
        <v>197</v>
      </c>
      <c r="D1" s="180" t="s">
        <v>198</v>
      </c>
    </row>
    <row r="2" spans="1:5" ht="27" customHeight="1">
      <c r="A2" s="180">
        <v>1</v>
      </c>
      <c r="B2" s="193" t="s">
        <v>199</v>
      </c>
      <c r="C2" s="181" t="s">
        <v>261</v>
      </c>
      <c r="D2" s="180"/>
    </row>
    <row r="3" spans="1:5" ht="27" customHeight="1">
      <c r="A3" s="180">
        <v>2</v>
      </c>
      <c r="B3" s="193" t="s">
        <v>200</v>
      </c>
      <c r="C3" s="182" t="s">
        <v>287</v>
      </c>
      <c r="D3" s="180" t="s">
        <v>262</v>
      </c>
    </row>
    <row r="4" spans="1:5" ht="27" customHeight="1">
      <c r="A4" s="180">
        <v>3</v>
      </c>
      <c r="B4" s="193" t="s">
        <v>201</v>
      </c>
      <c r="C4" s="181" t="s">
        <v>263</v>
      </c>
      <c r="D4" s="180" t="s">
        <v>264</v>
      </c>
    </row>
    <row r="5" spans="1:5" ht="27" customHeight="1">
      <c r="A5" s="180">
        <v>4</v>
      </c>
      <c r="B5" s="193" t="s">
        <v>202</v>
      </c>
      <c r="C5" s="181"/>
      <c r="D5" s="180"/>
    </row>
    <row r="6" spans="1:5" ht="27" customHeight="1">
      <c r="A6" s="180">
        <v>5</v>
      </c>
      <c r="B6" s="193" t="s">
        <v>203</v>
      </c>
      <c r="C6" s="181"/>
      <c r="D6" s="180"/>
    </row>
    <row r="7" spans="1:5" ht="27" customHeight="1">
      <c r="A7" s="180">
        <v>6</v>
      </c>
      <c r="B7" s="180" t="s">
        <v>204</v>
      </c>
      <c r="C7" s="182" t="s">
        <v>265</v>
      </c>
      <c r="D7" s="180"/>
    </row>
    <row r="8" spans="1:5" ht="27" customHeight="1">
      <c r="A8" s="180">
        <v>7</v>
      </c>
      <c r="B8" s="193" t="s">
        <v>205</v>
      </c>
      <c r="C8" s="194"/>
      <c r="D8" s="180"/>
    </row>
    <row r="9" spans="1:5" ht="27" customHeight="1">
      <c r="A9" s="180">
        <v>8</v>
      </c>
      <c r="B9" s="180" t="s">
        <v>206</v>
      </c>
      <c r="C9" s="194"/>
      <c r="D9" s="180"/>
    </row>
    <row r="10" spans="1:5" ht="27" customHeight="1">
      <c r="A10" s="180">
        <v>9</v>
      </c>
      <c r="B10" s="180" t="s">
        <v>207</v>
      </c>
      <c r="C10" s="194"/>
      <c r="D10" s="180"/>
    </row>
    <row r="11" spans="1:5" ht="27" customHeight="1">
      <c r="A11" s="180">
        <v>10</v>
      </c>
      <c r="B11" s="180" t="s">
        <v>208</v>
      </c>
      <c r="C11" s="194"/>
      <c r="D11" s="180" t="s">
        <v>266</v>
      </c>
      <c r="E11" s="150"/>
    </row>
    <row r="12" spans="1:5" ht="27" customHeight="1">
      <c r="A12" s="180">
        <v>11</v>
      </c>
      <c r="B12" s="180" t="s">
        <v>209</v>
      </c>
      <c r="C12" s="194"/>
      <c r="D12" s="180"/>
    </row>
    <row r="13" spans="1:5" ht="27" customHeight="1">
      <c r="A13" s="180">
        <v>12</v>
      </c>
      <c r="B13" s="193" t="s">
        <v>246</v>
      </c>
      <c r="C13" s="194" t="s">
        <v>288</v>
      </c>
      <c r="D13" s="180"/>
    </row>
    <row r="14" spans="1:5" ht="27" customHeight="1">
      <c r="A14" s="180">
        <v>13</v>
      </c>
      <c r="B14" s="193" t="s">
        <v>247</v>
      </c>
      <c r="C14" s="194"/>
      <c r="D14" s="180"/>
    </row>
    <row r="15" spans="1:5" ht="27" customHeight="1">
      <c r="A15" s="180">
        <v>14</v>
      </c>
      <c r="B15" s="193" t="s">
        <v>248</v>
      </c>
      <c r="C15" s="194"/>
      <c r="D15" s="180"/>
    </row>
    <row r="16" spans="1:5" ht="29.25" customHeight="1">
      <c r="A16" s="180">
        <v>15</v>
      </c>
      <c r="B16" s="180" t="s">
        <v>267</v>
      </c>
      <c r="C16" s="180"/>
      <c r="D16" s="180"/>
    </row>
    <row r="17" spans="2:3" ht="16.5">
      <c r="B17" s="195" t="s">
        <v>249</v>
      </c>
      <c r="C17" s="196"/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7"/>
  <sheetViews>
    <sheetView zoomScale="85" zoomScaleNormal="85" workbookViewId="0">
      <selection activeCell="D6" sqref="D6"/>
    </sheetView>
  </sheetViews>
  <sheetFormatPr defaultColWidth="9" defaultRowHeight="13.5"/>
  <cols>
    <col min="1" max="2" width="9" style="56"/>
    <col min="3" max="3" width="14.625" style="56" customWidth="1"/>
    <col min="4" max="4" width="12.375" style="56" customWidth="1"/>
    <col min="5" max="7" width="11.125" style="56" customWidth="1"/>
    <col min="8" max="8" width="11" style="139" customWidth="1"/>
    <col min="9" max="9" width="12.625" style="56" customWidth="1"/>
    <col min="10" max="10" width="9.5" style="56" bestFit="1" customWidth="1"/>
    <col min="11" max="16384" width="9" style="56"/>
  </cols>
  <sheetData>
    <row r="1" spans="1:15" s="136" customFormat="1" ht="18.75" customHeight="1">
      <c r="F1" s="296" t="s">
        <v>210</v>
      </c>
      <c r="G1" s="296"/>
      <c r="H1" s="137"/>
    </row>
    <row r="2" spans="1:15" ht="20.25" customHeight="1">
      <c r="A2" s="297" t="s">
        <v>211</v>
      </c>
      <c r="B2" s="297"/>
      <c r="C2" s="298"/>
      <c r="D2" s="298"/>
      <c r="E2" s="298"/>
      <c r="F2" s="298"/>
      <c r="G2" s="293"/>
      <c r="H2" s="138" t="s">
        <v>218</v>
      </c>
      <c r="J2" s="154"/>
      <c r="K2" s="154"/>
    </row>
    <row r="3" spans="1:15" ht="34.5" customHeight="1">
      <c r="A3" s="297"/>
      <c r="B3" s="297"/>
      <c r="C3" s="145" t="s">
        <v>220</v>
      </c>
      <c r="D3" s="145" t="s">
        <v>219</v>
      </c>
      <c r="E3" s="146" t="s">
        <v>223</v>
      </c>
      <c r="F3" s="146" t="s">
        <v>222</v>
      </c>
      <c r="G3" s="146" t="s">
        <v>250</v>
      </c>
      <c r="H3" s="149">
        <f>销量!C8</f>
        <v>350.03</v>
      </c>
      <c r="N3" s="302"/>
      <c r="O3" s="303"/>
    </row>
    <row r="4" spans="1:15">
      <c r="A4" s="291" t="s">
        <v>212</v>
      </c>
      <c r="B4" s="291"/>
      <c r="C4" s="140"/>
      <c r="D4" s="141">
        <f t="shared" ref="D4:D6" si="0">$H$3*E4</f>
        <v>20.350954262285875</v>
      </c>
      <c r="E4" s="161">
        <v>5.8140600126520232E-2</v>
      </c>
      <c r="F4" s="161">
        <v>0.10179000000000001</v>
      </c>
      <c r="G4" s="142">
        <v>6.3270000000000007E-2</v>
      </c>
      <c r="I4" s="152"/>
      <c r="J4" s="57"/>
      <c r="K4" s="57"/>
      <c r="N4" s="304"/>
      <c r="O4" s="303"/>
    </row>
    <row r="5" spans="1:15">
      <c r="A5" s="291" t="s">
        <v>213</v>
      </c>
      <c r="B5" s="143" t="s">
        <v>214</v>
      </c>
      <c r="C5" s="140"/>
      <c r="D5" s="141">
        <f t="shared" si="0"/>
        <v>15.751349999999999</v>
      </c>
      <c r="E5" s="142">
        <v>4.4999999999999998E-2</v>
      </c>
      <c r="F5" s="161">
        <v>0.2</v>
      </c>
      <c r="G5" s="142">
        <v>0.08</v>
      </c>
      <c r="I5" s="153"/>
      <c r="J5" s="57"/>
      <c r="K5" s="57"/>
      <c r="N5" s="305"/>
      <c r="O5" s="306"/>
    </row>
    <row r="6" spans="1:15">
      <c r="A6" s="291"/>
      <c r="B6" s="143" t="s">
        <v>215</v>
      </c>
      <c r="C6" s="140"/>
      <c r="D6" s="141">
        <f t="shared" si="0"/>
        <v>6.3244669626278549</v>
      </c>
      <c r="E6" s="161">
        <v>1.8068356891203199E-2</v>
      </c>
      <c r="F6" s="161">
        <v>4.0280000000000003E-2</v>
      </c>
      <c r="G6" s="142">
        <v>2.068E-2</v>
      </c>
      <c r="I6" s="152"/>
      <c r="J6" s="57"/>
      <c r="K6" s="57"/>
      <c r="N6" s="305"/>
      <c r="O6" s="306"/>
    </row>
    <row r="7" spans="1:15">
      <c r="A7" s="292" t="s">
        <v>216</v>
      </c>
      <c r="B7" s="293"/>
      <c r="C7" s="144"/>
      <c r="D7" s="197">
        <f>SUM(D4:D6)</f>
        <v>42.426771224913722</v>
      </c>
      <c r="E7" s="198">
        <f>SUM(E4:E6)</f>
        <v>0.12120895701772344</v>
      </c>
      <c r="F7" s="198">
        <f>SUM(F4:F6)</f>
        <v>0.34206999999999999</v>
      </c>
      <c r="G7" s="199">
        <f>SUM(G4:G6)</f>
        <v>0.16395000000000001</v>
      </c>
      <c r="I7" s="152"/>
      <c r="J7" s="57"/>
      <c r="K7" s="57"/>
    </row>
    <row r="8" spans="1:15">
      <c r="A8" s="291" t="s">
        <v>43</v>
      </c>
      <c r="B8" s="291"/>
      <c r="C8" s="140"/>
      <c r="D8" s="141">
        <f>$H$3*E8</f>
        <v>14.198375151261661</v>
      </c>
      <c r="E8" s="162">
        <v>4.0563309291379773E-2</v>
      </c>
      <c r="F8" s="161">
        <v>2.9350000000000001E-2</v>
      </c>
      <c r="G8" s="142">
        <v>4.9200000000000001E-2</v>
      </c>
      <c r="I8" s="153"/>
      <c r="J8" s="57"/>
      <c r="K8" s="57"/>
    </row>
    <row r="9" spans="1:15">
      <c r="A9" s="294" t="s">
        <v>217</v>
      </c>
      <c r="B9" s="143" t="s">
        <v>214</v>
      </c>
      <c r="C9" s="140"/>
      <c r="D9" s="141">
        <f>$H$3*E9</f>
        <v>2.7652369999999999</v>
      </c>
      <c r="E9" s="142">
        <v>7.9000000000000008E-3</v>
      </c>
      <c r="F9" s="161">
        <v>2.1489999999999999E-2</v>
      </c>
      <c r="G9" s="142">
        <v>9.4900000000000002E-3</v>
      </c>
      <c r="I9" s="139"/>
    </row>
    <row r="10" spans="1:15">
      <c r="A10" s="295"/>
      <c r="B10" s="143" t="s">
        <v>215</v>
      </c>
      <c r="C10" s="140"/>
      <c r="D10" s="301">
        <v>34.082000000000001</v>
      </c>
      <c r="E10" s="139">
        <v>8.8499999999999995E-2</v>
      </c>
      <c r="F10" s="161">
        <v>5.8119999999999998E-2</v>
      </c>
      <c r="G10" s="142">
        <v>5.4899999999999997E-2</v>
      </c>
      <c r="H10" s="139">
        <v>5.0999999999999997E-2</v>
      </c>
      <c r="I10" s="138" t="s">
        <v>268</v>
      </c>
      <c r="J10" s="307">
        <v>30.98</v>
      </c>
      <c r="K10" s="308">
        <f>D10/H3</f>
        <v>9.7368796960260559E-2</v>
      </c>
    </row>
    <row r="11" spans="1:15">
      <c r="A11" s="291" t="s">
        <v>46</v>
      </c>
      <c r="B11" s="291"/>
      <c r="C11" s="140"/>
      <c r="D11" s="141">
        <f t="shared" ref="D11" si="1">$H$3*E11</f>
        <v>7.4556389999999997</v>
      </c>
      <c r="E11" s="142">
        <v>2.1299999999999999E-2</v>
      </c>
      <c r="F11" s="161">
        <v>2.1299999999999999E-2</v>
      </c>
      <c r="G11" s="142">
        <v>2.1299999999999999E-2</v>
      </c>
      <c r="I11" s="139"/>
    </row>
    <row r="15" spans="1:15">
      <c r="A15" s="136"/>
      <c r="B15" s="136"/>
      <c r="C15" s="136"/>
      <c r="D15" s="136"/>
      <c r="E15" s="136"/>
      <c r="F15" s="296" t="s">
        <v>210</v>
      </c>
      <c r="G15" s="296"/>
      <c r="H15" s="137"/>
    </row>
    <row r="16" spans="1:15" ht="22.5" customHeight="1">
      <c r="A16" s="297" t="s">
        <v>211</v>
      </c>
      <c r="B16" s="297"/>
      <c r="C16" s="298"/>
      <c r="D16" s="298"/>
      <c r="E16" s="298"/>
      <c r="F16" s="298"/>
      <c r="G16" s="293"/>
      <c r="H16" s="138" t="s">
        <v>218</v>
      </c>
    </row>
    <row r="17" spans="1:11" ht="27">
      <c r="A17" s="297"/>
      <c r="B17" s="297"/>
      <c r="C17" s="145" t="s">
        <v>220</v>
      </c>
      <c r="D17" s="145" t="s">
        <v>219</v>
      </c>
      <c r="E17" s="146" t="s">
        <v>223</v>
      </c>
      <c r="F17" s="146" t="s">
        <v>222</v>
      </c>
      <c r="G17" s="146" t="s">
        <v>221</v>
      </c>
      <c r="H17" s="149">
        <f>销量!D8</f>
        <v>526.08000000000004</v>
      </c>
    </row>
    <row r="18" spans="1:11">
      <c r="A18" s="291" t="s">
        <v>212</v>
      </c>
      <c r="B18" s="291"/>
      <c r="C18" s="140"/>
      <c r="D18" s="141">
        <f>$H$17*E18</f>
        <v>30.586606914559766</v>
      </c>
      <c r="E18" s="161">
        <f t="shared" ref="E18:E25" si="2">E4</f>
        <v>5.8140600126520232E-2</v>
      </c>
      <c r="F18" s="161">
        <v>0.10179000000000001</v>
      </c>
      <c r="G18" s="142">
        <v>6.3270000000000007E-2</v>
      </c>
    </row>
    <row r="19" spans="1:11">
      <c r="A19" s="291" t="s">
        <v>213</v>
      </c>
      <c r="B19" s="160" t="s">
        <v>214</v>
      </c>
      <c r="C19" s="140"/>
      <c r="D19" s="141">
        <f t="shared" ref="D19:D23" si="3">$H$17*E19</f>
        <v>23.6736</v>
      </c>
      <c r="E19" s="142">
        <f t="shared" si="2"/>
        <v>4.4999999999999998E-2</v>
      </c>
      <c r="F19" s="161">
        <v>0.2</v>
      </c>
      <c r="G19" s="142">
        <v>0.08</v>
      </c>
    </row>
    <row r="20" spans="1:11">
      <c r="A20" s="291"/>
      <c r="B20" s="160" t="s">
        <v>215</v>
      </c>
      <c r="C20" s="140"/>
      <c r="D20" s="141">
        <f t="shared" si="3"/>
        <v>9.5054011933241789</v>
      </c>
      <c r="E20" s="161">
        <f t="shared" si="2"/>
        <v>1.8068356891203199E-2</v>
      </c>
      <c r="F20" s="161">
        <v>4.0280000000000003E-2</v>
      </c>
      <c r="G20" s="142">
        <v>2.068E-2</v>
      </c>
    </row>
    <row r="21" spans="1:11">
      <c r="A21" s="292" t="s">
        <v>216</v>
      </c>
      <c r="B21" s="293"/>
      <c r="C21" s="144"/>
      <c r="D21" s="141">
        <f t="shared" si="3"/>
        <v>63.765608107883949</v>
      </c>
      <c r="E21" s="198">
        <f t="shared" si="2"/>
        <v>0.12120895701772344</v>
      </c>
      <c r="F21" s="198">
        <f>SUM(F18:F20)</f>
        <v>0.34206999999999999</v>
      </c>
      <c r="G21" s="199">
        <f>SUM(G18:G20)</f>
        <v>0.16395000000000001</v>
      </c>
    </row>
    <row r="22" spans="1:11">
      <c r="A22" s="291" t="s">
        <v>43</v>
      </c>
      <c r="B22" s="291"/>
      <c r="C22" s="140"/>
      <c r="D22" s="141">
        <f t="shared" si="3"/>
        <v>21.339545752009073</v>
      </c>
      <c r="E22" s="162">
        <f t="shared" si="2"/>
        <v>4.0563309291379773E-2</v>
      </c>
      <c r="F22" s="161">
        <v>2.9350000000000001E-2</v>
      </c>
      <c r="G22" s="142">
        <v>4.9200000000000001E-2</v>
      </c>
    </row>
    <row r="23" spans="1:11">
      <c r="A23" s="294" t="s">
        <v>217</v>
      </c>
      <c r="B23" s="160" t="s">
        <v>214</v>
      </c>
      <c r="C23" s="140"/>
      <c r="D23" s="141">
        <f t="shared" si="3"/>
        <v>4.1560320000000006</v>
      </c>
      <c r="E23" s="142">
        <f t="shared" si="2"/>
        <v>7.9000000000000008E-3</v>
      </c>
      <c r="F23" s="161">
        <v>2.1489999999999999E-2</v>
      </c>
      <c r="G23" s="142">
        <v>9.4900000000000002E-3</v>
      </c>
    </row>
    <row r="24" spans="1:11">
      <c r="A24" s="295"/>
      <c r="B24" s="160" t="s">
        <v>215</v>
      </c>
      <c r="C24" s="140"/>
      <c r="D24" s="301">
        <v>34.082000000000001</v>
      </c>
      <c r="E24" s="139">
        <f t="shared" si="2"/>
        <v>8.8499999999999995E-2</v>
      </c>
      <c r="F24" s="161">
        <v>5.8119999999999998E-2</v>
      </c>
      <c r="G24" s="142">
        <v>5.4899999999999997E-2</v>
      </c>
      <c r="K24" s="308">
        <f>D24/H17</f>
        <v>6.4784823600973235E-2</v>
      </c>
    </row>
    <row r="25" spans="1:11">
      <c r="A25" s="291" t="s">
        <v>46</v>
      </c>
      <c r="B25" s="291"/>
      <c r="C25" s="140"/>
      <c r="D25" s="141">
        <f t="shared" ref="D25" si="4">$H$17*E25</f>
        <v>11.205504000000001</v>
      </c>
      <c r="E25" s="142">
        <f t="shared" si="2"/>
        <v>2.1299999999999999E-2</v>
      </c>
      <c r="F25" s="161">
        <v>2.1299999999999999E-2</v>
      </c>
      <c r="G25" s="142">
        <v>2.1299999999999999E-2</v>
      </c>
    </row>
    <row r="29" spans="1:11">
      <c r="A29" s="136"/>
      <c r="B29" s="136"/>
      <c r="C29" s="136"/>
      <c r="D29" s="136"/>
      <c r="E29" s="136"/>
      <c r="F29" s="296" t="s">
        <v>210</v>
      </c>
      <c r="G29" s="296"/>
      <c r="H29" s="137"/>
    </row>
    <row r="30" spans="1:11" ht="30" customHeight="1">
      <c r="A30" s="297" t="s">
        <v>211</v>
      </c>
      <c r="B30" s="297"/>
      <c r="C30" s="298"/>
      <c r="D30" s="298"/>
      <c r="E30" s="298"/>
      <c r="F30" s="298"/>
      <c r="G30" s="293"/>
      <c r="H30" s="138" t="s">
        <v>218</v>
      </c>
    </row>
    <row r="31" spans="1:11" ht="27">
      <c r="A31" s="297"/>
      <c r="B31" s="297"/>
      <c r="C31" s="145" t="s">
        <v>220</v>
      </c>
      <c r="D31" s="145" t="s">
        <v>219</v>
      </c>
      <c r="E31" s="146" t="s">
        <v>223</v>
      </c>
      <c r="F31" s="146" t="s">
        <v>222</v>
      </c>
      <c r="G31" s="146" t="s">
        <v>221</v>
      </c>
      <c r="H31" s="149">
        <f>销量!E8</f>
        <v>0</v>
      </c>
    </row>
    <row r="32" spans="1:11">
      <c r="A32" s="291" t="s">
        <v>212</v>
      </c>
      <c r="B32" s="291"/>
      <c r="C32" s="140"/>
      <c r="D32" s="141">
        <f>$H$31*E32</f>
        <v>0</v>
      </c>
      <c r="E32" s="161">
        <f t="shared" ref="E32:E39" si="5">E4</f>
        <v>5.8140600126520232E-2</v>
      </c>
      <c r="F32" s="161">
        <v>0.10179000000000001</v>
      </c>
      <c r="G32" s="142">
        <v>6.3270000000000007E-2</v>
      </c>
    </row>
    <row r="33" spans="1:8">
      <c r="A33" s="291" t="s">
        <v>213</v>
      </c>
      <c r="B33" s="160" t="s">
        <v>214</v>
      </c>
      <c r="C33" s="140"/>
      <c r="D33" s="141">
        <f t="shared" ref="D33:D37" si="6">$H$31*E33</f>
        <v>0</v>
      </c>
      <c r="E33" s="142">
        <f t="shared" si="5"/>
        <v>4.4999999999999998E-2</v>
      </c>
      <c r="F33" s="161">
        <v>0.2</v>
      </c>
      <c r="G33" s="142">
        <v>0.08</v>
      </c>
    </row>
    <row r="34" spans="1:8">
      <c r="A34" s="291"/>
      <c r="B34" s="160" t="s">
        <v>215</v>
      </c>
      <c r="C34" s="140"/>
      <c r="D34" s="141">
        <f t="shared" si="6"/>
        <v>0</v>
      </c>
      <c r="E34" s="161">
        <f t="shared" si="5"/>
        <v>1.8068356891203199E-2</v>
      </c>
      <c r="F34" s="161">
        <v>4.0280000000000003E-2</v>
      </c>
      <c r="G34" s="142">
        <v>2.068E-2</v>
      </c>
    </row>
    <row r="35" spans="1:8">
      <c r="A35" s="292" t="s">
        <v>216</v>
      </c>
      <c r="B35" s="293"/>
      <c r="C35" s="144"/>
      <c r="D35" s="141">
        <f t="shared" si="6"/>
        <v>0</v>
      </c>
      <c r="E35" s="198">
        <f t="shared" si="5"/>
        <v>0.12120895701772344</v>
      </c>
      <c r="F35" s="198">
        <f>SUM(F32:F34)</f>
        <v>0.34206999999999999</v>
      </c>
      <c r="G35" s="199">
        <f>SUM(G32:G34)</f>
        <v>0.16395000000000001</v>
      </c>
    </row>
    <row r="36" spans="1:8">
      <c r="A36" s="291" t="s">
        <v>43</v>
      </c>
      <c r="B36" s="291"/>
      <c r="C36" s="140"/>
      <c r="D36" s="141">
        <f t="shared" si="6"/>
        <v>0</v>
      </c>
      <c r="E36" s="162">
        <f t="shared" si="5"/>
        <v>4.0563309291379773E-2</v>
      </c>
      <c r="F36" s="161">
        <v>2.9350000000000001E-2</v>
      </c>
      <c r="G36" s="142">
        <v>4.9200000000000001E-2</v>
      </c>
    </row>
    <row r="37" spans="1:8">
      <c r="A37" s="294" t="s">
        <v>217</v>
      </c>
      <c r="B37" s="160" t="s">
        <v>214</v>
      </c>
      <c r="C37" s="140"/>
      <c r="D37" s="141">
        <f t="shared" si="6"/>
        <v>0</v>
      </c>
      <c r="E37" s="142">
        <f t="shared" si="5"/>
        <v>7.9000000000000008E-3</v>
      </c>
      <c r="F37" s="161">
        <v>2.1489999999999999E-2</v>
      </c>
      <c r="G37" s="142">
        <v>9.4900000000000002E-3</v>
      </c>
    </row>
    <row r="38" spans="1:8">
      <c r="A38" s="295"/>
      <c r="B38" s="160" t="s">
        <v>215</v>
      </c>
      <c r="C38" s="140"/>
      <c r="D38" s="141">
        <f>$H$31*E38</f>
        <v>0</v>
      </c>
      <c r="E38" s="139">
        <f t="shared" si="5"/>
        <v>8.8499999999999995E-2</v>
      </c>
      <c r="F38" s="161">
        <v>5.8119999999999998E-2</v>
      </c>
      <c r="G38" s="142">
        <v>5.4899999999999997E-2</v>
      </c>
    </row>
    <row r="39" spans="1:8">
      <c r="A39" s="291" t="s">
        <v>46</v>
      </c>
      <c r="B39" s="291"/>
      <c r="C39" s="140"/>
      <c r="D39" s="141">
        <f t="shared" ref="D39" si="7">$H$31*E39</f>
        <v>0</v>
      </c>
      <c r="E39" s="142">
        <f t="shared" si="5"/>
        <v>2.1299999999999999E-2</v>
      </c>
      <c r="F39" s="161">
        <v>2.1299999999999999E-2</v>
      </c>
      <c r="G39" s="142">
        <v>2.1299999999999999E-2</v>
      </c>
    </row>
    <row r="42" spans="1:8">
      <c r="A42" s="136"/>
      <c r="B42" s="136"/>
      <c r="C42" s="136"/>
      <c r="D42" s="136"/>
      <c r="E42" s="136"/>
      <c r="F42" s="296" t="s">
        <v>210</v>
      </c>
      <c r="G42" s="296"/>
      <c r="H42" s="137"/>
    </row>
    <row r="43" spans="1:8" ht="28.5" customHeight="1">
      <c r="A43" s="297" t="s">
        <v>211</v>
      </c>
      <c r="B43" s="297"/>
      <c r="C43" s="298"/>
      <c r="D43" s="298"/>
      <c r="E43" s="298"/>
      <c r="F43" s="298"/>
      <c r="G43" s="293"/>
      <c r="H43" s="138" t="s">
        <v>218</v>
      </c>
    </row>
    <row r="44" spans="1:8" ht="27">
      <c r="A44" s="297"/>
      <c r="B44" s="297"/>
      <c r="C44" s="145" t="s">
        <v>220</v>
      </c>
      <c r="D44" s="145" t="s">
        <v>219</v>
      </c>
      <c r="E44" s="146" t="s">
        <v>223</v>
      </c>
      <c r="F44" s="146" t="s">
        <v>222</v>
      </c>
      <c r="G44" s="146" t="s">
        <v>221</v>
      </c>
      <c r="H44" s="149">
        <f>销量!F8</f>
        <v>0</v>
      </c>
    </row>
    <row r="45" spans="1:8">
      <c r="A45" s="291" t="s">
        <v>212</v>
      </c>
      <c r="B45" s="291"/>
      <c r="C45" s="140"/>
      <c r="D45" s="141">
        <f>$H$44*E45</f>
        <v>0</v>
      </c>
      <c r="E45" s="161">
        <f t="shared" ref="E45:E52" si="8">E4</f>
        <v>5.8140600126520232E-2</v>
      </c>
      <c r="F45" s="161">
        <v>0.10179000000000001</v>
      </c>
      <c r="G45" s="142">
        <v>6.3270000000000007E-2</v>
      </c>
    </row>
    <row r="46" spans="1:8">
      <c r="A46" s="291" t="s">
        <v>213</v>
      </c>
      <c r="B46" s="160" t="s">
        <v>214</v>
      </c>
      <c r="C46" s="140"/>
      <c r="D46" s="141">
        <f t="shared" ref="D46:D50" si="9">$H$44*E46</f>
        <v>0</v>
      </c>
      <c r="E46" s="142">
        <f t="shared" si="8"/>
        <v>4.4999999999999998E-2</v>
      </c>
      <c r="F46" s="161">
        <v>0.2</v>
      </c>
      <c r="G46" s="142">
        <v>0.08</v>
      </c>
    </row>
    <row r="47" spans="1:8">
      <c r="A47" s="291"/>
      <c r="B47" s="160" t="s">
        <v>215</v>
      </c>
      <c r="C47" s="140"/>
      <c r="D47" s="141">
        <f t="shared" si="9"/>
        <v>0</v>
      </c>
      <c r="E47" s="161">
        <f t="shared" si="8"/>
        <v>1.8068356891203199E-2</v>
      </c>
      <c r="F47" s="161">
        <v>4.0280000000000003E-2</v>
      </c>
      <c r="G47" s="142">
        <v>2.068E-2</v>
      </c>
    </row>
    <row r="48" spans="1:8">
      <c r="A48" s="292" t="s">
        <v>216</v>
      </c>
      <c r="B48" s="293"/>
      <c r="C48" s="144"/>
      <c r="D48" s="141">
        <f t="shared" si="9"/>
        <v>0</v>
      </c>
      <c r="E48" s="198">
        <f t="shared" si="8"/>
        <v>0.12120895701772344</v>
      </c>
      <c r="F48" s="198">
        <f>SUM(F45:F47)</f>
        <v>0.34206999999999999</v>
      </c>
      <c r="G48" s="199">
        <f>SUM(G45:G47)</f>
        <v>0.16395000000000001</v>
      </c>
    </row>
    <row r="49" spans="1:8">
      <c r="A49" s="291" t="s">
        <v>43</v>
      </c>
      <c r="B49" s="291"/>
      <c r="C49" s="140"/>
      <c r="D49" s="141">
        <f t="shared" si="9"/>
        <v>0</v>
      </c>
      <c r="E49" s="162">
        <f t="shared" si="8"/>
        <v>4.0563309291379773E-2</v>
      </c>
      <c r="F49" s="161">
        <v>2.9350000000000001E-2</v>
      </c>
      <c r="G49" s="142">
        <v>4.9200000000000001E-2</v>
      </c>
    </row>
    <row r="50" spans="1:8">
      <c r="A50" s="294" t="s">
        <v>217</v>
      </c>
      <c r="B50" s="160" t="s">
        <v>214</v>
      </c>
      <c r="C50" s="140"/>
      <c r="D50" s="141">
        <f t="shared" si="9"/>
        <v>0</v>
      </c>
      <c r="E50" s="142">
        <f t="shared" si="8"/>
        <v>7.9000000000000008E-3</v>
      </c>
      <c r="F50" s="161">
        <v>2.1489999999999999E-2</v>
      </c>
      <c r="G50" s="142">
        <v>9.4900000000000002E-3</v>
      </c>
    </row>
    <row r="51" spans="1:8">
      <c r="A51" s="295"/>
      <c r="B51" s="160" t="s">
        <v>215</v>
      </c>
      <c r="C51" s="140"/>
      <c r="D51" s="141">
        <f>$H$44*E51</f>
        <v>0</v>
      </c>
      <c r="E51" s="139">
        <f t="shared" si="8"/>
        <v>8.8499999999999995E-2</v>
      </c>
      <c r="F51" s="161">
        <v>5.8119999999999998E-2</v>
      </c>
      <c r="G51" s="142">
        <v>5.4899999999999997E-2</v>
      </c>
    </row>
    <row r="52" spans="1:8">
      <c r="A52" s="291" t="s">
        <v>46</v>
      </c>
      <c r="B52" s="291"/>
      <c r="C52" s="140"/>
      <c r="D52" s="141">
        <f t="shared" ref="D52" si="10">$H$44*E52</f>
        <v>0</v>
      </c>
      <c r="E52" s="142">
        <f t="shared" si="8"/>
        <v>2.1299999999999999E-2</v>
      </c>
      <c r="F52" s="161">
        <v>2.1299999999999999E-2</v>
      </c>
      <c r="G52" s="142">
        <v>2.1299999999999999E-2</v>
      </c>
    </row>
    <row r="55" spans="1:8">
      <c r="A55" s="136"/>
      <c r="B55" s="136"/>
      <c r="C55" s="136"/>
      <c r="D55" s="136"/>
      <c r="E55" s="136"/>
      <c r="F55" s="296" t="s">
        <v>210</v>
      </c>
      <c r="G55" s="296"/>
      <c r="H55" s="137"/>
    </row>
    <row r="56" spans="1:8">
      <c r="A56" s="297" t="s">
        <v>211</v>
      </c>
      <c r="B56" s="297"/>
      <c r="C56" s="298"/>
      <c r="D56" s="298"/>
      <c r="E56" s="298"/>
      <c r="F56" s="298"/>
      <c r="G56" s="293"/>
      <c r="H56" s="138" t="s">
        <v>218</v>
      </c>
    </row>
    <row r="57" spans="1:8" ht="27">
      <c r="A57" s="297"/>
      <c r="B57" s="297"/>
      <c r="C57" s="145" t="s">
        <v>220</v>
      </c>
      <c r="D57" s="145" t="s">
        <v>219</v>
      </c>
      <c r="E57" s="146" t="s">
        <v>223</v>
      </c>
      <c r="F57" s="146" t="s">
        <v>222</v>
      </c>
      <c r="G57" s="146" t="s">
        <v>221</v>
      </c>
      <c r="H57" s="149">
        <f>销量!G8</f>
        <v>0</v>
      </c>
    </row>
    <row r="58" spans="1:8">
      <c r="A58" s="291" t="s">
        <v>212</v>
      </c>
      <c r="B58" s="291"/>
      <c r="C58" s="140"/>
      <c r="D58" s="141">
        <f>$H$57*E58</f>
        <v>0</v>
      </c>
      <c r="E58" s="161">
        <f t="shared" ref="E58:E65" si="11">E4</f>
        <v>5.8140600126520232E-2</v>
      </c>
      <c r="F58" s="161">
        <v>0.10179000000000001</v>
      </c>
      <c r="G58" s="142">
        <v>6.3270000000000007E-2</v>
      </c>
    </row>
    <row r="59" spans="1:8">
      <c r="A59" s="291" t="s">
        <v>213</v>
      </c>
      <c r="B59" s="160" t="s">
        <v>214</v>
      </c>
      <c r="C59" s="140"/>
      <c r="D59" s="141">
        <f t="shared" ref="D59:D63" si="12">$H$57*E59</f>
        <v>0</v>
      </c>
      <c r="E59" s="142">
        <f t="shared" si="11"/>
        <v>4.4999999999999998E-2</v>
      </c>
      <c r="F59" s="161">
        <v>0.2</v>
      </c>
      <c r="G59" s="142">
        <v>0.08</v>
      </c>
    </row>
    <row r="60" spans="1:8">
      <c r="A60" s="291"/>
      <c r="B60" s="160" t="s">
        <v>215</v>
      </c>
      <c r="C60" s="140"/>
      <c r="D60" s="141">
        <f t="shared" si="12"/>
        <v>0</v>
      </c>
      <c r="E60" s="161">
        <f t="shared" si="11"/>
        <v>1.8068356891203199E-2</v>
      </c>
      <c r="F60" s="161">
        <v>4.0280000000000003E-2</v>
      </c>
      <c r="G60" s="142">
        <v>2.068E-2</v>
      </c>
    </row>
    <row r="61" spans="1:8">
      <c r="A61" s="292" t="s">
        <v>216</v>
      </c>
      <c r="B61" s="293"/>
      <c r="C61" s="144"/>
      <c r="D61" s="141">
        <f t="shared" si="12"/>
        <v>0</v>
      </c>
      <c r="E61" s="198">
        <f t="shared" si="11"/>
        <v>0.12120895701772344</v>
      </c>
      <c r="F61" s="198">
        <f>SUM(F58:F60)</f>
        <v>0.34206999999999999</v>
      </c>
      <c r="G61" s="199">
        <f>SUM(G58:G60)</f>
        <v>0.16395000000000001</v>
      </c>
    </row>
    <row r="62" spans="1:8">
      <c r="A62" s="291" t="s">
        <v>43</v>
      </c>
      <c r="B62" s="291"/>
      <c r="C62" s="140"/>
      <c r="D62" s="141">
        <f t="shared" si="12"/>
        <v>0</v>
      </c>
      <c r="E62" s="162">
        <f t="shared" si="11"/>
        <v>4.0563309291379773E-2</v>
      </c>
      <c r="F62" s="161">
        <v>2.9350000000000001E-2</v>
      </c>
      <c r="G62" s="142">
        <v>4.9200000000000001E-2</v>
      </c>
    </row>
    <row r="63" spans="1:8">
      <c r="A63" s="294" t="s">
        <v>217</v>
      </c>
      <c r="B63" s="160" t="s">
        <v>214</v>
      </c>
      <c r="C63" s="140"/>
      <c r="D63" s="141">
        <f t="shared" si="12"/>
        <v>0</v>
      </c>
      <c r="E63" s="142">
        <f t="shared" si="11"/>
        <v>7.9000000000000008E-3</v>
      </c>
      <c r="F63" s="161">
        <v>2.1489999999999999E-2</v>
      </c>
      <c r="G63" s="142">
        <v>9.4900000000000002E-3</v>
      </c>
    </row>
    <row r="64" spans="1:8">
      <c r="A64" s="295"/>
      <c r="B64" s="160" t="s">
        <v>215</v>
      </c>
      <c r="C64" s="140"/>
      <c r="D64" s="141">
        <f>$H$57*E64</f>
        <v>0</v>
      </c>
      <c r="E64" s="139">
        <f t="shared" si="11"/>
        <v>8.8499999999999995E-2</v>
      </c>
      <c r="F64" s="161">
        <v>5.8119999999999998E-2</v>
      </c>
      <c r="G64" s="142">
        <v>5.4899999999999997E-2</v>
      </c>
    </row>
    <row r="65" spans="1:8">
      <c r="A65" s="291" t="s">
        <v>46</v>
      </c>
      <c r="B65" s="291"/>
      <c r="C65" s="140"/>
      <c r="D65" s="141">
        <f t="shared" ref="D65" si="13">$H$57*E65</f>
        <v>0</v>
      </c>
      <c r="E65" s="142">
        <f t="shared" si="11"/>
        <v>2.1299999999999999E-2</v>
      </c>
      <c r="F65" s="161">
        <v>2.1299999999999999E-2</v>
      </c>
      <c r="G65" s="142">
        <v>2.1299999999999999E-2</v>
      </c>
    </row>
    <row r="68" spans="1:8">
      <c r="A68" s="136"/>
      <c r="B68" s="136"/>
      <c r="C68" s="136"/>
      <c r="D68" s="136"/>
      <c r="E68" s="136"/>
      <c r="F68" s="296" t="s">
        <v>210</v>
      </c>
      <c r="G68" s="296"/>
      <c r="H68" s="137"/>
    </row>
    <row r="69" spans="1:8">
      <c r="A69" s="297" t="s">
        <v>211</v>
      </c>
      <c r="B69" s="297"/>
      <c r="C69" s="298"/>
      <c r="D69" s="298"/>
      <c r="E69" s="298"/>
      <c r="F69" s="298"/>
      <c r="G69" s="293"/>
      <c r="H69" s="138" t="s">
        <v>218</v>
      </c>
    </row>
    <row r="70" spans="1:8" ht="27">
      <c r="A70" s="297"/>
      <c r="B70" s="297"/>
      <c r="C70" s="145" t="s">
        <v>220</v>
      </c>
      <c r="D70" s="145" t="s">
        <v>219</v>
      </c>
      <c r="E70" s="146" t="s">
        <v>223</v>
      </c>
      <c r="F70" s="146" t="s">
        <v>222</v>
      </c>
      <c r="G70" s="146" t="s">
        <v>221</v>
      </c>
      <c r="H70" s="149">
        <f>销量!H8</f>
        <v>0</v>
      </c>
    </row>
    <row r="71" spans="1:8">
      <c r="A71" s="291" t="s">
        <v>212</v>
      </c>
      <c r="B71" s="291"/>
      <c r="C71" s="140"/>
      <c r="D71" s="141">
        <f>$H$70*E71</f>
        <v>0</v>
      </c>
      <c r="E71" s="161">
        <f t="shared" ref="E71:E78" si="14">E4</f>
        <v>5.8140600126520232E-2</v>
      </c>
      <c r="F71" s="161">
        <v>0.10179000000000001</v>
      </c>
      <c r="G71" s="142">
        <v>6.3270000000000007E-2</v>
      </c>
    </row>
    <row r="72" spans="1:8">
      <c r="A72" s="291" t="s">
        <v>213</v>
      </c>
      <c r="B72" s="160" t="s">
        <v>214</v>
      </c>
      <c r="C72" s="140"/>
      <c r="D72" s="141">
        <f t="shared" ref="D72:D76" si="15">$H$70*E72</f>
        <v>0</v>
      </c>
      <c r="E72" s="142">
        <f t="shared" si="14"/>
        <v>4.4999999999999998E-2</v>
      </c>
      <c r="F72" s="161">
        <v>0.2</v>
      </c>
      <c r="G72" s="142">
        <v>0.08</v>
      </c>
    </row>
    <row r="73" spans="1:8">
      <c r="A73" s="291"/>
      <c r="B73" s="160" t="s">
        <v>215</v>
      </c>
      <c r="C73" s="140"/>
      <c r="D73" s="141">
        <f t="shared" si="15"/>
        <v>0</v>
      </c>
      <c r="E73" s="161">
        <f t="shared" si="14"/>
        <v>1.8068356891203199E-2</v>
      </c>
      <c r="F73" s="161">
        <v>4.0280000000000003E-2</v>
      </c>
      <c r="G73" s="142">
        <v>2.068E-2</v>
      </c>
    </row>
    <row r="74" spans="1:8">
      <c r="A74" s="292" t="s">
        <v>216</v>
      </c>
      <c r="B74" s="293"/>
      <c r="C74" s="144"/>
      <c r="D74" s="141">
        <f t="shared" si="15"/>
        <v>0</v>
      </c>
      <c r="E74" s="198">
        <f t="shared" si="14"/>
        <v>0.12120895701772344</v>
      </c>
      <c r="F74" s="198">
        <f>SUM(F71:F73)</f>
        <v>0.34206999999999999</v>
      </c>
      <c r="G74" s="199">
        <f>SUM(G71:G73)</f>
        <v>0.16395000000000001</v>
      </c>
    </row>
    <row r="75" spans="1:8">
      <c r="A75" s="291" t="s">
        <v>43</v>
      </c>
      <c r="B75" s="291"/>
      <c r="C75" s="140"/>
      <c r="D75" s="141">
        <f t="shared" si="15"/>
        <v>0</v>
      </c>
      <c r="E75" s="162">
        <f t="shared" si="14"/>
        <v>4.0563309291379773E-2</v>
      </c>
      <c r="F75" s="161">
        <v>2.9350000000000001E-2</v>
      </c>
      <c r="G75" s="142">
        <v>4.9200000000000001E-2</v>
      </c>
    </row>
    <row r="76" spans="1:8">
      <c r="A76" s="294" t="s">
        <v>217</v>
      </c>
      <c r="B76" s="160" t="s">
        <v>214</v>
      </c>
      <c r="C76" s="140"/>
      <c r="D76" s="141">
        <f t="shared" si="15"/>
        <v>0</v>
      </c>
      <c r="E76" s="142">
        <f t="shared" si="14"/>
        <v>7.9000000000000008E-3</v>
      </c>
      <c r="F76" s="161">
        <v>2.1489999999999999E-2</v>
      </c>
      <c r="G76" s="142">
        <v>9.4900000000000002E-3</v>
      </c>
    </row>
    <row r="77" spans="1:8">
      <c r="A77" s="295"/>
      <c r="B77" s="160" t="s">
        <v>215</v>
      </c>
      <c r="C77" s="140"/>
      <c r="D77" s="141">
        <f>$H$70*E77</f>
        <v>0</v>
      </c>
      <c r="E77" s="139">
        <f t="shared" si="14"/>
        <v>8.8499999999999995E-2</v>
      </c>
      <c r="F77" s="161">
        <v>5.8119999999999998E-2</v>
      </c>
      <c r="G77" s="142">
        <v>5.4899999999999997E-2</v>
      </c>
    </row>
    <row r="78" spans="1:8">
      <c r="A78" s="291" t="s">
        <v>46</v>
      </c>
      <c r="B78" s="291"/>
      <c r="C78" s="140"/>
      <c r="D78" s="141">
        <f t="shared" ref="D78" si="16">$H$70*E78</f>
        <v>0</v>
      </c>
      <c r="E78" s="142">
        <f t="shared" si="14"/>
        <v>2.1299999999999999E-2</v>
      </c>
      <c r="F78" s="161">
        <v>2.1299999999999999E-2</v>
      </c>
      <c r="G78" s="142">
        <v>2.1299999999999999E-2</v>
      </c>
    </row>
    <row r="81" spans="1:8">
      <c r="A81" s="136"/>
      <c r="B81" s="136"/>
      <c r="C81" s="136"/>
      <c r="D81" s="136"/>
      <c r="E81" s="136"/>
      <c r="F81" s="296" t="s">
        <v>210</v>
      </c>
      <c r="G81" s="296"/>
      <c r="H81" s="137"/>
    </row>
    <row r="82" spans="1:8">
      <c r="A82" s="297" t="s">
        <v>211</v>
      </c>
      <c r="B82" s="297"/>
      <c r="C82" s="298"/>
      <c r="D82" s="298"/>
      <c r="E82" s="298"/>
      <c r="F82" s="298"/>
      <c r="G82" s="293"/>
      <c r="H82" s="138" t="s">
        <v>218</v>
      </c>
    </row>
    <row r="83" spans="1:8" ht="27">
      <c r="A83" s="297"/>
      <c r="B83" s="297"/>
      <c r="C83" s="145" t="s">
        <v>220</v>
      </c>
      <c r="D83" s="145" t="s">
        <v>219</v>
      </c>
      <c r="E83" s="146" t="s">
        <v>223</v>
      </c>
      <c r="F83" s="146" t="s">
        <v>222</v>
      </c>
      <c r="G83" s="146" t="s">
        <v>221</v>
      </c>
      <c r="H83" s="149">
        <f>销量!I8</f>
        <v>0</v>
      </c>
    </row>
    <row r="84" spans="1:8">
      <c r="A84" s="291" t="s">
        <v>212</v>
      </c>
      <c r="B84" s="291"/>
      <c r="C84" s="140"/>
      <c r="D84" s="141">
        <f>$H$83*E84</f>
        <v>0</v>
      </c>
      <c r="E84" s="161">
        <f t="shared" ref="E84:E91" si="17">E4</f>
        <v>5.8140600126520232E-2</v>
      </c>
      <c r="F84" s="161">
        <v>0.10179000000000001</v>
      </c>
      <c r="G84" s="142">
        <v>6.3270000000000007E-2</v>
      </c>
    </row>
    <row r="85" spans="1:8">
      <c r="A85" s="291" t="s">
        <v>213</v>
      </c>
      <c r="B85" s="177" t="s">
        <v>214</v>
      </c>
      <c r="C85" s="140"/>
      <c r="D85" s="141">
        <f t="shared" ref="D85:D89" si="18">$H$83*E85</f>
        <v>0</v>
      </c>
      <c r="E85" s="142">
        <f t="shared" si="17"/>
        <v>4.4999999999999998E-2</v>
      </c>
      <c r="F85" s="161">
        <v>0.2</v>
      </c>
      <c r="G85" s="142">
        <v>0.08</v>
      </c>
    </row>
    <row r="86" spans="1:8">
      <c r="A86" s="291"/>
      <c r="B86" s="177" t="s">
        <v>215</v>
      </c>
      <c r="C86" s="140"/>
      <c r="D86" s="141">
        <f t="shared" si="18"/>
        <v>0</v>
      </c>
      <c r="E86" s="161">
        <f t="shared" si="17"/>
        <v>1.8068356891203199E-2</v>
      </c>
      <c r="F86" s="161">
        <v>4.0280000000000003E-2</v>
      </c>
      <c r="G86" s="142">
        <v>2.068E-2</v>
      </c>
    </row>
    <row r="87" spans="1:8">
      <c r="A87" s="292" t="s">
        <v>216</v>
      </c>
      <c r="B87" s="293"/>
      <c r="C87" s="144"/>
      <c r="D87" s="141">
        <f t="shared" si="18"/>
        <v>0</v>
      </c>
      <c r="E87" s="198">
        <f t="shared" si="17"/>
        <v>0.12120895701772344</v>
      </c>
      <c r="F87" s="198">
        <f>SUM(F84:F86)</f>
        <v>0.34206999999999999</v>
      </c>
      <c r="G87" s="199">
        <f>SUM(G84:G86)</f>
        <v>0.16395000000000001</v>
      </c>
    </row>
    <row r="88" spans="1:8">
      <c r="A88" s="291" t="s">
        <v>43</v>
      </c>
      <c r="B88" s="291"/>
      <c r="C88" s="140"/>
      <c r="D88" s="141">
        <f t="shared" si="18"/>
        <v>0</v>
      </c>
      <c r="E88" s="162">
        <f t="shared" si="17"/>
        <v>4.0563309291379773E-2</v>
      </c>
      <c r="F88" s="161">
        <v>2.9350000000000001E-2</v>
      </c>
      <c r="G88" s="142">
        <v>4.9200000000000001E-2</v>
      </c>
    </row>
    <row r="89" spans="1:8">
      <c r="A89" s="294" t="s">
        <v>217</v>
      </c>
      <c r="B89" s="177" t="s">
        <v>214</v>
      </c>
      <c r="C89" s="140"/>
      <c r="D89" s="141">
        <f t="shared" si="18"/>
        <v>0</v>
      </c>
      <c r="E89" s="142">
        <f t="shared" si="17"/>
        <v>7.9000000000000008E-3</v>
      </c>
      <c r="F89" s="161">
        <v>2.1489999999999999E-2</v>
      </c>
      <c r="G89" s="142">
        <v>9.4900000000000002E-3</v>
      </c>
    </row>
    <row r="90" spans="1:8">
      <c r="A90" s="295"/>
      <c r="B90" s="177" t="s">
        <v>215</v>
      </c>
      <c r="C90" s="140"/>
      <c r="D90" s="141">
        <f t="shared" ref="D90:D91" si="19">$H$83*E90</f>
        <v>0</v>
      </c>
      <c r="E90" s="139">
        <f t="shared" si="17"/>
        <v>8.8499999999999995E-2</v>
      </c>
      <c r="F90" s="161">
        <v>5.8119999999999998E-2</v>
      </c>
      <c r="G90" s="142">
        <v>5.4899999999999997E-2</v>
      </c>
    </row>
    <row r="91" spans="1:8">
      <c r="A91" s="291" t="s">
        <v>46</v>
      </c>
      <c r="B91" s="291"/>
      <c r="C91" s="140"/>
      <c r="D91" s="141">
        <f t="shared" si="19"/>
        <v>0</v>
      </c>
      <c r="E91" s="142">
        <f t="shared" si="17"/>
        <v>2.1299999999999999E-2</v>
      </c>
      <c r="F91" s="161">
        <v>2.1299999999999999E-2</v>
      </c>
      <c r="G91" s="142">
        <v>2.1299999999999999E-2</v>
      </c>
    </row>
    <row r="94" spans="1:8">
      <c r="A94" s="136"/>
      <c r="B94" s="136"/>
      <c r="C94" s="136"/>
      <c r="D94" s="136"/>
      <c r="E94" s="136"/>
      <c r="F94" s="296" t="s">
        <v>210</v>
      </c>
      <c r="G94" s="296"/>
      <c r="H94" s="137"/>
    </row>
    <row r="95" spans="1:8">
      <c r="A95" s="297" t="s">
        <v>211</v>
      </c>
      <c r="B95" s="297"/>
      <c r="C95" s="298"/>
      <c r="D95" s="298"/>
      <c r="E95" s="298"/>
      <c r="F95" s="298"/>
      <c r="G95" s="293"/>
      <c r="H95" s="138" t="s">
        <v>218</v>
      </c>
    </row>
    <row r="96" spans="1:8" ht="27">
      <c r="A96" s="297"/>
      <c r="B96" s="297"/>
      <c r="C96" s="145" t="s">
        <v>220</v>
      </c>
      <c r="D96" s="145" t="s">
        <v>219</v>
      </c>
      <c r="E96" s="146" t="s">
        <v>223</v>
      </c>
      <c r="F96" s="146" t="s">
        <v>222</v>
      </c>
      <c r="G96" s="146" t="s">
        <v>221</v>
      </c>
      <c r="H96" s="149">
        <f>销量!J8</f>
        <v>0</v>
      </c>
    </row>
    <row r="97" spans="1:8">
      <c r="A97" s="291" t="s">
        <v>212</v>
      </c>
      <c r="B97" s="291"/>
      <c r="C97" s="140"/>
      <c r="D97" s="141">
        <f>$H$96*E97</f>
        <v>0</v>
      </c>
      <c r="E97" s="161">
        <f t="shared" ref="E97:E104" si="20">E4</f>
        <v>5.8140600126520232E-2</v>
      </c>
      <c r="F97" s="161">
        <v>0.10179000000000001</v>
      </c>
      <c r="G97" s="142">
        <v>6.3270000000000007E-2</v>
      </c>
    </row>
    <row r="98" spans="1:8">
      <c r="A98" s="291" t="s">
        <v>213</v>
      </c>
      <c r="B98" s="177" t="s">
        <v>214</v>
      </c>
      <c r="C98" s="140"/>
      <c r="D98" s="141">
        <f t="shared" ref="D98:D103" si="21">$H$96*E98</f>
        <v>0</v>
      </c>
      <c r="E98" s="142">
        <f t="shared" si="20"/>
        <v>4.4999999999999998E-2</v>
      </c>
      <c r="F98" s="161">
        <v>0.2</v>
      </c>
      <c r="G98" s="142">
        <v>0.08</v>
      </c>
    </row>
    <row r="99" spans="1:8">
      <c r="A99" s="291"/>
      <c r="B99" s="177" t="s">
        <v>215</v>
      </c>
      <c r="C99" s="140"/>
      <c r="D99" s="141">
        <f t="shared" si="21"/>
        <v>0</v>
      </c>
      <c r="E99" s="161">
        <f t="shared" si="20"/>
        <v>1.8068356891203199E-2</v>
      </c>
      <c r="F99" s="161">
        <v>4.0280000000000003E-2</v>
      </c>
      <c r="G99" s="142">
        <v>2.068E-2</v>
      </c>
    </row>
    <row r="100" spans="1:8">
      <c r="A100" s="292" t="s">
        <v>216</v>
      </c>
      <c r="B100" s="293"/>
      <c r="C100" s="144"/>
      <c r="D100" s="141">
        <f t="shared" si="21"/>
        <v>0</v>
      </c>
      <c r="E100" s="198">
        <f t="shared" si="20"/>
        <v>0.12120895701772344</v>
      </c>
      <c r="F100" s="198">
        <f>SUM(F97:F99)</f>
        <v>0.34206999999999999</v>
      </c>
      <c r="G100" s="199">
        <f>SUM(G97:G99)</f>
        <v>0.16395000000000001</v>
      </c>
    </row>
    <row r="101" spans="1:8">
      <c r="A101" s="291" t="s">
        <v>43</v>
      </c>
      <c r="B101" s="291"/>
      <c r="C101" s="140"/>
      <c r="D101" s="141">
        <f t="shared" si="21"/>
        <v>0</v>
      </c>
      <c r="E101" s="162">
        <f t="shared" si="20"/>
        <v>4.0563309291379773E-2</v>
      </c>
      <c r="F101" s="161">
        <v>2.9350000000000001E-2</v>
      </c>
      <c r="G101" s="142">
        <v>4.9200000000000001E-2</v>
      </c>
    </row>
    <row r="102" spans="1:8">
      <c r="A102" s="294" t="s">
        <v>217</v>
      </c>
      <c r="B102" s="177" t="s">
        <v>214</v>
      </c>
      <c r="C102" s="140"/>
      <c r="D102" s="141">
        <f t="shared" si="21"/>
        <v>0</v>
      </c>
      <c r="E102" s="142">
        <f t="shared" si="20"/>
        <v>7.9000000000000008E-3</v>
      </c>
      <c r="F102" s="161">
        <v>2.1489999999999999E-2</v>
      </c>
      <c r="G102" s="142">
        <v>9.4900000000000002E-3</v>
      </c>
    </row>
    <row r="103" spans="1:8">
      <c r="A103" s="295"/>
      <c r="B103" s="177" t="s">
        <v>215</v>
      </c>
      <c r="C103" s="140"/>
      <c r="D103" s="141">
        <f t="shared" si="21"/>
        <v>0</v>
      </c>
      <c r="E103" s="139">
        <f t="shared" si="20"/>
        <v>8.8499999999999995E-2</v>
      </c>
      <c r="F103" s="161">
        <v>5.8119999999999998E-2</v>
      </c>
      <c r="G103" s="142">
        <v>5.4899999999999997E-2</v>
      </c>
    </row>
    <row r="104" spans="1:8">
      <c r="A104" s="291" t="s">
        <v>46</v>
      </c>
      <c r="B104" s="291"/>
      <c r="C104" s="140"/>
      <c r="D104" s="141">
        <f t="shared" ref="D104" si="22">$H$96*E104</f>
        <v>0</v>
      </c>
      <c r="E104" s="142">
        <f t="shared" si="20"/>
        <v>2.1299999999999999E-2</v>
      </c>
      <c r="F104" s="161">
        <v>2.1299999999999999E-2</v>
      </c>
      <c r="G104" s="142">
        <v>2.1299999999999999E-2</v>
      </c>
    </row>
    <row r="107" spans="1:8">
      <c r="A107" s="136"/>
      <c r="B107" s="136"/>
      <c r="C107" s="136"/>
      <c r="D107" s="136"/>
      <c r="E107" s="136"/>
      <c r="F107" s="296" t="s">
        <v>210</v>
      </c>
      <c r="G107" s="296"/>
      <c r="H107" s="137"/>
    </row>
    <row r="108" spans="1:8">
      <c r="A108" s="297" t="s">
        <v>211</v>
      </c>
      <c r="B108" s="297"/>
      <c r="C108" s="298"/>
      <c r="D108" s="298"/>
      <c r="E108" s="298"/>
      <c r="F108" s="298"/>
      <c r="G108" s="293"/>
      <c r="H108" s="138" t="s">
        <v>218</v>
      </c>
    </row>
    <row r="109" spans="1:8" ht="27">
      <c r="A109" s="297"/>
      <c r="B109" s="297"/>
      <c r="C109" s="145" t="s">
        <v>220</v>
      </c>
      <c r="D109" s="145" t="s">
        <v>219</v>
      </c>
      <c r="E109" s="146" t="s">
        <v>223</v>
      </c>
      <c r="F109" s="146" t="s">
        <v>222</v>
      </c>
      <c r="G109" s="146" t="s">
        <v>221</v>
      </c>
      <c r="H109" s="149">
        <f>销量!K8</f>
        <v>0</v>
      </c>
    </row>
    <row r="110" spans="1:8">
      <c r="A110" s="291" t="s">
        <v>212</v>
      </c>
      <c r="B110" s="291"/>
      <c r="C110" s="140"/>
      <c r="D110" s="141">
        <f>$H$109*E110</f>
        <v>0</v>
      </c>
      <c r="E110" s="161">
        <f t="shared" ref="E110:E117" si="23">E4</f>
        <v>5.8140600126520232E-2</v>
      </c>
      <c r="F110" s="161">
        <v>0.10179000000000001</v>
      </c>
      <c r="G110" s="142">
        <v>6.3270000000000007E-2</v>
      </c>
    </row>
    <row r="111" spans="1:8">
      <c r="A111" s="291" t="s">
        <v>213</v>
      </c>
      <c r="B111" s="177" t="s">
        <v>214</v>
      </c>
      <c r="C111" s="140"/>
      <c r="D111" s="141">
        <f t="shared" ref="D111:D115" si="24">$H$109*E111</f>
        <v>0</v>
      </c>
      <c r="E111" s="142">
        <f t="shared" si="23"/>
        <v>4.4999999999999998E-2</v>
      </c>
      <c r="F111" s="161">
        <v>0.2</v>
      </c>
      <c r="G111" s="142">
        <v>0.08</v>
      </c>
    </row>
    <row r="112" spans="1:8">
      <c r="A112" s="291"/>
      <c r="B112" s="177" t="s">
        <v>215</v>
      </c>
      <c r="C112" s="140"/>
      <c r="D112" s="141">
        <f t="shared" si="24"/>
        <v>0</v>
      </c>
      <c r="E112" s="161">
        <f t="shared" si="23"/>
        <v>1.8068356891203199E-2</v>
      </c>
      <c r="F112" s="161">
        <v>4.0280000000000003E-2</v>
      </c>
      <c r="G112" s="142">
        <v>2.068E-2</v>
      </c>
    </row>
    <row r="113" spans="1:7">
      <c r="A113" s="292" t="s">
        <v>216</v>
      </c>
      <c r="B113" s="293"/>
      <c r="C113" s="144"/>
      <c r="D113" s="141">
        <f t="shared" si="24"/>
        <v>0</v>
      </c>
      <c r="E113" s="198">
        <f t="shared" si="23"/>
        <v>0.12120895701772344</v>
      </c>
      <c r="F113" s="198">
        <f>SUM(F110:F112)</f>
        <v>0.34206999999999999</v>
      </c>
      <c r="G113" s="199">
        <f>SUM(G110:G112)</f>
        <v>0.16395000000000001</v>
      </c>
    </row>
    <row r="114" spans="1:7">
      <c r="A114" s="291" t="s">
        <v>43</v>
      </c>
      <c r="B114" s="291"/>
      <c r="C114" s="140"/>
      <c r="D114" s="141">
        <f t="shared" si="24"/>
        <v>0</v>
      </c>
      <c r="E114" s="162">
        <f t="shared" si="23"/>
        <v>4.0563309291379773E-2</v>
      </c>
      <c r="F114" s="161">
        <v>2.9350000000000001E-2</v>
      </c>
      <c r="G114" s="142">
        <v>4.9200000000000001E-2</v>
      </c>
    </row>
    <row r="115" spans="1:7">
      <c r="A115" s="294" t="s">
        <v>217</v>
      </c>
      <c r="B115" s="177" t="s">
        <v>214</v>
      </c>
      <c r="C115" s="140"/>
      <c r="D115" s="141">
        <f t="shared" si="24"/>
        <v>0</v>
      </c>
      <c r="E115" s="142">
        <f t="shared" si="23"/>
        <v>7.9000000000000008E-3</v>
      </c>
      <c r="F115" s="161">
        <v>2.1489999999999999E-2</v>
      </c>
      <c r="G115" s="142">
        <v>9.4900000000000002E-3</v>
      </c>
    </row>
    <row r="116" spans="1:7">
      <c r="A116" s="295"/>
      <c r="B116" s="177" t="s">
        <v>215</v>
      </c>
      <c r="C116" s="140"/>
      <c r="D116" s="141">
        <f>$H$109*E116</f>
        <v>0</v>
      </c>
      <c r="E116" s="139">
        <f t="shared" si="23"/>
        <v>8.8499999999999995E-2</v>
      </c>
      <c r="F116" s="161">
        <v>5.8119999999999998E-2</v>
      </c>
      <c r="G116" s="142">
        <v>5.4899999999999997E-2</v>
      </c>
    </row>
    <row r="117" spans="1:7">
      <c r="A117" s="291" t="s">
        <v>46</v>
      </c>
      <c r="B117" s="291"/>
      <c r="C117" s="140"/>
      <c r="D117" s="141">
        <f t="shared" ref="D117" si="25">$H$109*E117</f>
        <v>0</v>
      </c>
      <c r="E117" s="142">
        <f t="shared" si="23"/>
        <v>2.1299999999999999E-2</v>
      </c>
      <c r="F117" s="161">
        <v>2.1299999999999999E-2</v>
      </c>
      <c r="G117" s="142">
        <v>2.1299999999999999E-2</v>
      </c>
    </row>
  </sheetData>
  <mergeCells count="81">
    <mergeCell ref="F1:G1"/>
    <mergeCell ref="A4:B4"/>
    <mergeCell ref="A7:B7"/>
    <mergeCell ref="A8:B8"/>
    <mergeCell ref="A11:B11"/>
    <mergeCell ref="A5:A6"/>
    <mergeCell ref="A9:A10"/>
    <mergeCell ref="A2:B3"/>
    <mergeCell ref="C2:G2"/>
    <mergeCell ref="F15:G15"/>
    <mergeCell ref="A16:B17"/>
    <mergeCell ref="C16:G16"/>
    <mergeCell ref="A18:B18"/>
    <mergeCell ref="A19:A20"/>
    <mergeCell ref="A21:B21"/>
    <mergeCell ref="A22:B22"/>
    <mergeCell ref="A23:A24"/>
    <mergeCell ref="A25:B25"/>
    <mergeCell ref="F29:G29"/>
    <mergeCell ref="A30:B31"/>
    <mergeCell ref="C30:G30"/>
    <mergeCell ref="A32:B32"/>
    <mergeCell ref="A33:A34"/>
    <mergeCell ref="A35:B35"/>
    <mergeCell ref="A36:B36"/>
    <mergeCell ref="A37:A38"/>
    <mergeCell ref="A39:B39"/>
    <mergeCell ref="F42:G42"/>
    <mergeCell ref="A43:B44"/>
    <mergeCell ref="C43:G43"/>
    <mergeCell ref="A45:B45"/>
    <mergeCell ref="A46:A47"/>
    <mergeCell ref="A48:B48"/>
    <mergeCell ref="A49:B49"/>
    <mergeCell ref="A50:A51"/>
    <mergeCell ref="A52:B52"/>
    <mergeCell ref="F55:G55"/>
    <mergeCell ref="A56:B57"/>
    <mergeCell ref="C56:G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F94:G94"/>
    <mergeCell ref="F81:G81"/>
    <mergeCell ref="A82:B83"/>
    <mergeCell ref="C82:G82"/>
    <mergeCell ref="A84:B84"/>
    <mergeCell ref="A85:A86"/>
    <mergeCell ref="A98:A99"/>
    <mergeCell ref="A100:B100"/>
    <mergeCell ref="A87:B87"/>
    <mergeCell ref="A88:B88"/>
    <mergeCell ref="A89:A90"/>
    <mergeCell ref="A91:B91"/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F107:G107"/>
    <mergeCell ref="A108:B109"/>
    <mergeCell ref="C108:G108"/>
    <mergeCell ref="A95:B96"/>
    <mergeCell ref="C95:G95"/>
    <mergeCell ref="A97:B97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workbookViewId="0">
      <pane xSplit="3" ySplit="6" topLeftCell="D16" activePane="bottomRight" state="frozen"/>
      <selection pane="topRight"/>
      <selection pane="bottomLeft"/>
      <selection pane="bottomRight" activeCell="H24" sqref="H24"/>
    </sheetView>
  </sheetViews>
  <sheetFormatPr defaultColWidth="9" defaultRowHeight="16.5"/>
  <cols>
    <col min="1" max="1" width="5.125" style="99" customWidth="1"/>
    <col min="2" max="2" width="35.75" style="99" customWidth="1"/>
    <col min="3" max="3" width="14.5" style="100" customWidth="1"/>
    <col min="4" max="7" width="13" style="100" customWidth="1"/>
    <col min="8" max="8" width="15.125" style="100" customWidth="1"/>
    <col min="9" max="9" width="15.5" style="99" customWidth="1"/>
    <col min="10" max="35" width="9" style="99"/>
    <col min="36" max="36" width="4.375" style="99" customWidth="1"/>
    <col min="37" max="37" width="13.875" style="99" customWidth="1"/>
    <col min="38" max="16384" width="9" style="99"/>
  </cols>
  <sheetData>
    <row r="1" spans="1:38" ht="27" customHeight="1">
      <c r="A1" s="235" t="s">
        <v>271</v>
      </c>
      <c r="B1" s="235"/>
      <c r="C1" s="235"/>
      <c r="D1" s="235"/>
      <c r="E1" s="235"/>
      <c r="F1" s="235"/>
      <c r="G1" s="235"/>
      <c r="H1" s="235"/>
    </row>
    <row r="2" spans="1:38" ht="18" customHeight="1">
      <c r="A2" s="236" t="s">
        <v>12</v>
      </c>
      <c r="B2" s="101" t="s">
        <v>1</v>
      </c>
      <c r="C2" s="101" t="s">
        <v>254</v>
      </c>
      <c r="D2" s="101" t="s">
        <v>255</v>
      </c>
      <c r="E2" s="101" t="s">
        <v>256</v>
      </c>
      <c r="F2" s="101" t="s">
        <v>257</v>
      </c>
      <c r="G2" s="101" t="s">
        <v>258</v>
      </c>
      <c r="H2" s="40" t="s">
        <v>13</v>
      </c>
      <c r="AL2" s="99" t="s">
        <v>14</v>
      </c>
    </row>
    <row r="3" spans="1:38" s="37" customFormat="1" ht="15.75" customHeight="1">
      <c r="A3" s="237"/>
      <c r="B3" s="42" t="s">
        <v>3</v>
      </c>
      <c r="C3" s="102">
        <f>'2023年'!K6</f>
        <v>78000</v>
      </c>
      <c r="D3" s="102">
        <f>'2024年'!K6</f>
        <v>0</v>
      </c>
      <c r="E3" s="102">
        <f>'2025年'!K6</f>
        <v>0</v>
      </c>
      <c r="F3" s="102">
        <f>'2026年'!K6</f>
        <v>0</v>
      </c>
      <c r="G3" s="102">
        <f>'2027年'!K6</f>
        <v>0</v>
      </c>
      <c r="H3" s="102">
        <f>SUM(C3:G3)</f>
        <v>78000</v>
      </c>
      <c r="I3" s="58"/>
      <c r="AJ3" s="41" t="s">
        <v>12</v>
      </c>
      <c r="AK3" s="42" t="s">
        <v>3</v>
      </c>
      <c r="AL3" s="37" t="s">
        <v>15</v>
      </c>
    </row>
    <row r="4" spans="1:38" s="37" customFormat="1" ht="15.75" customHeight="1">
      <c r="A4" s="51">
        <v>1</v>
      </c>
      <c r="B4" s="42" t="s">
        <v>16</v>
      </c>
      <c r="C4" s="102">
        <f>'2023年'!K7</f>
        <v>29590990</v>
      </c>
      <c r="D4" s="102">
        <f>'2024年'!K7</f>
        <v>0</v>
      </c>
      <c r="E4" s="102">
        <f>'2025年'!K7</f>
        <v>0</v>
      </c>
      <c r="F4" s="102">
        <f>'2026年'!K7</f>
        <v>0</v>
      </c>
      <c r="G4" s="102">
        <f>'2027年'!K7</f>
        <v>0</v>
      </c>
      <c r="H4" s="102">
        <f t="shared" ref="H4:H11" si="0">SUM(C4:G4)</f>
        <v>29590990</v>
      </c>
      <c r="I4" s="58"/>
      <c r="AJ4" s="41" t="s">
        <v>17</v>
      </c>
      <c r="AK4" s="42" t="s">
        <v>16</v>
      </c>
      <c r="AL4" s="37" t="s">
        <v>15</v>
      </c>
    </row>
    <row r="5" spans="1:38" s="37" customFormat="1" ht="15.75" customHeight="1">
      <c r="A5" s="51">
        <v>2</v>
      </c>
      <c r="B5" s="39" t="s">
        <v>18</v>
      </c>
      <c r="C5" s="102">
        <f>'2023年'!K8</f>
        <v>0</v>
      </c>
      <c r="D5" s="102">
        <f>'2024年'!K8</f>
        <v>0</v>
      </c>
      <c r="E5" s="102">
        <f>'2025年'!K8</f>
        <v>0</v>
      </c>
      <c r="F5" s="102">
        <f>'2026年'!K8</f>
        <v>0</v>
      </c>
      <c r="G5" s="102">
        <f>'2027年'!K8</f>
        <v>0</v>
      </c>
      <c r="H5" s="102">
        <f t="shared" si="0"/>
        <v>0</v>
      </c>
      <c r="I5" s="58"/>
      <c r="AJ5" s="41" t="s">
        <v>19</v>
      </c>
      <c r="AK5" s="39" t="s">
        <v>20</v>
      </c>
      <c r="AL5" s="37" t="s">
        <v>15</v>
      </c>
    </row>
    <row r="6" spans="1:38" s="37" customFormat="1" ht="15.75" customHeight="1">
      <c r="A6" s="51">
        <v>3</v>
      </c>
      <c r="B6" s="42" t="s">
        <v>21</v>
      </c>
      <c r="C6" s="103">
        <f>+C4-C5</f>
        <v>29590990</v>
      </c>
      <c r="D6" s="103">
        <f>'2024年'!K9</f>
        <v>0</v>
      </c>
      <c r="E6" s="103">
        <f>'2025年'!K9</f>
        <v>0</v>
      </c>
      <c r="F6" s="103">
        <f>'2026年'!K9</f>
        <v>0</v>
      </c>
      <c r="G6" s="103">
        <f>'2027年'!K9</f>
        <v>0</v>
      </c>
      <c r="H6" s="102">
        <f t="shared" si="0"/>
        <v>29590990</v>
      </c>
      <c r="I6" s="58"/>
      <c r="AJ6" s="41" t="s">
        <v>22</v>
      </c>
      <c r="AK6" s="42" t="s">
        <v>21</v>
      </c>
      <c r="AL6" s="37" t="s">
        <v>23</v>
      </c>
    </row>
    <row r="7" spans="1:38" s="37" customFormat="1" ht="15.75" customHeight="1">
      <c r="A7" s="51">
        <v>4</v>
      </c>
      <c r="B7" s="41" t="s">
        <v>24</v>
      </c>
      <c r="C7" s="102">
        <f>'2023年'!K10</f>
        <v>21358090</v>
      </c>
      <c r="D7" s="102">
        <f>'2024年'!K10</f>
        <v>0</v>
      </c>
      <c r="E7" s="102">
        <f>'2025年'!K10</f>
        <v>0</v>
      </c>
      <c r="F7" s="102">
        <f>'2026年'!K10</f>
        <v>0</v>
      </c>
      <c r="G7" s="102">
        <f>'2027年'!K10</f>
        <v>0</v>
      </c>
      <c r="H7" s="102">
        <f t="shared" si="0"/>
        <v>21358090</v>
      </c>
      <c r="I7" s="58"/>
      <c r="AJ7" s="41" t="s">
        <v>25</v>
      </c>
      <c r="AK7" s="41" t="s">
        <v>24</v>
      </c>
      <c r="AL7" s="37" t="s">
        <v>26</v>
      </c>
    </row>
    <row r="8" spans="1:38" s="37" customFormat="1" ht="15.75" customHeight="1">
      <c r="A8" s="51">
        <v>5</v>
      </c>
      <c r="B8" s="41" t="s">
        <v>27</v>
      </c>
      <c r="C8" s="102">
        <f>'2023年'!K11</f>
        <v>1720437.9169378588</v>
      </c>
      <c r="D8" s="102">
        <f>'2024年'!K11</f>
        <v>0</v>
      </c>
      <c r="E8" s="102">
        <f>'2025年'!K11</f>
        <v>0</v>
      </c>
      <c r="F8" s="102">
        <f>'2026年'!K11</f>
        <v>0</v>
      </c>
      <c r="G8" s="102">
        <f>'2027年'!K11</f>
        <v>0</v>
      </c>
      <c r="H8" s="102">
        <f t="shared" si="0"/>
        <v>1720437.9169378588</v>
      </c>
      <c r="I8" s="58"/>
      <c r="AJ8" s="41" t="s">
        <v>28</v>
      </c>
      <c r="AK8" s="41" t="s">
        <v>27</v>
      </c>
    </row>
    <row r="9" spans="1:38" s="37" customFormat="1" ht="15.75" customHeight="1">
      <c r="A9" s="51">
        <v>6</v>
      </c>
      <c r="B9" s="41" t="s">
        <v>29</v>
      </c>
      <c r="C9" s="102">
        <f>'2023年'!K12</f>
        <v>534660.56808402494</v>
      </c>
      <c r="D9" s="102">
        <f>'2024年'!K12</f>
        <v>0</v>
      </c>
      <c r="E9" s="102">
        <f>'2025年'!K12</f>
        <v>0</v>
      </c>
      <c r="F9" s="102">
        <f>'2026年'!K12</f>
        <v>0</v>
      </c>
      <c r="G9" s="102">
        <f>'2027年'!K12</f>
        <v>0</v>
      </c>
      <c r="H9" s="102">
        <f t="shared" si="0"/>
        <v>534660.56808402494</v>
      </c>
      <c r="I9" s="58"/>
      <c r="AJ9" s="41" t="s">
        <v>30</v>
      </c>
      <c r="AK9" s="41" t="s">
        <v>29</v>
      </c>
    </row>
    <row r="10" spans="1:38" s="37" customFormat="1" ht="15.75" customHeight="1">
      <c r="A10" s="51">
        <v>7</v>
      </c>
      <c r="B10" s="104" t="s">
        <v>31</v>
      </c>
      <c r="C10" s="102">
        <f>'2023年'!K13</f>
        <v>2658396</v>
      </c>
      <c r="D10" s="102">
        <f>'2024年'!K13</f>
        <v>0</v>
      </c>
      <c r="E10" s="102">
        <f>'2025年'!K13</f>
        <v>0</v>
      </c>
      <c r="F10" s="102">
        <f>'2026年'!K13</f>
        <v>0</v>
      </c>
      <c r="G10" s="102">
        <f>'2027年'!K13</f>
        <v>0</v>
      </c>
      <c r="H10" s="102">
        <f t="shared" si="0"/>
        <v>2658396</v>
      </c>
      <c r="I10" s="58"/>
      <c r="AJ10" s="41" t="s">
        <v>32</v>
      </c>
      <c r="AK10" s="41" t="s">
        <v>31</v>
      </c>
      <c r="AL10" s="37" t="s">
        <v>15</v>
      </c>
    </row>
    <row r="11" spans="1:38" s="37" customFormat="1" ht="15.75" customHeight="1">
      <c r="A11" s="51">
        <v>8</v>
      </c>
      <c r="B11" s="105" t="s">
        <v>33</v>
      </c>
      <c r="C11" s="106">
        <f>'2023年'!K14</f>
        <v>4913494.4850218836</v>
      </c>
      <c r="D11" s="106">
        <f>'2024年'!K14</f>
        <v>0</v>
      </c>
      <c r="E11" s="106">
        <f>'2025年'!K14</f>
        <v>0</v>
      </c>
      <c r="F11" s="106">
        <f>'2026年'!K14</f>
        <v>0</v>
      </c>
      <c r="G11" s="106">
        <f>'2027年'!K14</f>
        <v>0</v>
      </c>
      <c r="H11" s="106">
        <f t="shared" si="0"/>
        <v>4913494.4850218836</v>
      </c>
      <c r="I11" s="58"/>
      <c r="AJ11" s="41" t="s">
        <v>34</v>
      </c>
      <c r="AK11" s="44" t="s">
        <v>33</v>
      </c>
    </row>
    <row r="12" spans="1:38" s="37" customFormat="1" ht="15.75" customHeight="1">
      <c r="A12" s="51">
        <v>9</v>
      </c>
      <c r="B12" s="107" t="s">
        <v>35</v>
      </c>
      <c r="C12" s="102">
        <f>'2023年'!K15</f>
        <v>3319405.5149781173</v>
      </c>
      <c r="D12" s="102">
        <f>'2024年'!K15</f>
        <v>0</v>
      </c>
      <c r="E12" s="102">
        <f>'2025年'!K15</f>
        <v>0</v>
      </c>
      <c r="F12" s="102">
        <f>'2026年'!K15</f>
        <v>0</v>
      </c>
      <c r="G12" s="102">
        <f>'2027年'!K15</f>
        <v>0</v>
      </c>
      <c r="H12" s="102">
        <f>H6-H7-H11</f>
        <v>3319405.5149781164</v>
      </c>
      <c r="I12" s="58"/>
      <c r="K12" s="99"/>
      <c r="L12" s="99"/>
      <c r="M12" s="99"/>
      <c r="N12" s="99"/>
      <c r="O12" s="99"/>
      <c r="P12" s="99"/>
      <c r="AJ12" s="41" t="s">
        <v>36</v>
      </c>
      <c r="AK12" s="44" t="s">
        <v>35</v>
      </c>
    </row>
    <row r="13" spans="1:38" ht="15.75" customHeight="1">
      <c r="A13" s="51">
        <v>10</v>
      </c>
      <c r="B13" s="108" t="s">
        <v>37</v>
      </c>
      <c r="C13" s="109">
        <f>+C12/C6</f>
        <v>0.1121762237416902</v>
      </c>
      <c r="D13" s="109" t="e">
        <f>'2024年'!K16</f>
        <v>#DIV/0!</v>
      </c>
      <c r="E13" s="109" t="e">
        <f>'2025年'!K16</f>
        <v>#DIV/0!</v>
      </c>
      <c r="F13" s="109" t="e">
        <f>'2026年'!K16</f>
        <v>#DIV/0!</v>
      </c>
      <c r="G13" s="109" t="e">
        <f>'2027年'!K16</f>
        <v>#DIV/0!</v>
      </c>
      <c r="H13" s="109">
        <f>+H12/H6</f>
        <v>0.11217622374169017</v>
      </c>
      <c r="I13" s="58"/>
      <c r="AJ13" s="108" t="s">
        <v>38</v>
      </c>
      <c r="AK13" s="108" t="s">
        <v>37</v>
      </c>
    </row>
    <row r="14" spans="1:38" ht="15.75" customHeight="1">
      <c r="A14" s="51">
        <v>11</v>
      </c>
      <c r="B14" s="108" t="s">
        <v>39</v>
      </c>
      <c r="C14" s="102">
        <f>'2023年'!K17</f>
        <v>1331594.5499999998</v>
      </c>
      <c r="D14" s="102" t="e">
        <f>'2024年'!K17</f>
        <v>#DIV/0!</v>
      </c>
      <c r="E14" s="102" t="e">
        <f>'2025年'!K17</f>
        <v>#DIV/0!</v>
      </c>
      <c r="F14" s="102"/>
      <c r="G14" s="102"/>
      <c r="H14" s="102" t="e">
        <f>SUM(C14:G14)</f>
        <v>#DIV/0!</v>
      </c>
      <c r="I14" s="58"/>
      <c r="AJ14" s="108" t="s">
        <v>40</v>
      </c>
      <c r="AK14" s="108" t="s">
        <v>39</v>
      </c>
    </row>
    <row r="15" spans="1:38" ht="15.75" hidden="1" customHeight="1">
      <c r="A15" s="147"/>
      <c r="B15" s="108"/>
      <c r="C15" s="102"/>
      <c r="D15" s="102"/>
      <c r="E15" s="102"/>
      <c r="F15" s="102"/>
      <c r="G15" s="102"/>
      <c r="H15" s="102"/>
      <c r="I15" s="58"/>
      <c r="AJ15" s="108"/>
      <c r="AK15" s="108"/>
    </row>
    <row r="16" spans="1:38" ht="15.75" customHeight="1">
      <c r="A16" s="51">
        <v>12</v>
      </c>
      <c r="B16" s="108" t="s">
        <v>41</v>
      </c>
      <c r="C16" s="110">
        <f>'2023年'!K19</f>
        <v>233768.821</v>
      </c>
      <c r="D16" s="110">
        <f>'2024年'!K19</f>
        <v>0</v>
      </c>
      <c r="E16" s="110">
        <f>'2025年'!K19</f>
        <v>0</v>
      </c>
      <c r="F16" s="110">
        <f>'2026年'!K19</f>
        <v>0</v>
      </c>
      <c r="G16" s="110">
        <f>'2027年'!K19</f>
        <v>0</v>
      </c>
      <c r="H16" s="102">
        <f>SUM(C16:G16)</f>
        <v>233768.821</v>
      </c>
      <c r="I16" s="58"/>
      <c r="Q16" s="58"/>
      <c r="AJ16" s="108" t="s">
        <v>42</v>
      </c>
      <c r="AK16" s="108" t="s">
        <v>41</v>
      </c>
      <c r="AL16" s="99" t="s">
        <v>15</v>
      </c>
    </row>
    <row r="17" spans="1:38" ht="15.75" customHeight="1">
      <c r="A17" s="51">
        <v>13</v>
      </c>
      <c r="B17" s="108" t="s">
        <v>43</v>
      </c>
      <c r="C17" s="110">
        <f>'2023年'!K20</f>
        <v>1200308.479608126</v>
      </c>
      <c r="D17" s="110">
        <f>'2024年'!K20</f>
        <v>0</v>
      </c>
      <c r="E17" s="110">
        <f>'2025年'!K20</f>
        <v>0</v>
      </c>
      <c r="F17" s="110">
        <f>'2026年'!K20</f>
        <v>0</v>
      </c>
      <c r="G17" s="110">
        <f>'2027年'!K20</f>
        <v>0</v>
      </c>
      <c r="H17" s="102">
        <f>SUM(C17:G17)</f>
        <v>1200308.479608126</v>
      </c>
      <c r="I17" s="58"/>
      <c r="AJ17" s="108" t="s">
        <v>44</v>
      </c>
      <c r="AK17" s="108" t="s">
        <v>43</v>
      </c>
    </row>
    <row r="18" spans="1:38" s="36" customFormat="1" ht="15.75" customHeight="1">
      <c r="A18" s="51">
        <v>14</v>
      </c>
      <c r="B18" s="49" t="s">
        <v>45</v>
      </c>
      <c r="C18" s="111">
        <f>'2023年'!K21</f>
        <v>0</v>
      </c>
      <c r="D18" s="111">
        <f>'2024年'!K21</f>
        <v>0</v>
      </c>
      <c r="E18" s="111">
        <f>'2025年'!K21</f>
        <v>0</v>
      </c>
      <c r="F18" s="111">
        <f>'2026年'!K21</f>
        <v>0</v>
      </c>
      <c r="G18" s="111">
        <f>'2027年'!K21</f>
        <v>0</v>
      </c>
      <c r="H18" s="102">
        <f>SUM(C18:G18)</f>
        <v>0</v>
      </c>
      <c r="I18" s="58"/>
      <c r="AJ18" s="49"/>
      <c r="AK18" s="49"/>
    </row>
    <row r="19" spans="1:38" s="37" customFormat="1" ht="15.75" customHeight="1">
      <c r="A19" s="51">
        <v>15</v>
      </c>
      <c r="B19" s="41" t="s">
        <v>46</v>
      </c>
      <c r="C19" s="110">
        <f>'2023年'!K22</f>
        <v>630288.08700000006</v>
      </c>
      <c r="D19" s="110">
        <f>'2024年'!K22</f>
        <v>0</v>
      </c>
      <c r="E19" s="110">
        <f>'2025年'!K22</f>
        <v>0</v>
      </c>
      <c r="F19" s="110">
        <f>'2026年'!K22</f>
        <v>0</v>
      </c>
      <c r="G19" s="110">
        <f>'2027年'!K22</f>
        <v>0</v>
      </c>
      <c r="H19" s="102">
        <f>SUM(C19:G19)</f>
        <v>630288.08700000006</v>
      </c>
      <c r="I19" s="58"/>
      <c r="AJ19" s="41" t="s">
        <v>47</v>
      </c>
      <c r="AK19" s="41" t="s">
        <v>46</v>
      </c>
    </row>
    <row r="20" spans="1:38" s="97" customFormat="1" ht="15.75" customHeight="1">
      <c r="A20" s="51">
        <v>16</v>
      </c>
      <c r="B20" s="112" t="s">
        <v>48</v>
      </c>
      <c r="C20" s="106">
        <f t="shared" ref="C20" si="1">+C19+C18+C17+C16+C14</f>
        <v>3395959.9376081256</v>
      </c>
      <c r="D20" s="106" t="e">
        <f>'2024年'!K23</f>
        <v>#DIV/0!</v>
      </c>
      <c r="E20" s="106" t="e">
        <f>'2025年'!K23</f>
        <v>#DIV/0!</v>
      </c>
      <c r="F20" s="106"/>
      <c r="G20" s="106"/>
      <c r="H20" s="106" t="e">
        <f>SUM(C20:G20)</f>
        <v>#DIV/0!</v>
      </c>
      <c r="I20" s="58"/>
      <c r="AJ20" s="125" t="s">
        <v>49</v>
      </c>
      <c r="AK20" s="126" t="s">
        <v>48</v>
      </c>
    </row>
    <row r="21" spans="1:38" ht="15.75" customHeight="1">
      <c r="A21" s="51">
        <v>17</v>
      </c>
      <c r="B21" s="108" t="s">
        <v>50</v>
      </c>
      <c r="C21" s="113">
        <f>+C12-C20</f>
        <v>-76554.42263000831</v>
      </c>
      <c r="D21" s="113" t="e">
        <f>'2024年'!K24</f>
        <v>#DIV/0!</v>
      </c>
      <c r="E21" s="113" t="e">
        <f>'2025年'!K24</f>
        <v>#DIV/0!</v>
      </c>
      <c r="F21" s="113" t="e">
        <f>'2026年'!K24</f>
        <v>#DIV/0!</v>
      </c>
      <c r="G21" s="113" t="e">
        <f>'2027年'!K24</f>
        <v>#DIV/0!</v>
      </c>
      <c r="H21" s="113" t="e">
        <f>+H12-H20</f>
        <v>#DIV/0!</v>
      </c>
      <c r="I21" s="58"/>
      <c r="AJ21" s="108" t="s">
        <v>51</v>
      </c>
      <c r="AK21" s="108" t="s">
        <v>50</v>
      </c>
    </row>
    <row r="22" spans="1:38" ht="15.75" customHeight="1">
      <c r="A22" s="51">
        <v>18</v>
      </c>
      <c r="B22" s="108" t="s">
        <v>52</v>
      </c>
      <c r="C22" s="113">
        <f>IF(C21&lt;0,0,C21*0.15)</f>
        <v>0</v>
      </c>
      <c r="D22" s="113" t="e">
        <f>'2024年'!K25</f>
        <v>#DIV/0!</v>
      </c>
      <c r="E22" s="113" t="e">
        <f>'2025年'!K25</f>
        <v>#DIV/0!</v>
      </c>
      <c r="F22" s="113" t="e">
        <f>'2026年'!K25</f>
        <v>#DIV/0!</v>
      </c>
      <c r="G22" s="113" t="e">
        <f>'2027年'!K25</f>
        <v>#DIV/0!</v>
      </c>
      <c r="H22" s="113" t="e">
        <f>IF(H21&lt;0,0,H21*0.15)</f>
        <v>#DIV/0!</v>
      </c>
      <c r="I22" s="58"/>
      <c r="AJ22" s="108" t="s">
        <v>53</v>
      </c>
      <c r="AK22" s="108" t="s">
        <v>52</v>
      </c>
    </row>
    <row r="23" spans="1:38" ht="15.75" customHeight="1">
      <c r="A23" s="51">
        <v>19</v>
      </c>
      <c r="B23" s="108" t="s">
        <v>54</v>
      </c>
      <c r="C23" s="113">
        <f>C21-C22</f>
        <v>-76554.42263000831</v>
      </c>
      <c r="D23" s="113" t="e">
        <f>'2024年'!K26</f>
        <v>#DIV/0!</v>
      </c>
      <c r="E23" s="113" t="e">
        <f>'2025年'!K26</f>
        <v>#DIV/0!</v>
      </c>
      <c r="F23" s="113" t="e">
        <f>'2026年'!K26</f>
        <v>#DIV/0!</v>
      </c>
      <c r="G23" s="113" t="e">
        <f>'2027年'!K26</f>
        <v>#DIV/0!</v>
      </c>
      <c r="H23" s="113" t="e">
        <f>H21-H22</f>
        <v>#DIV/0!</v>
      </c>
      <c r="I23" s="58"/>
      <c r="AJ23" s="108" t="s">
        <v>55</v>
      </c>
      <c r="AK23" s="108" t="s">
        <v>54</v>
      </c>
    </row>
    <row r="24" spans="1:38" ht="15.75" customHeight="1">
      <c r="A24" s="51">
        <v>20</v>
      </c>
      <c r="B24" s="108" t="s">
        <v>56</v>
      </c>
      <c r="C24" s="114">
        <f>(C23/C4)*100%</f>
        <v>-2.587085549689561E-3</v>
      </c>
      <c r="D24" s="114" t="e">
        <f>'2024年'!K27</f>
        <v>#DIV/0!</v>
      </c>
      <c r="E24" s="114" t="e">
        <f>'2025年'!K27</f>
        <v>#DIV/0!</v>
      </c>
      <c r="F24" s="114" t="e">
        <f>'2026年'!K27</f>
        <v>#DIV/0!</v>
      </c>
      <c r="G24" s="114" t="e">
        <f>'2027年'!K27</f>
        <v>#DIV/0!</v>
      </c>
      <c r="H24" s="114" t="e">
        <f>(H23/H4)*100%</f>
        <v>#DIV/0!</v>
      </c>
      <c r="I24" s="58"/>
      <c r="AJ24" s="127" t="s">
        <v>57</v>
      </c>
      <c r="AK24" s="127" t="s">
        <v>58</v>
      </c>
    </row>
    <row r="25" spans="1:38" s="98" customFormat="1" ht="15.75" customHeight="1">
      <c r="C25" s="115"/>
      <c r="D25" s="115"/>
      <c r="E25" s="115"/>
      <c r="F25" s="115"/>
      <c r="G25" s="115"/>
      <c r="H25" s="115"/>
      <c r="I25" s="124"/>
    </row>
    <row r="26" spans="1:38" s="98" customFormat="1" ht="15.75" customHeight="1">
      <c r="A26" s="98" t="s">
        <v>59</v>
      </c>
      <c r="C26" s="116"/>
      <c r="D26" s="116"/>
      <c r="E26" s="116"/>
      <c r="F26" s="116"/>
      <c r="G26" s="116"/>
      <c r="H26" s="116"/>
      <c r="I26" s="124"/>
      <c r="AJ26" s="98" t="s">
        <v>59</v>
      </c>
    </row>
    <row r="27" spans="1:38" ht="15.75" customHeight="1">
      <c r="A27" s="108" t="s">
        <v>12</v>
      </c>
      <c r="B27" s="117" t="s">
        <v>1</v>
      </c>
      <c r="C27" s="101" t="s">
        <v>179</v>
      </c>
      <c r="D27" s="101" t="s">
        <v>180</v>
      </c>
      <c r="E27" s="101" t="s">
        <v>181</v>
      </c>
      <c r="F27" s="101" t="s">
        <v>225</v>
      </c>
      <c r="G27" s="101" t="s">
        <v>236</v>
      </c>
      <c r="H27" s="40" t="s">
        <v>13</v>
      </c>
      <c r="AL27" s="99" t="s">
        <v>14</v>
      </c>
    </row>
    <row r="28" spans="1:38" s="37" customFormat="1" ht="15.75" customHeight="1">
      <c r="A28" s="41" t="s">
        <v>60</v>
      </c>
      <c r="B28" s="44" t="s">
        <v>61</v>
      </c>
      <c r="C28" s="48"/>
      <c r="D28" s="48"/>
      <c r="E28" s="48"/>
      <c r="F28" s="48"/>
      <c r="G28" s="48"/>
      <c r="H28" s="48"/>
      <c r="I28" s="58"/>
      <c r="AJ28" s="41" t="s">
        <v>62</v>
      </c>
      <c r="AK28" s="44" t="s">
        <v>61</v>
      </c>
    </row>
    <row r="29" spans="1:38" s="37" customFormat="1" ht="15.75" customHeight="1">
      <c r="A29" s="41" t="s">
        <v>17</v>
      </c>
      <c r="B29" s="41" t="s">
        <v>63</v>
      </c>
      <c r="C29" s="43">
        <f>+C6/C3</f>
        <v>379.37166666666667</v>
      </c>
      <c r="D29" s="43" t="e">
        <f t="shared" ref="D29:G29" si="2">+D6/D3</f>
        <v>#DIV/0!</v>
      </c>
      <c r="E29" s="43" t="e">
        <f t="shared" si="2"/>
        <v>#DIV/0!</v>
      </c>
      <c r="F29" s="43" t="e">
        <f t="shared" si="2"/>
        <v>#DIV/0!</v>
      </c>
      <c r="G29" s="43" t="e">
        <f t="shared" si="2"/>
        <v>#DIV/0!</v>
      </c>
      <c r="H29" s="43">
        <f>+H6/H3</f>
        <v>379.37166666666667</v>
      </c>
      <c r="I29" s="58"/>
      <c r="AJ29" s="41" t="s">
        <v>17</v>
      </c>
      <c r="AK29" s="41" t="s">
        <v>63</v>
      </c>
    </row>
    <row r="30" spans="1:38" s="37" customFormat="1" ht="15.75" customHeight="1">
      <c r="A30" s="41" t="s">
        <v>19</v>
      </c>
      <c r="B30" s="41" t="s">
        <v>64</v>
      </c>
      <c r="C30" s="43">
        <f>+C7/C3</f>
        <v>273.82166666666666</v>
      </c>
      <c r="D30" s="43" t="e">
        <f t="shared" ref="D30:G30" si="3">+D7/D3</f>
        <v>#DIV/0!</v>
      </c>
      <c r="E30" s="43" t="e">
        <f t="shared" si="3"/>
        <v>#DIV/0!</v>
      </c>
      <c r="F30" s="43" t="e">
        <f t="shared" si="3"/>
        <v>#DIV/0!</v>
      </c>
      <c r="G30" s="43" t="e">
        <f t="shared" si="3"/>
        <v>#DIV/0!</v>
      </c>
      <c r="H30" s="43">
        <f>+H7/H3</f>
        <v>273.82166666666666</v>
      </c>
      <c r="I30" s="58"/>
      <c r="AJ30" s="41" t="s">
        <v>19</v>
      </c>
      <c r="AK30" s="41" t="s">
        <v>64</v>
      </c>
    </row>
    <row r="31" spans="1:38" s="37" customFormat="1" ht="15.75" customHeight="1">
      <c r="A31" s="41" t="s">
        <v>65</v>
      </c>
      <c r="B31" s="41" t="s">
        <v>66</v>
      </c>
      <c r="C31" s="48">
        <f t="shared" ref="C31:H31" si="4">C29-C30</f>
        <v>105.55000000000001</v>
      </c>
      <c r="D31" s="48" t="e">
        <f t="shared" ref="D31:G31" si="5">D29-D30</f>
        <v>#DIV/0!</v>
      </c>
      <c r="E31" s="48" t="e">
        <f t="shared" si="5"/>
        <v>#DIV/0!</v>
      </c>
      <c r="F31" s="48" t="e">
        <f t="shared" si="5"/>
        <v>#DIV/0!</v>
      </c>
      <c r="G31" s="48" t="e">
        <f t="shared" si="5"/>
        <v>#DIV/0!</v>
      </c>
      <c r="H31" s="48">
        <f t="shared" si="4"/>
        <v>105.55000000000001</v>
      </c>
      <c r="I31" s="58"/>
      <c r="AJ31" s="41" t="s">
        <v>65</v>
      </c>
      <c r="AK31" s="41" t="s">
        <v>66</v>
      </c>
    </row>
    <row r="32" spans="1:38" s="37" customFormat="1" ht="15.75" customHeight="1">
      <c r="A32" s="41">
        <v>3.1</v>
      </c>
      <c r="B32" s="41" t="s">
        <v>67</v>
      </c>
      <c r="C32" s="118">
        <f t="shared" ref="C32:H32" si="6">C31/C29</f>
        <v>0.27822320240046045</v>
      </c>
      <c r="D32" s="118" t="e">
        <f t="shared" ref="D32:G32" si="7">D31/D29</f>
        <v>#DIV/0!</v>
      </c>
      <c r="E32" s="118" t="e">
        <f t="shared" si="7"/>
        <v>#DIV/0!</v>
      </c>
      <c r="F32" s="118" t="e">
        <f t="shared" si="7"/>
        <v>#DIV/0!</v>
      </c>
      <c r="G32" s="118" t="e">
        <f t="shared" si="7"/>
        <v>#DIV/0!</v>
      </c>
      <c r="H32" s="118">
        <f t="shared" si="6"/>
        <v>0.27822320240046045</v>
      </c>
      <c r="I32" s="58"/>
      <c r="AJ32" s="41"/>
      <c r="AK32" s="41"/>
    </row>
    <row r="33" spans="1:37" s="37" customFormat="1" ht="15.75" customHeight="1">
      <c r="A33" s="41" t="s">
        <v>62</v>
      </c>
      <c r="B33" s="44" t="s">
        <v>8</v>
      </c>
      <c r="C33" s="48"/>
      <c r="D33" s="48"/>
      <c r="E33" s="48"/>
      <c r="F33" s="48"/>
      <c r="G33" s="48"/>
      <c r="H33" s="48"/>
      <c r="I33" s="58"/>
      <c r="AJ33" s="41" t="s">
        <v>68</v>
      </c>
      <c r="AK33" s="44" t="s">
        <v>8</v>
      </c>
    </row>
    <row r="34" spans="1:37" s="37" customFormat="1" ht="15.75" customHeight="1">
      <c r="A34" s="41" t="s">
        <v>17</v>
      </c>
      <c r="B34" s="49" t="s">
        <v>69</v>
      </c>
      <c r="C34" s="43">
        <f>+C8/C3</f>
        <v>22.056896370998189</v>
      </c>
      <c r="D34" s="43" t="e">
        <f t="shared" ref="D34:G34" si="8">+D8/D3</f>
        <v>#DIV/0!</v>
      </c>
      <c r="E34" s="43" t="e">
        <f t="shared" si="8"/>
        <v>#DIV/0!</v>
      </c>
      <c r="F34" s="43" t="e">
        <f t="shared" si="8"/>
        <v>#DIV/0!</v>
      </c>
      <c r="G34" s="43" t="e">
        <f t="shared" si="8"/>
        <v>#DIV/0!</v>
      </c>
      <c r="H34" s="43">
        <f>+H8/H3</f>
        <v>22.056896370998189</v>
      </c>
      <c r="I34" s="58"/>
      <c r="AJ34" s="41" t="s">
        <v>65</v>
      </c>
      <c r="AK34" s="41" t="s">
        <v>69</v>
      </c>
    </row>
    <row r="35" spans="1:37" s="37" customFormat="1" ht="15.75" customHeight="1">
      <c r="A35" s="41" t="s">
        <v>19</v>
      </c>
      <c r="B35" s="49" t="s">
        <v>70</v>
      </c>
      <c r="C35" s="43">
        <f>+C9/C3</f>
        <v>6.8546226677439099</v>
      </c>
      <c r="D35" s="43" t="e">
        <f t="shared" ref="D35:G35" si="9">+D9/D3</f>
        <v>#DIV/0!</v>
      </c>
      <c r="E35" s="43" t="e">
        <f t="shared" si="9"/>
        <v>#DIV/0!</v>
      </c>
      <c r="F35" s="43" t="e">
        <f t="shared" si="9"/>
        <v>#DIV/0!</v>
      </c>
      <c r="G35" s="43" t="e">
        <f t="shared" si="9"/>
        <v>#DIV/0!</v>
      </c>
      <c r="H35" s="43">
        <f>+H9/H3</f>
        <v>6.8546226677439099</v>
      </c>
      <c r="I35" s="58"/>
      <c r="AJ35" s="41" t="s">
        <v>22</v>
      </c>
      <c r="AK35" s="41" t="s">
        <v>70</v>
      </c>
    </row>
    <row r="36" spans="1:37" s="37" customFormat="1" ht="15.75" customHeight="1">
      <c r="A36" s="41" t="s">
        <v>65</v>
      </c>
      <c r="B36" s="49" t="s">
        <v>71</v>
      </c>
      <c r="C36" s="43">
        <f>+C10/C3</f>
        <v>34.082000000000001</v>
      </c>
      <c r="D36" s="43" t="e">
        <f t="shared" ref="D36:G36" si="10">+D10/D3</f>
        <v>#DIV/0!</v>
      </c>
      <c r="E36" s="43" t="e">
        <f t="shared" si="10"/>
        <v>#DIV/0!</v>
      </c>
      <c r="F36" s="43" t="e">
        <f t="shared" si="10"/>
        <v>#DIV/0!</v>
      </c>
      <c r="G36" s="43" t="e">
        <f t="shared" si="10"/>
        <v>#DIV/0!</v>
      </c>
      <c r="H36" s="43">
        <f>+H10/H3</f>
        <v>34.082000000000001</v>
      </c>
      <c r="I36" s="58"/>
      <c r="AJ36" s="41" t="s">
        <v>28</v>
      </c>
      <c r="AK36" s="41" t="s">
        <v>71</v>
      </c>
    </row>
    <row r="37" spans="1:37" s="37" customFormat="1" ht="15.75" customHeight="1">
      <c r="A37" s="41" t="s">
        <v>72</v>
      </c>
      <c r="B37" s="107" t="s">
        <v>73</v>
      </c>
      <c r="C37" s="43"/>
      <c r="D37" s="43"/>
      <c r="E37" s="43"/>
      <c r="F37" s="43"/>
      <c r="G37" s="43"/>
      <c r="H37" s="43"/>
      <c r="I37" s="58"/>
      <c r="AJ37" s="41" t="s">
        <v>72</v>
      </c>
      <c r="AK37" s="44" t="s">
        <v>73</v>
      </c>
    </row>
    <row r="38" spans="1:37" s="37" customFormat="1">
      <c r="A38" s="41" t="s">
        <v>17</v>
      </c>
      <c r="B38" s="49" t="s">
        <v>74</v>
      </c>
      <c r="C38" s="43">
        <f>+C12/C3</f>
        <v>42.556480961257911</v>
      </c>
      <c r="D38" s="43" t="e">
        <f t="shared" ref="D38:G38" si="11">+D12/D3</f>
        <v>#DIV/0!</v>
      </c>
      <c r="E38" s="43" t="e">
        <f t="shared" si="11"/>
        <v>#DIV/0!</v>
      </c>
      <c r="F38" s="43" t="e">
        <f t="shared" si="11"/>
        <v>#DIV/0!</v>
      </c>
      <c r="G38" s="43" t="e">
        <f t="shared" si="11"/>
        <v>#DIV/0!</v>
      </c>
      <c r="H38" s="43">
        <f>+H12/H3</f>
        <v>42.556480961257904</v>
      </c>
      <c r="I38" s="58"/>
      <c r="AJ38" s="41" t="s">
        <v>17</v>
      </c>
      <c r="AK38" s="41" t="s">
        <v>75</v>
      </c>
    </row>
    <row r="39" spans="1:37" s="37" customFormat="1" ht="15.75" customHeight="1">
      <c r="A39" s="41" t="s">
        <v>19</v>
      </c>
      <c r="B39" s="49" t="s">
        <v>76</v>
      </c>
      <c r="C39" s="102">
        <f t="shared" ref="C39" si="12">+C20/C38</f>
        <v>79798.889872959684</v>
      </c>
      <c r="D39" s="102" t="e">
        <f t="shared" ref="D39:G39" si="13">+D20/D38</f>
        <v>#DIV/0!</v>
      </c>
      <c r="E39" s="102" t="e">
        <f t="shared" si="13"/>
        <v>#DIV/0!</v>
      </c>
      <c r="F39" s="102" t="e">
        <f t="shared" si="13"/>
        <v>#DIV/0!</v>
      </c>
      <c r="G39" s="102" t="e">
        <f t="shared" si="13"/>
        <v>#DIV/0!</v>
      </c>
      <c r="H39" s="164" t="e">
        <f t="shared" ref="H39" si="14">+H20/H38</f>
        <v>#DIV/0!</v>
      </c>
      <c r="I39" s="58"/>
      <c r="AJ39" s="41" t="s">
        <v>19</v>
      </c>
      <c r="AK39" s="41" t="s">
        <v>76</v>
      </c>
    </row>
    <row r="40" spans="1:37" s="37" customFormat="1" ht="15.75" hidden="1" customHeight="1">
      <c r="A40" s="41" t="s">
        <v>77</v>
      </c>
      <c r="B40" s="44" t="s">
        <v>78</v>
      </c>
      <c r="C40" s="48"/>
      <c r="D40" s="48"/>
      <c r="E40" s="48"/>
      <c r="F40" s="48"/>
      <c r="G40" s="48"/>
      <c r="H40" s="48"/>
      <c r="I40" s="58"/>
      <c r="AJ40" s="41" t="s">
        <v>77</v>
      </c>
      <c r="AK40" s="44" t="s">
        <v>78</v>
      </c>
    </row>
    <row r="41" spans="1:37" s="37" customFormat="1" ht="15.75" hidden="1" customHeight="1">
      <c r="A41" s="41" t="s">
        <v>17</v>
      </c>
      <c r="B41" s="41" t="s">
        <v>79</v>
      </c>
      <c r="C41" s="48">
        <f>+C14/C3</f>
        <v>17.071724999999997</v>
      </c>
      <c r="D41" s="48" t="e">
        <f t="shared" ref="D41:G41" si="15">+D14/D3</f>
        <v>#DIV/0!</v>
      </c>
      <c r="E41" s="48"/>
      <c r="F41" s="48"/>
      <c r="G41" s="48" t="e">
        <f t="shared" si="15"/>
        <v>#DIV/0!</v>
      </c>
      <c r="H41" s="48" t="e">
        <f>+H14/H3</f>
        <v>#DIV/0!</v>
      </c>
      <c r="I41" s="58"/>
      <c r="AJ41" s="41" t="s">
        <v>17</v>
      </c>
      <c r="AK41" s="41" t="s">
        <v>79</v>
      </c>
    </row>
    <row r="42" spans="1:37" s="37" customFormat="1" ht="15.75" hidden="1" customHeight="1">
      <c r="A42" s="41" t="s">
        <v>19</v>
      </c>
      <c r="B42" s="41" t="s">
        <v>80</v>
      </c>
      <c r="C42" s="48">
        <f>+C16/C3</f>
        <v>2.9970361666666667</v>
      </c>
      <c r="D42" s="48" t="e">
        <f t="shared" ref="D42:G42" si="16">+D16/D3</f>
        <v>#DIV/0!</v>
      </c>
      <c r="E42" s="48"/>
      <c r="F42" s="48"/>
      <c r="G42" s="48" t="e">
        <f t="shared" si="16"/>
        <v>#DIV/0!</v>
      </c>
      <c r="H42" s="48">
        <f>+H16/H3</f>
        <v>2.9970361666666667</v>
      </c>
      <c r="I42" s="58"/>
      <c r="AJ42" s="41" t="s">
        <v>19</v>
      </c>
      <c r="AK42" s="41" t="s">
        <v>80</v>
      </c>
    </row>
    <row r="43" spans="1:37" s="37" customFormat="1" ht="15.75" hidden="1" customHeight="1">
      <c r="A43" s="41" t="s">
        <v>65</v>
      </c>
      <c r="B43" s="41" t="s">
        <v>81</v>
      </c>
      <c r="C43" s="48">
        <f>+C17/C3</f>
        <v>15.388570251386231</v>
      </c>
      <c r="D43" s="48" t="e">
        <f t="shared" ref="D43:G43" si="17">+D17/D3</f>
        <v>#DIV/0!</v>
      </c>
      <c r="E43" s="48"/>
      <c r="F43" s="48"/>
      <c r="G43" s="48" t="e">
        <f t="shared" si="17"/>
        <v>#DIV/0!</v>
      </c>
      <c r="H43" s="48">
        <f>+H17/H3</f>
        <v>15.388570251386231</v>
      </c>
      <c r="I43" s="58"/>
      <c r="AJ43" s="41" t="s">
        <v>65</v>
      </c>
      <c r="AK43" s="41" t="s">
        <v>81</v>
      </c>
    </row>
    <row r="44" spans="1:37" s="37" customFormat="1" ht="15.75" hidden="1" customHeight="1">
      <c r="A44" s="41" t="s">
        <v>22</v>
      </c>
      <c r="B44" s="41" t="s">
        <v>82</v>
      </c>
      <c r="C44" s="48"/>
      <c r="D44" s="48"/>
      <c r="E44" s="48"/>
      <c r="F44" s="48"/>
      <c r="G44" s="48"/>
      <c r="H44" s="48"/>
      <c r="I44" s="58"/>
      <c r="AJ44" s="41" t="s">
        <v>22</v>
      </c>
      <c r="AK44" s="41" t="s">
        <v>83</v>
      </c>
    </row>
    <row r="45" spans="1:37" s="37" customFormat="1" ht="15.75" hidden="1" customHeight="1">
      <c r="A45" s="41" t="s">
        <v>25</v>
      </c>
      <c r="B45" s="41" t="s">
        <v>84</v>
      </c>
      <c r="C45" s="48"/>
      <c r="D45" s="48"/>
      <c r="E45" s="48"/>
      <c r="F45" s="48"/>
      <c r="G45" s="48"/>
      <c r="H45" s="48"/>
      <c r="I45" s="58"/>
      <c r="AJ45" s="41" t="s">
        <v>25</v>
      </c>
      <c r="AK45" s="41" t="s">
        <v>84</v>
      </c>
    </row>
    <row r="46" spans="1:37" s="37" customFormat="1" ht="15.75" hidden="1" customHeight="1">
      <c r="A46" s="41" t="s">
        <v>85</v>
      </c>
      <c r="B46" s="44" t="s">
        <v>86</v>
      </c>
      <c r="C46" s="48"/>
      <c r="D46" s="48"/>
      <c r="E46" s="48"/>
      <c r="F46" s="48"/>
      <c r="G46" s="48"/>
      <c r="H46" s="48"/>
      <c r="I46" s="58"/>
      <c r="AJ46" s="41" t="s">
        <v>85</v>
      </c>
      <c r="AK46" s="44" t="s">
        <v>86</v>
      </c>
    </row>
    <row r="47" spans="1:37" s="37" customFormat="1" ht="15.75" hidden="1" customHeight="1">
      <c r="A47" s="41" t="s">
        <v>17</v>
      </c>
      <c r="B47" s="41" t="s">
        <v>87</v>
      </c>
      <c r="C47" s="119">
        <f>+(C10+C16)/C6</f>
        <v>9.7738021641046821E-2</v>
      </c>
      <c r="D47" s="119" t="e">
        <f t="shared" ref="D47:G47" si="18">+(D10+D16)/D6</f>
        <v>#DIV/0!</v>
      </c>
      <c r="E47" s="119"/>
      <c r="F47" s="119"/>
      <c r="G47" s="119" t="e">
        <f t="shared" si="18"/>
        <v>#DIV/0!</v>
      </c>
      <c r="H47" s="119">
        <f>+(H10+H16)/H6</f>
        <v>9.7738021641046821E-2</v>
      </c>
      <c r="I47" s="58"/>
      <c r="AJ47" s="41" t="s">
        <v>17</v>
      </c>
      <c r="AK47" s="41" t="s">
        <v>87</v>
      </c>
    </row>
    <row r="48" spans="1:37" s="37" customFormat="1" ht="15.75" hidden="1" customHeight="1">
      <c r="A48" s="41" t="s">
        <v>19</v>
      </c>
      <c r="B48" s="41" t="s">
        <v>88</v>
      </c>
      <c r="C48" s="119">
        <f>+(C8+C9+C14)/C6</f>
        <v>0.12120895701772341</v>
      </c>
      <c r="D48" s="119" t="e">
        <f t="shared" ref="D48:G48" si="19">+(D8+D9+D14)/D6</f>
        <v>#DIV/0!</v>
      </c>
      <c r="E48" s="119"/>
      <c r="F48" s="119"/>
      <c r="G48" s="119" t="e">
        <f t="shared" si="19"/>
        <v>#DIV/0!</v>
      </c>
      <c r="H48" s="119" t="e">
        <f>+(H8+H9+H14)/H6</f>
        <v>#DIV/0!</v>
      </c>
      <c r="I48" s="58"/>
      <c r="AJ48" s="41" t="s">
        <v>19</v>
      </c>
      <c r="AK48" s="41" t="s">
        <v>88</v>
      </c>
    </row>
    <row r="49" spans="1:37" s="37" customFormat="1" ht="15.75" hidden="1" customHeight="1">
      <c r="A49" s="41" t="s">
        <v>65</v>
      </c>
      <c r="B49" s="41" t="s">
        <v>89</v>
      </c>
      <c r="C49" s="119">
        <f>+C17/C6</f>
        <v>4.0563309291379773E-2</v>
      </c>
      <c r="D49" s="119" t="e">
        <f t="shared" ref="D49:G49" si="20">+D17/D6</f>
        <v>#DIV/0!</v>
      </c>
      <c r="E49" s="119"/>
      <c r="F49" s="119"/>
      <c r="G49" s="119" t="e">
        <f t="shared" si="20"/>
        <v>#DIV/0!</v>
      </c>
      <c r="H49" s="119">
        <f>+H17/H6</f>
        <v>4.0563309291379773E-2</v>
      </c>
      <c r="I49" s="58"/>
      <c r="AJ49" s="41" t="s">
        <v>65</v>
      </c>
      <c r="AK49" s="41" t="s">
        <v>89</v>
      </c>
    </row>
    <row r="50" spans="1:37" s="37" customFormat="1" ht="15.75" hidden="1" customHeight="1">
      <c r="A50" s="41" t="s">
        <v>22</v>
      </c>
      <c r="B50" s="41" t="s">
        <v>90</v>
      </c>
      <c r="C50" s="119">
        <f>+C18/C6</f>
        <v>0</v>
      </c>
      <c r="D50" s="119" t="e">
        <f t="shared" ref="D50:G50" si="21">+D18/D6</f>
        <v>#DIV/0!</v>
      </c>
      <c r="E50" s="119"/>
      <c r="F50" s="119"/>
      <c r="G50" s="119" t="e">
        <f t="shared" si="21"/>
        <v>#DIV/0!</v>
      </c>
      <c r="H50" s="119">
        <f>+H18/H6</f>
        <v>0</v>
      </c>
      <c r="I50" s="58"/>
      <c r="AJ50" s="41" t="s">
        <v>22</v>
      </c>
      <c r="AK50" s="41" t="s">
        <v>90</v>
      </c>
    </row>
    <row r="51" spans="1:37" s="37" customFormat="1" ht="15.75" hidden="1" customHeight="1">
      <c r="A51" s="41" t="s">
        <v>25</v>
      </c>
      <c r="B51" s="41" t="s">
        <v>91</v>
      </c>
      <c r="C51" s="119">
        <f>+C19/C6</f>
        <v>2.1300000000000003E-2</v>
      </c>
      <c r="D51" s="119" t="e">
        <f t="shared" ref="D51:G51" si="22">+D19/D6</f>
        <v>#DIV/0!</v>
      </c>
      <c r="E51" s="119"/>
      <c r="F51" s="119"/>
      <c r="G51" s="119" t="e">
        <f t="shared" si="22"/>
        <v>#DIV/0!</v>
      </c>
      <c r="H51" s="119">
        <f>+H19/H6</f>
        <v>2.1300000000000003E-2</v>
      </c>
      <c r="I51" s="58"/>
      <c r="AJ51" s="41" t="s">
        <v>25</v>
      </c>
      <c r="AK51" s="41" t="s">
        <v>91</v>
      </c>
    </row>
    <row r="52" spans="1:37" s="37" customFormat="1" ht="15.75" hidden="1" customHeight="1">
      <c r="A52" s="41" t="s">
        <v>28</v>
      </c>
      <c r="B52" s="41" t="s">
        <v>92</v>
      </c>
      <c r="C52" s="119">
        <f>+C23/C6</f>
        <v>-2.587085549689561E-3</v>
      </c>
      <c r="D52" s="119" t="e">
        <f t="shared" ref="D52:G52" si="23">+D23/D6</f>
        <v>#DIV/0!</v>
      </c>
      <c r="E52" s="119"/>
      <c r="F52" s="119"/>
      <c r="G52" s="119" t="e">
        <f t="shared" si="23"/>
        <v>#DIV/0!</v>
      </c>
      <c r="H52" s="119" t="e">
        <f>+H23/H6</f>
        <v>#DIV/0!</v>
      </c>
      <c r="I52" s="58"/>
      <c r="AJ52" s="41" t="s">
        <v>28</v>
      </c>
      <c r="AK52" s="41" t="s">
        <v>93</v>
      </c>
    </row>
    <row r="53" spans="1:37" s="37" customFormat="1" ht="15.75" hidden="1" customHeight="1">
      <c r="A53" s="41" t="s">
        <v>94</v>
      </c>
      <c r="B53" s="44" t="s">
        <v>95</v>
      </c>
      <c r="C53" s="48">
        <f>+C21/C3</f>
        <v>-0.98146695679497831</v>
      </c>
      <c r="D53" s="48" t="e">
        <f t="shared" ref="D53:G53" si="24">+D21/D3</f>
        <v>#DIV/0!</v>
      </c>
      <c r="E53" s="48"/>
      <c r="F53" s="48"/>
      <c r="G53" s="48" t="e">
        <f t="shared" si="24"/>
        <v>#DIV/0!</v>
      </c>
      <c r="H53" s="48" t="e">
        <f>+H21/H3</f>
        <v>#DIV/0!</v>
      </c>
      <c r="I53" s="58"/>
      <c r="AJ53" s="41" t="s">
        <v>94</v>
      </c>
      <c r="AK53" s="44" t="s">
        <v>95</v>
      </c>
    </row>
    <row r="54" spans="1:37" s="37" customFormat="1" ht="15.75" hidden="1" customHeight="1">
      <c r="A54" s="41" t="s">
        <v>96</v>
      </c>
      <c r="B54" s="120" t="s">
        <v>97</v>
      </c>
      <c r="C54" s="48"/>
      <c r="D54" s="48"/>
      <c r="E54" s="48"/>
      <c r="F54" s="48"/>
      <c r="G54" s="48"/>
      <c r="H54" s="48"/>
      <c r="I54" s="58"/>
      <c r="AJ54" s="41"/>
      <c r="AK54" s="44"/>
    </row>
    <row r="55" spans="1:37" s="37" customFormat="1" ht="15.75" hidden="1" customHeight="1">
      <c r="A55" s="41" t="s">
        <v>17</v>
      </c>
      <c r="B55" s="41" t="s">
        <v>98</v>
      </c>
      <c r="C55" s="48">
        <f>C56+C57</f>
        <v>0</v>
      </c>
      <c r="D55" s="48"/>
      <c r="E55" s="48"/>
      <c r="F55" s="48"/>
      <c r="G55" s="48"/>
      <c r="H55" s="48"/>
      <c r="I55" s="58"/>
    </row>
    <row r="56" spans="1:37" s="37" customFormat="1" ht="15.75" hidden="1" customHeight="1">
      <c r="A56" s="41">
        <v>1.1000000000000001</v>
      </c>
      <c r="B56" s="121" t="s">
        <v>99</v>
      </c>
      <c r="C56" s="48">
        <f>项目投资!B27</f>
        <v>0</v>
      </c>
      <c r="D56" s="48"/>
      <c r="E56" s="48"/>
      <c r="F56" s="48"/>
      <c r="G56" s="48"/>
      <c r="H56" s="48"/>
      <c r="I56" s="58"/>
    </row>
    <row r="57" spans="1:37" s="37" customFormat="1" ht="15.75" hidden="1" customHeight="1">
      <c r="A57" s="41">
        <v>1.2</v>
      </c>
      <c r="B57" s="41" t="s">
        <v>100</v>
      </c>
      <c r="C57" s="48">
        <f>项目投资!B26</f>
        <v>0</v>
      </c>
      <c r="D57" s="48"/>
      <c r="E57" s="48"/>
      <c r="F57" s="48"/>
      <c r="G57" s="48"/>
      <c r="H57" s="48"/>
      <c r="I57" s="58"/>
    </row>
    <row r="58" spans="1:37" ht="15.75" hidden="1" customHeight="1">
      <c r="A58" s="108" t="s">
        <v>19</v>
      </c>
      <c r="B58" s="108" t="s">
        <v>101</v>
      </c>
      <c r="C58" s="122">
        <f t="shared" ref="C58:G58" si="25">C59+C60</f>
        <v>-76554.42263000831</v>
      </c>
      <c r="D58" s="122" t="e">
        <f t="shared" si="25"/>
        <v>#DIV/0!</v>
      </c>
      <c r="E58" s="122"/>
      <c r="F58" s="122"/>
      <c r="G58" s="122" t="e">
        <f t="shared" si="25"/>
        <v>#DIV/0!</v>
      </c>
      <c r="H58" s="122" t="e">
        <f t="shared" ref="H58" si="26">H59+H60</f>
        <v>#DIV/0!</v>
      </c>
      <c r="I58" s="58"/>
    </row>
    <row r="59" spans="1:37" ht="15.75" hidden="1" customHeight="1">
      <c r="A59" s="108" t="s">
        <v>65</v>
      </c>
      <c r="B59" s="108" t="s">
        <v>102</v>
      </c>
      <c r="C59" s="122">
        <f t="shared" ref="C59:G59" si="27">C23</f>
        <v>-76554.42263000831</v>
      </c>
      <c r="D59" s="122" t="e">
        <f t="shared" si="27"/>
        <v>#DIV/0!</v>
      </c>
      <c r="E59" s="122"/>
      <c r="F59" s="122"/>
      <c r="G59" s="122" t="e">
        <f t="shared" si="27"/>
        <v>#DIV/0!</v>
      </c>
      <c r="H59" s="122" t="e">
        <f t="shared" ref="H59" si="28">H23</f>
        <v>#DIV/0!</v>
      </c>
      <c r="I59" s="58"/>
    </row>
    <row r="60" spans="1:37" ht="15.75" hidden="1" customHeight="1">
      <c r="A60" s="108" t="s">
        <v>22</v>
      </c>
      <c r="B60" s="108" t="s">
        <v>103</v>
      </c>
      <c r="C60" s="122">
        <f>'2023年'!K18</f>
        <v>0</v>
      </c>
      <c r="D60" s="122">
        <f>'2024年'!K18</f>
        <v>0</v>
      </c>
      <c r="E60" s="122"/>
      <c r="F60" s="122"/>
      <c r="G60" s="122">
        <f>'2027年'!K18</f>
        <v>0</v>
      </c>
      <c r="H60" s="122">
        <f>项目投资!I26</f>
        <v>0</v>
      </c>
      <c r="I60" s="58"/>
    </row>
    <row r="61" spans="1:37" ht="15.75" hidden="1" customHeight="1">
      <c r="A61" s="108" t="s">
        <v>25</v>
      </c>
      <c r="B61" s="108" t="s">
        <v>104</v>
      </c>
      <c r="C61" s="123"/>
      <c r="D61" s="123"/>
      <c r="E61" s="123"/>
      <c r="F61" s="123"/>
      <c r="G61" s="123"/>
      <c r="H61" s="122"/>
      <c r="I61" s="58"/>
    </row>
    <row r="63" spans="1:37">
      <c r="B63"/>
    </row>
  </sheetData>
  <mergeCells count="2">
    <mergeCell ref="A1:H1"/>
    <mergeCell ref="A2:A3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2" customWidth="1"/>
    <col min="2" max="2" width="28.5" style="62" customWidth="1"/>
    <col min="3" max="4" width="9.125" style="62"/>
    <col min="5" max="5" width="13.875" style="62" customWidth="1"/>
    <col min="6" max="12" width="16.125" style="62" customWidth="1"/>
    <col min="13" max="13" width="10.625" style="62" customWidth="1"/>
    <col min="14" max="254" width="9.125" style="62"/>
    <col min="255" max="255" width="8" style="62" customWidth="1"/>
    <col min="256" max="256" width="28.5" style="62" customWidth="1"/>
    <col min="257" max="268" width="9.125" style="62"/>
    <col min="269" max="269" width="10.625" style="62" customWidth="1"/>
    <col min="270" max="510" width="9.125" style="62"/>
    <col min="511" max="511" width="8" style="62" customWidth="1"/>
    <col min="512" max="512" width="28.5" style="62" customWidth="1"/>
    <col min="513" max="524" width="9.125" style="62"/>
    <col min="525" max="525" width="10.625" style="62" customWidth="1"/>
    <col min="526" max="766" width="9.125" style="62"/>
    <col min="767" max="767" width="8" style="62" customWidth="1"/>
    <col min="768" max="768" width="28.5" style="62" customWidth="1"/>
    <col min="769" max="780" width="9.125" style="62"/>
    <col min="781" max="781" width="10.625" style="62" customWidth="1"/>
    <col min="782" max="1022" width="9.125" style="62"/>
    <col min="1023" max="1023" width="8" style="62" customWidth="1"/>
    <col min="1024" max="1024" width="28.5" style="62" customWidth="1"/>
    <col min="1025" max="1036" width="9.125" style="62"/>
    <col min="1037" max="1037" width="10.625" style="62" customWidth="1"/>
    <col min="1038" max="1278" width="9.125" style="62"/>
    <col min="1279" max="1279" width="8" style="62" customWidth="1"/>
    <col min="1280" max="1280" width="28.5" style="62" customWidth="1"/>
    <col min="1281" max="1292" width="9.125" style="62"/>
    <col min="1293" max="1293" width="10.625" style="62" customWidth="1"/>
    <col min="1294" max="1534" width="9.125" style="62"/>
    <col min="1535" max="1535" width="8" style="62" customWidth="1"/>
    <col min="1536" max="1536" width="28.5" style="62" customWidth="1"/>
    <col min="1537" max="1548" width="9.125" style="62"/>
    <col min="1549" max="1549" width="10.625" style="62" customWidth="1"/>
    <col min="1550" max="1790" width="9.125" style="62"/>
    <col min="1791" max="1791" width="8" style="62" customWidth="1"/>
    <col min="1792" max="1792" width="28.5" style="62" customWidth="1"/>
    <col min="1793" max="1804" width="9.125" style="62"/>
    <col min="1805" max="1805" width="10.625" style="62" customWidth="1"/>
    <col min="1806" max="2046" width="9.125" style="62"/>
    <col min="2047" max="2047" width="8" style="62" customWidth="1"/>
    <col min="2048" max="2048" width="28.5" style="62" customWidth="1"/>
    <col min="2049" max="2060" width="9.125" style="62"/>
    <col min="2061" max="2061" width="10.625" style="62" customWidth="1"/>
    <col min="2062" max="2302" width="9.125" style="62"/>
    <col min="2303" max="2303" width="8" style="62" customWidth="1"/>
    <col min="2304" max="2304" width="28.5" style="62" customWidth="1"/>
    <col min="2305" max="2316" width="9.125" style="62"/>
    <col min="2317" max="2317" width="10.625" style="62" customWidth="1"/>
    <col min="2318" max="2558" width="9.125" style="62"/>
    <col min="2559" max="2559" width="8" style="62" customWidth="1"/>
    <col min="2560" max="2560" width="28.5" style="62" customWidth="1"/>
    <col min="2561" max="2572" width="9.125" style="62"/>
    <col min="2573" max="2573" width="10.625" style="62" customWidth="1"/>
    <col min="2574" max="2814" width="9.125" style="62"/>
    <col min="2815" max="2815" width="8" style="62" customWidth="1"/>
    <col min="2816" max="2816" width="28.5" style="62" customWidth="1"/>
    <col min="2817" max="2828" width="9.125" style="62"/>
    <col min="2829" max="2829" width="10.625" style="62" customWidth="1"/>
    <col min="2830" max="3070" width="9.125" style="62"/>
    <col min="3071" max="3071" width="8" style="62" customWidth="1"/>
    <col min="3072" max="3072" width="28.5" style="62" customWidth="1"/>
    <col min="3073" max="3084" width="9.125" style="62"/>
    <col min="3085" max="3085" width="10.625" style="62" customWidth="1"/>
    <col min="3086" max="3326" width="9.125" style="62"/>
    <col min="3327" max="3327" width="8" style="62" customWidth="1"/>
    <col min="3328" max="3328" width="28.5" style="62" customWidth="1"/>
    <col min="3329" max="3340" width="9.125" style="62"/>
    <col min="3341" max="3341" width="10.625" style="62" customWidth="1"/>
    <col min="3342" max="3582" width="9.125" style="62"/>
    <col min="3583" max="3583" width="8" style="62" customWidth="1"/>
    <col min="3584" max="3584" width="28.5" style="62" customWidth="1"/>
    <col min="3585" max="3596" width="9.125" style="62"/>
    <col min="3597" max="3597" width="10.625" style="62" customWidth="1"/>
    <col min="3598" max="3838" width="9.125" style="62"/>
    <col min="3839" max="3839" width="8" style="62" customWidth="1"/>
    <col min="3840" max="3840" width="28.5" style="62" customWidth="1"/>
    <col min="3841" max="3852" width="9.125" style="62"/>
    <col min="3853" max="3853" width="10.625" style="62" customWidth="1"/>
    <col min="3854" max="4094" width="9.125" style="62"/>
    <col min="4095" max="4095" width="8" style="62" customWidth="1"/>
    <col min="4096" max="4096" width="28.5" style="62" customWidth="1"/>
    <col min="4097" max="4108" width="9.125" style="62"/>
    <col min="4109" max="4109" width="10.625" style="62" customWidth="1"/>
    <col min="4110" max="4350" width="9.125" style="62"/>
    <col min="4351" max="4351" width="8" style="62" customWidth="1"/>
    <col min="4352" max="4352" width="28.5" style="62" customWidth="1"/>
    <col min="4353" max="4364" width="9.125" style="62"/>
    <col min="4365" max="4365" width="10.625" style="62" customWidth="1"/>
    <col min="4366" max="4606" width="9.125" style="62"/>
    <col min="4607" max="4607" width="8" style="62" customWidth="1"/>
    <col min="4608" max="4608" width="28.5" style="62" customWidth="1"/>
    <col min="4609" max="4620" width="9.125" style="62"/>
    <col min="4621" max="4621" width="10.625" style="62" customWidth="1"/>
    <col min="4622" max="4862" width="9.125" style="62"/>
    <col min="4863" max="4863" width="8" style="62" customWidth="1"/>
    <col min="4864" max="4864" width="28.5" style="62" customWidth="1"/>
    <col min="4865" max="4876" width="9.125" style="62"/>
    <col min="4877" max="4877" width="10.625" style="62" customWidth="1"/>
    <col min="4878" max="5118" width="9.125" style="62"/>
    <col min="5119" max="5119" width="8" style="62" customWidth="1"/>
    <col min="5120" max="5120" width="28.5" style="62" customWidth="1"/>
    <col min="5121" max="5132" width="9.125" style="62"/>
    <col min="5133" max="5133" width="10.625" style="62" customWidth="1"/>
    <col min="5134" max="5374" width="9.125" style="62"/>
    <col min="5375" max="5375" width="8" style="62" customWidth="1"/>
    <col min="5376" max="5376" width="28.5" style="62" customWidth="1"/>
    <col min="5377" max="5388" width="9.125" style="62"/>
    <col min="5389" max="5389" width="10.625" style="62" customWidth="1"/>
    <col min="5390" max="5630" width="9.125" style="62"/>
    <col min="5631" max="5631" width="8" style="62" customWidth="1"/>
    <col min="5632" max="5632" width="28.5" style="62" customWidth="1"/>
    <col min="5633" max="5644" width="9.125" style="62"/>
    <col min="5645" max="5645" width="10.625" style="62" customWidth="1"/>
    <col min="5646" max="5886" width="9.125" style="62"/>
    <col min="5887" max="5887" width="8" style="62" customWidth="1"/>
    <col min="5888" max="5888" width="28.5" style="62" customWidth="1"/>
    <col min="5889" max="5900" width="9.125" style="62"/>
    <col min="5901" max="5901" width="10.625" style="62" customWidth="1"/>
    <col min="5902" max="6142" width="9.125" style="62"/>
    <col min="6143" max="6143" width="8" style="62" customWidth="1"/>
    <col min="6144" max="6144" width="28.5" style="62" customWidth="1"/>
    <col min="6145" max="6156" width="9.125" style="62"/>
    <col min="6157" max="6157" width="10.625" style="62" customWidth="1"/>
    <col min="6158" max="6398" width="9.125" style="62"/>
    <col min="6399" max="6399" width="8" style="62" customWidth="1"/>
    <col min="6400" max="6400" width="28.5" style="62" customWidth="1"/>
    <col min="6401" max="6412" width="9.125" style="62"/>
    <col min="6413" max="6413" width="10.625" style="62" customWidth="1"/>
    <col min="6414" max="6654" width="9.125" style="62"/>
    <col min="6655" max="6655" width="8" style="62" customWidth="1"/>
    <col min="6656" max="6656" width="28.5" style="62" customWidth="1"/>
    <col min="6657" max="6668" width="9.125" style="62"/>
    <col min="6669" max="6669" width="10.625" style="62" customWidth="1"/>
    <col min="6670" max="6910" width="9.125" style="62"/>
    <col min="6911" max="6911" width="8" style="62" customWidth="1"/>
    <col min="6912" max="6912" width="28.5" style="62" customWidth="1"/>
    <col min="6913" max="6924" width="9.125" style="62"/>
    <col min="6925" max="6925" width="10.625" style="62" customWidth="1"/>
    <col min="6926" max="7166" width="9.125" style="62"/>
    <col min="7167" max="7167" width="8" style="62" customWidth="1"/>
    <col min="7168" max="7168" width="28.5" style="62" customWidth="1"/>
    <col min="7169" max="7180" width="9.125" style="62"/>
    <col min="7181" max="7181" width="10.625" style="62" customWidth="1"/>
    <col min="7182" max="7422" width="9.125" style="62"/>
    <col min="7423" max="7423" width="8" style="62" customWidth="1"/>
    <col min="7424" max="7424" width="28.5" style="62" customWidth="1"/>
    <col min="7425" max="7436" width="9.125" style="62"/>
    <col min="7437" max="7437" width="10.625" style="62" customWidth="1"/>
    <col min="7438" max="7678" width="9.125" style="62"/>
    <col min="7679" max="7679" width="8" style="62" customWidth="1"/>
    <col min="7680" max="7680" width="28.5" style="62" customWidth="1"/>
    <col min="7681" max="7692" width="9.125" style="62"/>
    <col min="7693" max="7693" width="10.625" style="62" customWidth="1"/>
    <col min="7694" max="7934" width="9.125" style="62"/>
    <col min="7935" max="7935" width="8" style="62" customWidth="1"/>
    <col min="7936" max="7936" width="28.5" style="62" customWidth="1"/>
    <col min="7937" max="7948" width="9.125" style="62"/>
    <col min="7949" max="7949" width="10.625" style="62" customWidth="1"/>
    <col min="7950" max="8190" width="9.125" style="62"/>
    <col min="8191" max="8191" width="8" style="62" customWidth="1"/>
    <col min="8192" max="8192" width="28.5" style="62" customWidth="1"/>
    <col min="8193" max="8204" width="9.125" style="62"/>
    <col min="8205" max="8205" width="10.625" style="62" customWidth="1"/>
    <col min="8206" max="8446" width="9.125" style="62"/>
    <col min="8447" max="8447" width="8" style="62" customWidth="1"/>
    <col min="8448" max="8448" width="28.5" style="62" customWidth="1"/>
    <col min="8449" max="8460" width="9.125" style="62"/>
    <col min="8461" max="8461" width="10.625" style="62" customWidth="1"/>
    <col min="8462" max="8702" width="9.125" style="62"/>
    <col min="8703" max="8703" width="8" style="62" customWidth="1"/>
    <col min="8704" max="8704" width="28.5" style="62" customWidth="1"/>
    <col min="8705" max="8716" width="9.125" style="62"/>
    <col min="8717" max="8717" width="10.625" style="62" customWidth="1"/>
    <col min="8718" max="8958" width="9.125" style="62"/>
    <col min="8959" max="8959" width="8" style="62" customWidth="1"/>
    <col min="8960" max="8960" width="28.5" style="62" customWidth="1"/>
    <col min="8961" max="8972" width="9.125" style="62"/>
    <col min="8973" max="8973" width="10.625" style="62" customWidth="1"/>
    <col min="8974" max="9214" width="9.125" style="62"/>
    <col min="9215" max="9215" width="8" style="62" customWidth="1"/>
    <col min="9216" max="9216" width="28.5" style="62" customWidth="1"/>
    <col min="9217" max="9228" width="9.125" style="62"/>
    <col min="9229" max="9229" width="10.625" style="62" customWidth="1"/>
    <col min="9230" max="9470" width="9.125" style="62"/>
    <col min="9471" max="9471" width="8" style="62" customWidth="1"/>
    <col min="9472" max="9472" width="28.5" style="62" customWidth="1"/>
    <col min="9473" max="9484" width="9.125" style="62"/>
    <col min="9485" max="9485" width="10.625" style="62" customWidth="1"/>
    <col min="9486" max="9726" width="9.125" style="62"/>
    <col min="9727" max="9727" width="8" style="62" customWidth="1"/>
    <col min="9728" max="9728" width="28.5" style="62" customWidth="1"/>
    <col min="9729" max="9740" width="9.125" style="62"/>
    <col min="9741" max="9741" width="10.625" style="62" customWidth="1"/>
    <col min="9742" max="9982" width="9.125" style="62"/>
    <col min="9983" max="9983" width="8" style="62" customWidth="1"/>
    <col min="9984" max="9984" width="28.5" style="62" customWidth="1"/>
    <col min="9985" max="9996" width="9.125" style="62"/>
    <col min="9997" max="9997" width="10.625" style="62" customWidth="1"/>
    <col min="9998" max="10238" width="9.125" style="62"/>
    <col min="10239" max="10239" width="8" style="62" customWidth="1"/>
    <col min="10240" max="10240" width="28.5" style="62" customWidth="1"/>
    <col min="10241" max="10252" width="9.125" style="62"/>
    <col min="10253" max="10253" width="10.625" style="62" customWidth="1"/>
    <col min="10254" max="10494" width="9.125" style="62"/>
    <col min="10495" max="10495" width="8" style="62" customWidth="1"/>
    <col min="10496" max="10496" width="28.5" style="62" customWidth="1"/>
    <col min="10497" max="10508" width="9.125" style="62"/>
    <col min="10509" max="10509" width="10.625" style="62" customWidth="1"/>
    <col min="10510" max="10750" width="9.125" style="62"/>
    <col min="10751" max="10751" width="8" style="62" customWidth="1"/>
    <col min="10752" max="10752" width="28.5" style="62" customWidth="1"/>
    <col min="10753" max="10764" width="9.125" style="62"/>
    <col min="10765" max="10765" width="10.625" style="62" customWidth="1"/>
    <col min="10766" max="11006" width="9.125" style="62"/>
    <col min="11007" max="11007" width="8" style="62" customWidth="1"/>
    <col min="11008" max="11008" width="28.5" style="62" customWidth="1"/>
    <col min="11009" max="11020" width="9.125" style="62"/>
    <col min="11021" max="11021" width="10.625" style="62" customWidth="1"/>
    <col min="11022" max="11262" width="9.125" style="62"/>
    <col min="11263" max="11263" width="8" style="62" customWidth="1"/>
    <col min="11264" max="11264" width="28.5" style="62" customWidth="1"/>
    <col min="11265" max="11276" width="9.125" style="62"/>
    <col min="11277" max="11277" width="10.625" style="62" customWidth="1"/>
    <col min="11278" max="11518" width="9.125" style="62"/>
    <col min="11519" max="11519" width="8" style="62" customWidth="1"/>
    <col min="11520" max="11520" width="28.5" style="62" customWidth="1"/>
    <col min="11521" max="11532" width="9.125" style="62"/>
    <col min="11533" max="11533" width="10.625" style="62" customWidth="1"/>
    <col min="11534" max="11774" width="9.125" style="62"/>
    <col min="11775" max="11775" width="8" style="62" customWidth="1"/>
    <col min="11776" max="11776" width="28.5" style="62" customWidth="1"/>
    <col min="11777" max="11788" width="9.125" style="62"/>
    <col min="11789" max="11789" width="10.625" style="62" customWidth="1"/>
    <col min="11790" max="12030" width="9.125" style="62"/>
    <col min="12031" max="12031" width="8" style="62" customWidth="1"/>
    <col min="12032" max="12032" width="28.5" style="62" customWidth="1"/>
    <col min="12033" max="12044" width="9.125" style="62"/>
    <col min="12045" max="12045" width="10.625" style="62" customWidth="1"/>
    <col min="12046" max="12286" width="9.125" style="62"/>
    <col min="12287" max="12287" width="8" style="62" customWidth="1"/>
    <col min="12288" max="12288" width="28.5" style="62" customWidth="1"/>
    <col min="12289" max="12300" width="9.125" style="62"/>
    <col min="12301" max="12301" width="10.625" style="62" customWidth="1"/>
    <col min="12302" max="12542" width="9.125" style="62"/>
    <col min="12543" max="12543" width="8" style="62" customWidth="1"/>
    <col min="12544" max="12544" width="28.5" style="62" customWidth="1"/>
    <col min="12545" max="12556" width="9.125" style="62"/>
    <col min="12557" max="12557" width="10.625" style="62" customWidth="1"/>
    <col min="12558" max="12798" width="9.125" style="62"/>
    <col min="12799" max="12799" width="8" style="62" customWidth="1"/>
    <col min="12800" max="12800" width="28.5" style="62" customWidth="1"/>
    <col min="12801" max="12812" width="9.125" style="62"/>
    <col min="12813" max="12813" width="10.625" style="62" customWidth="1"/>
    <col min="12814" max="13054" width="9.125" style="62"/>
    <col min="13055" max="13055" width="8" style="62" customWidth="1"/>
    <col min="13056" max="13056" width="28.5" style="62" customWidth="1"/>
    <col min="13057" max="13068" width="9.125" style="62"/>
    <col min="13069" max="13069" width="10.625" style="62" customWidth="1"/>
    <col min="13070" max="13310" width="9.125" style="62"/>
    <col min="13311" max="13311" width="8" style="62" customWidth="1"/>
    <col min="13312" max="13312" width="28.5" style="62" customWidth="1"/>
    <col min="13313" max="13324" width="9.125" style="62"/>
    <col min="13325" max="13325" width="10.625" style="62" customWidth="1"/>
    <col min="13326" max="13566" width="9.125" style="62"/>
    <col min="13567" max="13567" width="8" style="62" customWidth="1"/>
    <col min="13568" max="13568" width="28.5" style="62" customWidth="1"/>
    <col min="13569" max="13580" width="9.125" style="62"/>
    <col min="13581" max="13581" width="10.625" style="62" customWidth="1"/>
    <col min="13582" max="13822" width="9.125" style="62"/>
    <col min="13823" max="13823" width="8" style="62" customWidth="1"/>
    <col min="13824" max="13824" width="28.5" style="62" customWidth="1"/>
    <col min="13825" max="13836" width="9.125" style="62"/>
    <col min="13837" max="13837" width="10.625" style="62" customWidth="1"/>
    <col min="13838" max="14078" width="9.125" style="62"/>
    <col min="14079" max="14079" width="8" style="62" customWidth="1"/>
    <col min="14080" max="14080" width="28.5" style="62" customWidth="1"/>
    <col min="14081" max="14092" width="9.125" style="62"/>
    <col min="14093" max="14093" width="10.625" style="62" customWidth="1"/>
    <col min="14094" max="14334" width="9.125" style="62"/>
    <col min="14335" max="14335" width="8" style="62" customWidth="1"/>
    <col min="14336" max="14336" width="28.5" style="62" customWidth="1"/>
    <col min="14337" max="14348" width="9.125" style="62"/>
    <col min="14349" max="14349" width="10.625" style="62" customWidth="1"/>
    <col min="14350" max="14590" width="9.125" style="62"/>
    <col min="14591" max="14591" width="8" style="62" customWidth="1"/>
    <col min="14592" max="14592" width="28.5" style="62" customWidth="1"/>
    <col min="14593" max="14604" width="9.125" style="62"/>
    <col min="14605" max="14605" width="10.625" style="62" customWidth="1"/>
    <col min="14606" max="14846" width="9.125" style="62"/>
    <col min="14847" max="14847" width="8" style="62" customWidth="1"/>
    <col min="14848" max="14848" width="28.5" style="62" customWidth="1"/>
    <col min="14849" max="14860" width="9.125" style="62"/>
    <col min="14861" max="14861" width="10.625" style="62" customWidth="1"/>
    <col min="14862" max="15102" width="9.125" style="62"/>
    <col min="15103" max="15103" width="8" style="62" customWidth="1"/>
    <col min="15104" max="15104" width="28.5" style="62" customWidth="1"/>
    <col min="15105" max="15116" width="9.125" style="62"/>
    <col min="15117" max="15117" width="10.625" style="62" customWidth="1"/>
    <col min="15118" max="15358" width="9.125" style="62"/>
    <col min="15359" max="15359" width="8" style="62" customWidth="1"/>
    <col min="15360" max="15360" width="28.5" style="62" customWidth="1"/>
    <col min="15361" max="15372" width="9.125" style="62"/>
    <col min="15373" max="15373" width="10.625" style="62" customWidth="1"/>
    <col min="15374" max="15614" width="9.125" style="62"/>
    <col min="15615" max="15615" width="8" style="62" customWidth="1"/>
    <col min="15616" max="15616" width="28.5" style="62" customWidth="1"/>
    <col min="15617" max="15628" width="9.125" style="62"/>
    <col min="15629" max="15629" width="10.625" style="62" customWidth="1"/>
    <col min="15630" max="15870" width="9.125" style="62"/>
    <col min="15871" max="15871" width="8" style="62" customWidth="1"/>
    <col min="15872" max="15872" width="28.5" style="62" customWidth="1"/>
    <col min="15873" max="15884" width="9.125" style="62"/>
    <col min="15885" max="15885" width="10.625" style="62" customWidth="1"/>
    <col min="15886" max="16126" width="9.125" style="62"/>
    <col min="16127" max="16127" width="8" style="62" customWidth="1"/>
    <col min="16128" max="16128" width="28.5" style="62" customWidth="1"/>
    <col min="16129" max="16140" width="9.125" style="62"/>
    <col min="16141" max="16141" width="10.625" style="62" customWidth="1"/>
    <col min="16142" max="16384" width="9.125" style="62"/>
  </cols>
  <sheetData>
    <row r="1" spans="1:13" ht="18.75">
      <c r="A1" s="63" t="s">
        <v>105</v>
      </c>
      <c r="B1" s="64"/>
      <c r="C1" s="65"/>
      <c r="D1" s="65"/>
      <c r="E1" s="64"/>
      <c r="F1" s="65"/>
      <c r="G1" s="65"/>
      <c r="H1" s="64"/>
      <c r="I1" s="65"/>
      <c r="J1" s="65"/>
      <c r="K1" s="65"/>
      <c r="L1" s="65"/>
      <c r="M1" s="65"/>
    </row>
    <row r="2" spans="1:13" ht="12">
      <c r="A2" s="62" t="s">
        <v>106</v>
      </c>
      <c r="B2" s="66"/>
    </row>
    <row r="3" spans="1:13" ht="16.899999999999999" customHeight="1">
      <c r="A3" s="67" t="s">
        <v>12</v>
      </c>
      <c r="B3" s="67" t="s">
        <v>107</v>
      </c>
      <c r="C3" s="238" t="s">
        <v>108</v>
      </c>
      <c r="D3" s="238"/>
      <c r="E3" s="238"/>
      <c r="F3" s="69"/>
      <c r="G3" s="70"/>
      <c r="H3" s="71"/>
      <c r="I3" s="71"/>
      <c r="J3" s="71" t="s">
        <v>109</v>
      </c>
      <c r="K3" s="71"/>
      <c r="L3" s="71"/>
      <c r="M3" s="92"/>
    </row>
    <row r="4" spans="1:13" ht="16.149999999999999" customHeight="1">
      <c r="A4" s="72"/>
      <c r="B4" s="72" t="s">
        <v>110</v>
      </c>
      <c r="C4" s="68">
        <v>2017</v>
      </c>
      <c r="D4" s="68">
        <f t="shared" ref="D4:L4" si="0">C4+1</f>
        <v>2018</v>
      </c>
      <c r="E4" s="68">
        <f t="shared" si="0"/>
        <v>2019</v>
      </c>
      <c r="F4" s="68">
        <f t="shared" si="0"/>
        <v>2020</v>
      </c>
      <c r="G4" s="68">
        <f t="shared" si="0"/>
        <v>2021</v>
      </c>
      <c r="H4" s="73">
        <f t="shared" si="0"/>
        <v>2022</v>
      </c>
      <c r="I4" s="73">
        <f t="shared" si="0"/>
        <v>2023</v>
      </c>
      <c r="J4" s="73">
        <f t="shared" si="0"/>
        <v>2024</v>
      </c>
      <c r="K4" s="73">
        <f t="shared" si="0"/>
        <v>2025</v>
      </c>
      <c r="L4" s="73">
        <f t="shared" si="0"/>
        <v>2026</v>
      </c>
      <c r="M4" s="93" t="s">
        <v>111</v>
      </c>
    </row>
    <row r="5" spans="1:13" ht="15.6" customHeight="1">
      <c r="A5" s="74">
        <v>1</v>
      </c>
      <c r="B5" s="75" t="s">
        <v>112</v>
      </c>
      <c r="C5" s="76">
        <f>SUM(C6:C9)</f>
        <v>0</v>
      </c>
      <c r="D5" s="76">
        <f t="shared" ref="D5:L5" si="1">SUM(D6:D9)</f>
        <v>0</v>
      </c>
      <c r="E5" s="76" t="e">
        <f t="shared" si="1"/>
        <v>#REF!</v>
      </c>
      <c r="F5" s="76">
        <f t="shared" si="1"/>
        <v>29590990</v>
      </c>
      <c r="G5" s="76">
        <f t="shared" si="1"/>
        <v>0</v>
      </c>
      <c r="H5" s="76">
        <f t="shared" si="1"/>
        <v>0</v>
      </c>
      <c r="I5" s="76" t="e">
        <f t="shared" si="1"/>
        <v>#REF!</v>
      </c>
      <c r="J5" s="76" t="e">
        <f t="shared" si="1"/>
        <v>#REF!</v>
      </c>
      <c r="K5" s="76" t="e">
        <f t="shared" si="1"/>
        <v>#REF!</v>
      </c>
      <c r="L5" s="76">
        <f t="shared" si="1"/>
        <v>29590990</v>
      </c>
      <c r="M5" s="80" t="e">
        <f t="shared" ref="M5:M17" si="2">SUM(C5:L5)</f>
        <v>#REF!</v>
      </c>
    </row>
    <row r="6" spans="1:13" ht="15.6" customHeight="1">
      <c r="A6" s="74">
        <v>1.1000000000000001</v>
      </c>
      <c r="B6" s="77" t="s">
        <v>113</v>
      </c>
      <c r="C6" s="78"/>
      <c r="D6" s="78"/>
      <c r="E6" s="78" t="e">
        <f>损益表!#REF!</f>
        <v>#REF!</v>
      </c>
      <c r="F6" s="78">
        <f>损益表!C4</f>
        <v>29590990</v>
      </c>
      <c r="G6" s="78">
        <f>损益表!D4</f>
        <v>0</v>
      </c>
      <c r="H6" s="78">
        <f>损益表!G4</f>
        <v>0</v>
      </c>
      <c r="I6" s="78" t="e">
        <f>损益表!#REF!</f>
        <v>#REF!</v>
      </c>
      <c r="J6" s="78" t="e">
        <f>损益表!#REF!</f>
        <v>#REF!</v>
      </c>
      <c r="K6" s="78" t="e">
        <f>损益表!#REF!</f>
        <v>#REF!</v>
      </c>
      <c r="L6" s="78">
        <f>损益表!H4</f>
        <v>29590990</v>
      </c>
      <c r="M6" s="80" t="e">
        <f t="shared" si="2"/>
        <v>#REF!</v>
      </c>
    </row>
    <row r="7" spans="1:13" ht="15.6" customHeight="1">
      <c r="A7" s="74">
        <v>1.2</v>
      </c>
      <c r="B7" s="77" t="s">
        <v>114</v>
      </c>
      <c r="C7" s="78"/>
      <c r="D7" s="78"/>
      <c r="E7" s="78">
        <f>[1]折、摊!G18</f>
        <v>0</v>
      </c>
      <c r="F7" s="78">
        <f>[1]折、摊!H18</f>
        <v>0</v>
      </c>
      <c r="G7" s="78">
        <f>[1]折、摊!I18</f>
        <v>0</v>
      </c>
      <c r="H7" s="78">
        <f>[1]折、摊!J18</f>
        <v>0</v>
      </c>
      <c r="I7" s="78">
        <f>[1]折、摊!K18</f>
        <v>0</v>
      </c>
      <c r="J7" s="78">
        <f>[1]折、摊!L18</f>
        <v>0</v>
      </c>
      <c r="K7" s="78">
        <f>[1]折、摊!M18</f>
        <v>0</v>
      </c>
      <c r="L7" s="78">
        <f>[1]折、摊!N18</f>
        <v>0</v>
      </c>
      <c r="M7" s="80">
        <f t="shared" si="2"/>
        <v>0</v>
      </c>
    </row>
    <row r="8" spans="1:13" ht="15.6" customHeight="1">
      <c r="A8" s="74">
        <v>1.3</v>
      </c>
      <c r="B8" s="77" t="s">
        <v>115</v>
      </c>
      <c r="C8" s="78" t="s">
        <v>116</v>
      </c>
      <c r="D8" s="78" t="s">
        <v>116</v>
      </c>
      <c r="E8" s="78" t="s">
        <v>116</v>
      </c>
      <c r="F8" s="78" t="s">
        <v>116</v>
      </c>
      <c r="G8" s="78" t="s">
        <v>116</v>
      </c>
      <c r="H8" s="78" t="s">
        <v>116</v>
      </c>
      <c r="I8" s="78" t="s">
        <v>116</v>
      </c>
      <c r="J8" s="78" t="s">
        <v>116</v>
      </c>
      <c r="K8" s="78" t="s">
        <v>116</v>
      </c>
      <c r="L8" s="78"/>
      <c r="M8" s="80">
        <f t="shared" si="2"/>
        <v>0</v>
      </c>
    </row>
    <row r="9" spans="1:13" s="61" customFormat="1" ht="15.6" customHeight="1">
      <c r="A9" s="79">
        <v>1.4</v>
      </c>
      <c r="B9" s="80" t="s">
        <v>117</v>
      </c>
      <c r="C9" s="78" t="s">
        <v>116</v>
      </c>
      <c r="D9" s="78" t="s">
        <v>116</v>
      </c>
      <c r="E9" s="78" t="s">
        <v>116</v>
      </c>
      <c r="F9" s="78" t="s">
        <v>116</v>
      </c>
      <c r="G9" s="78" t="s">
        <v>116</v>
      </c>
      <c r="H9" s="78" t="s">
        <v>116</v>
      </c>
      <c r="I9" s="78" t="s">
        <v>116</v>
      </c>
      <c r="J9" s="78" t="s">
        <v>116</v>
      </c>
      <c r="K9" s="78" t="s">
        <v>116</v>
      </c>
      <c r="L9" s="78" t="s">
        <v>116</v>
      </c>
      <c r="M9" s="80">
        <f t="shared" si="2"/>
        <v>0</v>
      </c>
    </row>
    <row r="10" spans="1:13" ht="15.6" customHeight="1">
      <c r="A10" s="79">
        <v>2</v>
      </c>
      <c r="B10" s="75" t="s">
        <v>118</v>
      </c>
      <c r="C10" s="76">
        <f t="shared" ref="C10:L10" si="3">SUM(C11:C16)</f>
        <v>0</v>
      </c>
      <c r="D10" s="76">
        <f t="shared" si="3"/>
        <v>0</v>
      </c>
      <c r="E10" s="76">
        <f t="shared" si="3"/>
        <v>0</v>
      </c>
      <c r="F10" s="76">
        <f t="shared" si="3"/>
        <v>0</v>
      </c>
      <c r="G10" s="76">
        <f t="shared" si="3"/>
        <v>0</v>
      </c>
      <c r="H10" s="76">
        <f t="shared" si="3"/>
        <v>0</v>
      </c>
      <c r="I10" s="76">
        <f t="shared" si="3"/>
        <v>0</v>
      </c>
      <c r="J10" s="76">
        <f t="shared" si="3"/>
        <v>0</v>
      </c>
      <c r="K10" s="76">
        <f t="shared" si="3"/>
        <v>0</v>
      </c>
      <c r="L10" s="76">
        <f t="shared" si="3"/>
        <v>0</v>
      </c>
      <c r="M10" s="80">
        <f t="shared" si="2"/>
        <v>0</v>
      </c>
    </row>
    <row r="11" spans="1:13" ht="15" customHeight="1">
      <c r="A11" s="74">
        <v>2.1</v>
      </c>
      <c r="B11" s="74" t="s">
        <v>119</v>
      </c>
      <c r="C11" s="78">
        <f>([1]计划!C6-[1]计划!C7)</f>
        <v>0</v>
      </c>
      <c r="D11" s="78">
        <f>([1]计划!D6-[1]计划!D7)</f>
        <v>0</v>
      </c>
      <c r="E11" s="78">
        <f>([1]计划!E6-[1]计划!E7)</f>
        <v>0</v>
      </c>
      <c r="F11" s="78">
        <f>([1]计划!F6-[1]计划!F7)</f>
        <v>0</v>
      </c>
      <c r="G11" s="78">
        <f>([1]计划!G6-[1]计划!G7)</f>
        <v>0</v>
      </c>
      <c r="H11" s="78">
        <f>([1]计划!H6-[1]计划!H7)</f>
        <v>0</v>
      </c>
      <c r="I11" s="78">
        <f>([1]计划!I6-[1]计划!I7)</f>
        <v>0</v>
      </c>
      <c r="J11" s="78">
        <f>([1]计划!J6-[1]计划!J7)</f>
        <v>0</v>
      </c>
      <c r="K11" s="78">
        <f>([1]计划!K6-[1]计划!K7)</f>
        <v>0</v>
      </c>
      <c r="L11" s="78">
        <f>([1]计划!L6-[1]计划!L7)</f>
        <v>0</v>
      </c>
      <c r="M11" s="80">
        <f t="shared" si="2"/>
        <v>0</v>
      </c>
    </row>
    <row r="12" spans="1:13" s="61" customFormat="1" ht="15" customHeight="1">
      <c r="A12" s="74">
        <v>2.2000000000000002</v>
      </c>
      <c r="B12" s="80" t="s">
        <v>120</v>
      </c>
      <c r="C12" s="78">
        <f>[1]计划!C8</f>
        <v>0</v>
      </c>
      <c r="D12" s="78">
        <f>[1]计划!D8</f>
        <v>0</v>
      </c>
      <c r="E12" s="78">
        <f>[1]计划!E8</f>
        <v>0</v>
      </c>
      <c r="F12" s="78">
        <f>[1]计划!F8</f>
        <v>0</v>
      </c>
      <c r="G12" s="78">
        <f>[1]计划!G8</f>
        <v>0</v>
      </c>
      <c r="H12" s="78">
        <f>[1]计划!H8</f>
        <v>0</v>
      </c>
      <c r="I12" s="78">
        <f>[1]计划!I8</f>
        <v>0</v>
      </c>
      <c r="J12" s="78">
        <f>[1]计划!J8</f>
        <v>0</v>
      </c>
      <c r="K12" s="78">
        <f>[1]计划!K8</f>
        <v>0</v>
      </c>
      <c r="L12" s="78">
        <f>[1]计划!L8</f>
        <v>0</v>
      </c>
      <c r="M12" s="80">
        <f t="shared" si="2"/>
        <v>0</v>
      </c>
    </row>
    <row r="13" spans="1:13" ht="15" customHeight="1">
      <c r="A13" s="74">
        <v>2.2999999999999998</v>
      </c>
      <c r="B13" s="77" t="s">
        <v>121</v>
      </c>
      <c r="C13" s="78">
        <f>[1]总成本!C22</f>
        <v>0</v>
      </c>
      <c r="D13" s="78">
        <f>[1]总成本!D22</f>
        <v>0</v>
      </c>
      <c r="E13" s="78">
        <f>[1]总成本!E22</f>
        <v>0</v>
      </c>
      <c r="F13" s="78">
        <f>[1]总成本!F22</f>
        <v>0</v>
      </c>
      <c r="G13" s="78">
        <f>[1]总成本!G22</f>
        <v>0</v>
      </c>
      <c r="H13" s="78">
        <f>[1]总成本!H22</f>
        <v>0</v>
      </c>
      <c r="I13" s="78">
        <f>[1]总成本!I22</f>
        <v>0</v>
      </c>
      <c r="J13" s="78">
        <f>[1]总成本!J22</f>
        <v>0</v>
      </c>
      <c r="K13" s="78">
        <f>[1]总成本!K22</f>
        <v>0</v>
      </c>
      <c r="L13" s="78">
        <f>[1]总成本!L22</f>
        <v>0</v>
      </c>
      <c r="M13" s="80">
        <f t="shared" si="2"/>
        <v>0</v>
      </c>
    </row>
    <row r="14" spans="1:13" ht="15" customHeight="1">
      <c r="A14" s="74">
        <v>2.4</v>
      </c>
      <c r="B14" s="77" t="s">
        <v>122</v>
      </c>
      <c r="C14" s="78">
        <f>[1]价格!D15</f>
        <v>0</v>
      </c>
      <c r="D14" s="78">
        <f>[1]价格!E15</f>
        <v>0</v>
      </c>
      <c r="E14" s="78">
        <f>[1]价格!F15</f>
        <v>0</v>
      </c>
      <c r="F14" s="78">
        <f>[1]价格!G15</f>
        <v>0</v>
      </c>
      <c r="G14" s="78">
        <f>[1]价格!H15</f>
        <v>0</v>
      </c>
      <c r="H14" s="78">
        <f>[1]价格!I15</f>
        <v>0</v>
      </c>
      <c r="I14" s="78">
        <f>[1]价格!J15</f>
        <v>0</v>
      </c>
      <c r="J14" s="78">
        <f>[1]价格!K15</f>
        <v>0</v>
      </c>
      <c r="K14" s="78">
        <f>[1]价格!L15</f>
        <v>0</v>
      </c>
      <c r="L14" s="78">
        <f>[1]价格!M15</f>
        <v>0</v>
      </c>
      <c r="M14" s="80">
        <f t="shared" si="2"/>
        <v>0</v>
      </c>
    </row>
    <row r="15" spans="1:13" ht="15" customHeight="1">
      <c r="A15" s="74">
        <v>2.5</v>
      </c>
      <c r="B15" s="77" t="s">
        <v>52</v>
      </c>
      <c r="C15" s="78">
        <f>[1]利润!C13</f>
        <v>0</v>
      </c>
      <c r="D15" s="78">
        <f>[1]利润!D13</f>
        <v>0</v>
      </c>
      <c r="E15" s="78">
        <f>[1]利润!E13</f>
        <v>0</v>
      </c>
      <c r="F15" s="78">
        <f>[1]利润!F13</f>
        <v>0</v>
      </c>
      <c r="G15" s="78">
        <f>[1]利润!G13</f>
        <v>0</v>
      </c>
      <c r="H15" s="78">
        <f>[1]利润!H13</f>
        <v>0</v>
      </c>
      <c r="I15" s="78">
        <f>[1]利润!I13</f>
        <v>0</v>
      </c>
      <c r="J15" s="78">
        <f>[1]利润!J13</f>
        <v>0</v>
      </c>
      <c r="K15" s="78">
        <f>[1]利润!K13</f>
        <v>0</v>
      </c>
      <c r="L15" s="78">
        <f>[1]利润!L13</f>
        <v>0</v>
      </c>
      <c r="M15" s="80">
        <f t="shared" si="2"/>
        <v>0</v>
      </c>
    </row>
    <row r="16" spans="1:13" ht="15" customHeight="1">
      <c r="A16" s="74">
        <v>2.6</v>
      </c>
      <c r="B16" s="77" t="s">
        <v>123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80">
        <f t="shared" si="2"/>
        <v>0</v>
      </c>
    </row>
    <row r="17" spans="1:18" ht="12">
      <c r="A17" s="74">
        <v>3</v>
      </c>
      <c r="B17" s="75" t="s">
        <v>124</v>
      </c>
      <c r="C17" s="76">
        <f t="shared" ref="C17:L17" si="4">C5-C10</f>
        <v>0</v>
      </c>
      <c r="D17" s="76">
        <f t="shared" si="4"/>
        <v>0</v>
      </c>
      <c r="E17" s="76" t="e">
        <f t="shared" si="4"/>
        <v>#REF!</v>
      </c>
      <c r="F17" s="76">
        <f t="shared" si="4"/>
        <v>29590990</v>
      </c>
      <c r="G17" s="76">
        <f t="shared" si="4"/>
        <v>0</v>
      </c>
      <c r="H17" s="76">
        <f t="shared" si="4"/>
        <v>0</v>
      </c>
      <c r="I17" s="76" t="e">
        <f t="shared" si="4"/>
        <v>#REF!</v>
      </c>
      <c r="J17" s="76" t="e">
        <f t="shared" si="4"/>
        <v>#REF!</v>
      </c>
      <c r="K17" s="76" t="e">
        <f t="shared" si="4"/>
        <v>#REF!</v>
      </c>
      <c r="L17" s="76">
        <f t="shared" si="4"/>
        <v>29590990</v>
      </c>
      <c r="M17" s="80" t="e">
        <f t="shared" si="2"/>
        <v>#REF!</v>
      </c>
    </row>
    <row r="18" spans="1:18" ht="12">
      <c r="A18" s="81">
        <v>4</v>
      </c>
      <c r="B18" s="77" t="s">
        <v>125</v>
      </c>
      <c r="C18" s="78">
        <f>C17</f>
        <v>0</v>
      </c>
      <c r="D18" s="78">
        <f t="shared" ref="D18:L18" si="5">C18+D17</f>
        <v>0</v>
      </c>
      <c r="E18" s="78" t="e">
        <f t="shared" si="5"/>
        <v>#REF!</v>
      </c>
      <c r="F18" s="78" t="e">
        <f t="shared" si="5"/>
        <v>#REF!</v>
      </c>
      <c r="G18" s="78" t="e">
        <f t="shared" si="5"/>
        <v>#REF!</v>
      </c>
      <c r="H18" s="78" t="e">
        <f t="shared" si="5"/>
        <v>#REF!</v>
      </c>
      <c r="I18" s="78" t="e">
        <f t="shared" si="5"/>
        <v>#REF!</v>
      </c>
      <c r="J18" s="78" t="e">
        <f t="shared" si="5"/>
        <v>#REF!</v>
      </c>
      <c r="K18" s="78" t="e">
        <f t="shared" si="5"/>
        <v>#REF!</v>
      </c>
      <c r="L18" s="78" t="e">
        <f t="shared" si="5"/>
        <v>#REF!</v>
      </c>
      <c r="M18" s="77" t="s">
        <v>116</v>
      </c>
    </row>
    <row r="19" spans="1:18" s="61" customFormat="1" ht="12">
      <c r="A19" s="81">
        <v>5</v>
      </c>
      <c r="B19" s="77" t="s">
        <v>126</v>
      </c>
      <c r="C19" s="78">
        <f t="shared" ref="C19:L19" si="6">C17+C15</f>
        <v>0</v>
      </c>
      <c r="D19" s="78">
        <f t="shared" si="6"/>
        <v>0</v>
      </c>
      <c r="E19" s="78" t="e">
        <f t="shared" si="6"/>
        <v>#REF!</v>
      </c>
      <c r="F19" s="78">
        <f t="shared" si="6"/>
        <v>29590990</v>
      </c>
      <c r="G19" s="78">
        <f t="shared" si="6"/>
        <v>0</v>
      </c>
      <c r="H19" s="78">
        <f t="shared" si="6"/>
        <v>0</v>
      </c>
      <c r="I19" s="78" t="e">
        <f t="shared" si="6"/>
        <v>#REF!</v>
      </c>
      <c r="J19" s="78" t="e">
        <f t="shared" si="6"/>
        <v>#REF!</v>
      </c>
      <c r="K19" s="78" t="e">
        <f t="shared" si="6"/>
        <v>#REF!</v>
      </c>
      <c r="L19" s="78">
        <f t="shared" si="6"/>
        <v>29590990</v>
      </c>
      <c r="M19" s="80" t="e">
        <f>SUM(C19:L19)</f>
        <v>#REF!</v>
      </c>
    </row>
    <row r="20" spans="1:18" s="61" customFormat="1" ht="12">
      <c r="A20" s="74">
        <v>6</v>
      </c>
      <c r="B20" s="77" t="s">
        <v>127</v>
      </c>
      <c r="C20" s="78">
        <f>C19</f>
        <v>0</v>
      </c>
      <c r="D20" s="78">
        <f t="shared" ref="D20:L20" si="7">C20+D19</f>
        <v>0</v>
      </c>
      <c r="E20" s="78" t="e">
        <f t="shared" si="7"/>
        <v>#REF!</v>
      </c>
      <c r="F20" s="78" t="e">
        <f t="shared" si="7"/>
        <v>#REF!</v>
      </c>
      <c r="G20" s="78" t="e">
        <f t="shared" si="7"/>
        <v>#REF!</v>
      </c>
      <c r="H20" s="78" t="e">
        <f t="shared" si="7"/>
        <v>#REF!</v>
      </c>
      <c r="I20" s="78" t="e">
        <f t="shared" si="7"/>
        <v>#REF!</v>
      </c>
      <c r="J20" s="78" t="e">
        <f t="shared" si="7"/>
        <v>#REF!</v>
      </c>
      <c r="K20" s="78" t="e">
        <f t="shared" si="7"/>
        <v>#REF!</v>
      </c>
      <c r="L20" s="78" t="e">
        <f t="shared" si="7"/>
        <v>#REF!</v>
      </c>
      <c r="M20" s="77" t="s">
        <v>116</v>
      </c>
    </row>
    <row r="21" spans="1:18" ht="12">
      <c r="A21" s="82"/>
      <c r="B21" s="83" t="s">
        <v>128</v>
      </c>
      <c r="C21" s="83"/>
      <c r="D21" s="83"/>
      <c r="E21" s="83" t="s">
        <v>129</v>
      </c>
      <c r="F21" s="83"/>
      <c r="G21" s="83"/>
      <c r="H21" s="83"/>
      <c r="I21" s="83" t="s">
        <v>130</v>
      </c>
      <c r="J21" s="83"/>
      <c r="K21" s="83"/>
      <c r="L21" s="83"/>
      <c r="M21" s="94"/>
    </row>
    <row r="22" spans="1:18" ht="12">
      <c r="A22" s="84"/>
      <c r="B22" s="85" t="s">
        <v>131</v>
      </c>
      <c r="C22" s="85"/>
      <c r="D22" s="86" t="s">
        <v>132</v>
      </c>
      <c r="E22" s="87" t="e">
        <f>IRR(C17:L17,0.15)</f>
        <v>#VALUE!</v>
      </c>
      <c r="F22" s="85"/>
      <c r="G22" s="85"/>
      <c r="H22" s="85"/>
      <c r="I22" s="87" t="e">
        <f>IRR(C19:L19,0.15)</f>
        <v>#VALUE!</v>
      </c>
      <c r="J22" s="85"/>
      <c r="K22" s="85"/>
      <c r="L22" s="85"/>
      <c r="M22" s="95"/>
    </row>
    <row r="23" spans="1:18" ht="12">
      <c r="A23" s="84"/>
      <c r="B23" s="85" t="s">
        <v>133</v>
      </c>
      <c r="C23" s="85"/>
      <c r="D23" s="85"/>
      <c r="E23" s="88" t="e">
        <f>NPV(0.12,C17:L17)</f>
        <v>#REF!</v>
      </c>
      <c r="F23" s="85"/>
      <c r="G23" s="85"/>
      <c r="H23" s="85"/>
      <c r="I23" s="88" t="e">
        <f>NPV(0.12,C19:L19)</f>
        <v>#REF!</v>
      </c>
      <c r="J23" s="85"/>
      <c r="K23" s="85"/>
      <c r="L23" s="85"/>
      <c r="M23" s="95"/>
      <c r="R23" s="62">
        <f>30.9-29.82</f>
        <v>1.0799999999999983</v>
      </c>
    </row>
    <row r="24" spans="1:18" ht="12">
      <c r="A24" s="89"/>
      <c r="B24" s="90" t="s">
        <v>134</v>
      </c>
      <c r="C24" s="90"/>
      <c r="D24" s="90"/>
      <c r="E24" s="91" t="e">
        <f>6-H18/I17</f>
        <v>#REF!</v>
      </c>
      <c r="F24" s="90"/>
      <c r="G24" s="90"/>
      <c r="H24" s="90"/>
      <c r="I24" s="91" t="e">
        <f>6-H20/I19</f>
        <v>#REF!</v>
      </c>
      <c r="J24" s="90"/>
      <c r="K24" s="90"/>
      <c r="L24" s="90"/>
      <c r="M24" s="96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8" activePane="bottomRight" state="frozen"/>
      <selection pane="topRight"/>
      <selection pane="bottomLeft"/>
      <selection pane="bottomRight" activeCell="D24" sqref="D24"/>
    </sheetView>
  </sheetViews>
  <sheetFormatPr defaultColWidth="9" defaultRowHeight="16.5"/>
  <cols>
    <col min="1" max="1" width="5.125" style="37" customWidth="1"/>
    <col min="2" max="2" width="17.5" style="37" customWidth="1"/>
    <col min="3" max="10" width="13.25" style="38" customWidth="1"/>
    <col min="11" max="11" width="18.75" style="38" customWidth="1"/>
    <col min="12" max="12" width="12.375" style="37" customWidth="1"/>
    <col min="13" max="13" width="10.125" style="37" customWidth="1"/>
    <col min="14" max="20" width="9" style="37" customWidth="1"/>
    <col min="21" max="34" width="9" style="37"/>
    <col min="35" max="35" width="4.375" style="37" customWidth="1"/>
    <col min="36" max="36" width="13.875" style="37" customWidth="1"/>
    <col min="37" max="16384" width="9" style="37"/>
  </cols>
  <sheetData>
    <row r="1" spans="1:37">
      <c r="A1" s="239" t="s">
        <v>135</v>
      </c>
      <c r="B1" s="239"/>
      <c r="C1" s="243" t="s">
        <v>234</v>
      </c>
      <c r="D1" s="244"/>
      <c r="E1" s="244"/>
      <c r="F1" s="244"/>
      <c r="G1" s="244"/>
      <c r="H1" s="244"/>
      <c r="I1" s="244"/>
      <c r="J1" s="244"/>
      <c r="K1" s="245"/>
    </row>
    <row r="2" spans="1:37">
      <c r="A2" s="239" t="s">
        <v>136</v>
      </c>
      <c r="B2" s="239"/>
      <c r="C2" s="246" t="s">
        <v>277</v>
      </c>
      <c r="D2" s="246"/>
      <c r="E2" s="246"/>
      <c r="F2" s="246"/>
      <c r="G2" s="246"/>
      <c r="H2" s="246"/>
      <c r="I2" s="246"/>
      <c r="J2" s="246"/>
      <c r="K2" s="246"/>
    </row>
    <row r="3" spans="1:37">
      <c r="A3" s="239" t="s">
        <v>137</v>
      </c>
      <c r="B3" s="239"/>
      <c r="C3" s="148" t="str">
        <f>销量!C5</f>
        <v>B01发泡</v>
      </c>
      <c r="D3" s="148" t="str">
        <f>销量!D5</f>
        <v>V71发泡</v>
      </c>
      <c r="E3" s="148">
        <f>销量!E5</f>
        <v>0</v>
      </c>
      <c r="F3" s="148">
        <f>销量!F5</f>
        <v>0</v>
      </c>
      <c r="G3" s="148">
        <f>销量!G5</f>
        <v>0</v>
      </c>
      <c r="H3" s="148">
        <f>销量!H5</f>
        <v>0</v>
      </c>
      <c r="I3" s="148">
        <f>销量!I5</f>
        <v>0</v>
      </c>
      <c r="J3" s="148">
        <f>销量!J5</f>
        <v>0</v>
      </c>
      <c r="K3" s="240" t="s">
        <v>13</v>
      </c>
    </row>
    <row r="4" spans="1:37">
      <c r="A4" s="239" t="s">
        <v>138</v>
      </c>
      <c r="B4" s="239"/>
      <c r="C4" s="148">
        <f>销量!C6</f>
        <v>0</v>
      </c>
      <c r="D4" s="148">
        <f>销量!D6</f>
        <v>0</v>
      </c>
      <c r="E4" s="148">
        <f>销量!E6</f>
        <v>0</v>
      </c>
      <c r="F4" s="148">
        <f>销量!F6</f>
        <v>0</v>
      </c>
      <c r="G4" s="148">
        <f>销量!G6</f>
        <v>0</v>
      </c>
      <c r="H4" s="148">
        <f>销量!H6</f>
        <v>0</v>
      </c>
      <c r="I4" s="148">
        <f>销量!I6</f>
        <v>0</v>
      </c>
      <c r="J4" s="148">
        <f>销量!J6</f>
        <v>0</v>
      </c>
      <c r="K4" s="241"/>
    </row>
    <row r="5" spans="1:37">
      <c r="A5" s="239" t="s">
        <v>139</v>
      </c>
      <c r="B5" s="239"/>
      <c r="C5" s="40"/>
      <c r="D5" s="40"/>
      <c r="E5" s="40"/>
      <c r="F5" s="40"/>
      <c r="G5" s="40"/>
      <c r="H5" s="40"/>
      <c r="I5" s="40"/>
      <c r="J5" s="40"/>
      <c r="K5" s="242"/>
      <c r="AK5" s="37" t="s">
        <v>14</v>
      </c>
    </row>
    <row r="6" spans="1:37" ht="17.25">
      <c r="A6" s="41" t="s">
        <v>12</v>
      </c>
      <c r="B6" s="42" t="s">
        <v>140</v>
      </c>
      <c r="C6" s="13">
        <f>销量!C9</f>
        <v>65000</v>
      </c>
      <c r="D6" s="13">
        <f>销量!D9</f>
        <v>13000</v>
      </c>
      <c r="E6" s="13">
        <f>销量!E9</f>
        <v>0</v>
      </c>
      <c r="F6" s="13">
        <f>销量!F9</f>
        <v>0</v>
      </c>
      <c r="G6" s="13">
        <f>销量!G9</f>
        <v>0</v>
      </c>
      <c r="H6" s="13">
        <f>销量!H9</f>
        <v>0</v>
      </c>
      <c r="I6" s="13">
        <f>销量!I9</f>
        <v>0</v>
      </c>
      <c r="J6" s="13">
        <f>销量!J9</f>
        <v>0</v>
      </c>
      <c r="K6" s="43">
        <f t="shared" ref="K6:K15" si="0">SUM(C6:J6)</f>
        <v>78000</v>
      </c>
      <c r="AI6" s="41" t="s">
        <v>12</v>
      </c>
      <c r="AJ6" s="42" t="s">
        <v>3</v>
      </c>
      <c r="AK6" s="37" t="s">
        <v>15</v>
      </c>
    </row>
    <row r="7" spans="1:37">
      <c r="A7" s="39">
        <v>1</v>
      </c>
      <c r="B7" s="42" t="s">
        <v>16</v>
      </c>
      <c r="C7" s="43">
        <f>C6*销量!C8</f>
        <v>22751950</v>
      </c>
      <c r="D7" s="43">
        <f>D6*销量!D8</f>
        <v>6839040.0000000009</v>
      </c>
      <c r="E7" s="43">
        <f>E6*销量!E8</f>
        <v>0</v>
      </c>
      <c r="F7" s="43">
        <f>F6*销量!F8</f>
        <v>0</v>
      </c>
      <c r="G7" s="43">
        <f>G6*销量!G8</f>
        <v>0</v>
      </c>
      <c r="H7" s="43">
        <f>H6*销量!H8</f>
        <v>0</v>
      </c>
      <c r="I7" s="43">
        <f>I6*销量!I8</f>
        <v>0</v>
      </c>
      <c r="J7" s="43">
        <f>J6*销量!J8</f>
        <v>0</v>
      </c>
      <c r="K7" s="43">
        <f t="shared" si="0"/>
        <v>29590990</v>
      </c>
      <c r="L7" s="38"/>
      <c r="AI7" s="41" t="s">
        <v>17</v>
      </c>
      <c r="AJ7" s="42" t="s">
        <v>16</v>
      </c>
      <c r="AK7" s="37" t="s">
        <v>15</v>
      </c>
    </row>
    <row r="8" spans="1:37">
      <c r="A8" s="39">
        <v>2</v>
      </c>
      <c r="B8" s="39" t="s">
        <v>18</v>
      </c>
      <c r="C8" s="43"/>
      <c r="D8" s="43"/>
      <c r="E8" s="43"/>
      <c r="F8" s="43"/>
      <c r="G8" s="43"/>
      <c r="H8" s="43"/>
      <c r="I8" s="43"/>
      <c r="J8" s="43"/>
      <c r="K8" s="43">
        <f t="shared" si="0"/>
        <v>0</v>
      </c>
      <c r="L8" s="58"/>
      <c r="AI8" s="41" t="s">
        <v>19</v>
      </c>
      <c r="AJ8" s="39" t="s">
        <v>20</v>
      </c>
      <c r="AK8" s="37" t="s">
        <v>15</v>
      </c>
    </row>
    <row r="9" spans="1:37">
      <c r="A9" s="39">
        <v>3</v>
      </c>
      <c r="B9" s="42" t="s">
        <v>21</v>
      </c>
      <c r="C9" s="43">
        <f>+C7-C8</f>
        <v>22751950</v>
      </c>
      <c r="D9" s="43">
        <f t="shared" ref="D9:J9" si="1">+D7-D8</f>
        <v>6839040.0000000009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  <c r="I9" s="43">
        <f t="shared" si="1"/>
        <v>0</v>
      </c>
      <c r="J9" s="43">
        <f t="shared" si="1"/>
        <v>0</v>
      </c>
      <c r="K9" s="43">
        <f t="shared" si="0"/>
        <v>29590990</v>
      </c>
      <c r="AI9" s="41" t="s">
        <v>22</v>
      </c>
      <c r="AJ9" s="42" t="s">
        <v>21</v>
      </c>
      <c r="AK9" s="37" t="s">
        <v>23</v>
      </c>
    </row>
    <row r="10" spans="1:37">
      <c r="A10" s="39">
        <v>4</v>
      </c>
      <c r="B10" s="41" t="s">
        <v>24</v>
      </c>
      <c r="C10" s="43">
        <f>C6*C33</f>
        <v>16633500</v>
      </c>
      <c r="D10" s="43">
        <f>D6*D33</f>
        <v>4724590</v>
      </c>
      <c r="E10" s="43">
        <f t="shared" ref="E10:J10" si="2">E6*E33</f>
        <v>0</v>
      </c>
      <c r="F10" s="43">
        <f t="shared" si="2"/>
        <v>0</v>
      </c>
      <c r="G10" s="43">
        <f t="shared" si="2"/>
        <v>0</v>
      </c>
      <c r="H10" s="43">
        <f t="shared" si="2"/>
        <v>0</v>
      </c>
      <c r="I10" s="43">
        <f t="shared" si="2"/>
        <v>0</v>
      </c>
      <c r="J10" s="43">
        <f t="shared" si="2"/>
        <v>0</v>
      </c>
      <c r="K10" s="43">
        <f t="shared" si="0"/>
        <v>21358090</v>
      </c>
      <c r="AI10" s="41" t="s">
        <v>25</v>
      </c>
      <c r="AJ10" s="41" t="s">
        <v>24</v>
      </c>
      <c r="AK10" s="37" t="s">
        <v>26</v>
      </c>
    </row>
    <row r="11" spans="1:37">
      <c r="A11" s="39">
        <v>5</v>
      </c>
      <c r="B11" s="41" t="s">
        <v>27</v>
      </c>
      <c r="C11" s="43">
        <f>+C6*C36</f>
        <v>1322812.0270485817</v>
      </c>
      <c r="D11" s="43">
        <f t="shared" ref="D11:J11" si="3">+D6*D36</f>
        <v>397625.88988927694</v>
      </c>
      <c r="E11" s="43">
        <f t="shared" si="3"/>
        <v>0</v>
      </c>
      <c r="F11" s="43">
        <f t="shared" si="3"/>
        <v>0</v>
      </c>
      <c r="G11" s="43">
        <f t="shared" si="3"/>
        <v>0</v>
      </c>
      <c r="H11" s="43">
        <f t="shared" si="3"/>
        <v>0</v>
      </c>
      <c r="I11" s="43">
        <f t="shared" si="3"/>
        <v>0</v>
      </c>
      <c r="J11" s="43">
        <f t="shared" si="3"/>
        <v>0</v>
      </c>
      <c r="K11" s="43">
        <f t="shared" si="0"/>
        <v>1720437.9169378588</v>
      </c>
      <c r="AI11" s="41" t="s">
        <v>28</v>
      </c>
      <c r="AJ11" s="41" t="s">
        <v>27</v>
      </c>
    </row>
    <row r="12" spans="1:37">
      <c r="A12" s="39">
        <v>6</v>
      </c>
      <c r="B12" s="41" t="s">
        <v>29</v>
      </c>
      <c r="C12" s="43">
        <f>+C6*C37</f>
        <v>411090.35257081059</v>
      </c>
      <c r="D12" s="43">
        <f t="shared" ref="D12:J12" si="4">+D6*D37</f>
        <v>123570.21551321432</v>
      </c>
      <c r="E12" s="43">
        <f t="shared" si="4"/>
        <v>0</v>
      </c>
      <c r="F12" s="43">
        <f t="shared" si="4"/>
        <v>0</v>
      </c>
      <c r="G12" s="43">
        <f t="shared" si="4"/>
        <v>0</v>
      </c>
      <c r="H12" s="43">
        <f t="shared" si="4"/>
        <v>0</v>
      </c>
      <c r="I12" s="43">
        <f t="shared" si="4"/>
        <v>0</v>
      </c>
      <c r="J12" s="43">
        <f t="shared" si="4"/>
        <v>0</v>
      </c>
      <c r="K12" s="43">
        <f t="shared" si="0"/>
        <v>534660.56808402494</v>
      </c>
      <c r="AI12" s="41" t="s">
        <v>30</v>
      </c>
      <c r="AJ12" s="41" t="s">
        <v>29</v>
      </c>
    </row>
    <row r="13" spans="1:37">
      <c r="A13" s="39">
        <v>7</v>
      </c>
      <c r="B13" s="41" t="s">
        <v>31</v>
      </c>
      <c r="C13" s="43">
        <f>+C6*C38</f>
        <v>2215330</v>
      </c>
      <c r="D13" s="43">
        <f t="shared" ref="D13:J13" si="5">+D6*D38</f>
        <v>443066</v>
      </c>
      <c r="E13" s="43">
        <f t="shared" si="5"/>
        <v>0</v>
      </c>
      <c r="F13" s="43">
        <f t="shared" si="5"/>
        <v>0</v>
      </c>
      <c r="G13" s="43">
        <f t="shared" si="5"/>
        <v>0</v>
      </c>
      <c r="H13" s="43">
        <f t="shared" si="5"/>
        <v>0</v>
      </c>
      <c r="I13" s="43">
        <f t="shared" si="5"/>
        <v>0</v>
      </c>
      <c r="J13" s="43">
        <f t="shared" si="5"/>
        <v>0</v>
      </c>
      <c r="K13" s="43">
        <f t="shared" si="0"/>
        <v>2658396</v>
      </c>
      <c r="AI13" s="41" t="s">
        <v>32</v>
      </c>
      <c r="AJ13" s="41" t="s">
        <v>31</v>
      </c>
      <c r="AK13" s="37" t="s">
        <v>15</v>
      </c>
    </row>
    <row r="14" spans="1:37">
      <c r="A14" s="39">
        <v>8</v>
      </c>
      <c r="B14" s="44" t="s">
        <v>33</v>
      </c>
      <c r="C14" s="43">
        <f>SUM(C11:C13)</f>
        <v>3949232.3796193926</v>
      </c>
      <c r="D14" s="43">
        <f t="shared" ref="D14:J14" si="6">SUM(D11:D13)</f>
        <v>964262.10540249129</v>
      </c>
      <c r="E14" s="43">
        <f t="shared" si="6"/>
        <v>0</v>
      </c>
      <c r="F14" s="43">
        <f t="shared" si="6"/>
        <v>0</v>
      </c>
      <c r="G14" s="43">
        <f t="shared" si="6"/>
        <v>0</v>
      </c>
      <c r="H14" s="43">
        <f t="shared" si="6"/>
        <v>0</v>
      </c>
      <c r="I14" s="43">
        <f t="shared" si="6"/>
        <v>0</v>
      </c>
      <c r="J14" s="43">
        <f t="shared" si="6"/>
        <v>0</v>
      </c>
      <c r="K14" s="43">
        <f t="shared" si="0"/>
        <v>4913494.4850218836</v>
      </c>
      <c r="AI14" s="41" t="s">
        <v>34</v>
      </c>
      <c r="AJ14" s="44" t="s">
        <v>33</v>
      </c>
    </row>
    <row r="15" spans="1:37">
      <c r="A15" s="39">
        <v>9</v>
      </c>
      <c r="B15" s="44" t="s">
        <v>35</v>
      </c>
      <c r="C15" s="43">
        <f>+C9-C10-C14</f>
        <v>2169217.6203806074</v>
      </c>
      <c r="D15" s="43">
        <f t="shared" ref="D15:J15" si="7">+D9-D10-D14</f>
        <v>1150187.8945975096</v>
      </c>
      <c r="E15" s="43">
        <f t="shared" si="7"/>
        <v>0</v>
      </c>
      <c r="F15" s="43">
        <f t="shared" si="7"/>
        <v>0</v>
      </c>
      <c r="G15" s="43">
        <f t="shared" si="7"/>
        <v>0</v>
      </c>
      <c r="H15" s="43">
        <f t="shared" si="7"/>
        <v>0</v>
      </c>
      <c r="I15" s="43">
        <f t="shared" si="7"/>
        <v>0</v>
      </c>
      <c r="J15" s="43">
        <f t="shared" si="7"/>
        <v>0</v>
      </c>
      <c r="K15" s="43">
        <f t="shared" si="0"/>
        <v>3319405.5149781173</v>
      </c>
      <c r="AI15" s="41" t="s">
        <v>36</v>
      </c>
      <c r="AJ15" s="44" t="s">
        <v>35</v>
      </c>
    </row>
    <row r="16" spans="1:37">
      <c r="A16" s="39">
        <v>10</v>
      </c>
      <c r="B16" s="41" t="s">
        <v>37</v>
      </c>
      <c r="C16" s="45">
        <f>+C15/C9</f>
        <v>9.5342052895712556E-2</v>
      </c>
      <c r="D16" s="45">
        <f t="shared" ref="D16:J16" si="8">+D15/D9</f>
        <v>0.16817972911366355</v>
      </c>
      <c r="E16" s="45" t="e">
        <f t="shared" si="8"/>
        <v>#DIV/0!</v>
      </c>
      <c r="F16" s="45" t="e">
        <f t="shared" si="8"/>
        <v>#DIV/0!</v>
      </c>
      <c r="G16" s="45" t="e">
        <f t="shared" si="8"/>
        <v>#DIV/0!</v>
      </c>
      <c r="H16" s="45" t="e">
        <f t="shared" si="8"/>
        <v>#DIV/0!</v>
      </c>
      <c r="I16" s="45" t="e">
        <f t="shared" si="8"/>
        <v>#DIV/0!</v>
      </c>
      <c r="J16" s="45" t="e">
        <f t="shared" si="8"/>
        <v>#DIV/0!</v>
      </c>
      <c r="K16" s="45">
        <f t="shared" ref="K16" si="9">+K15/K9</f>
        <v>0.1121762237416902</v>
      </c>
      <c r="AI16" s="41" t="s">
        <v>38</v>
      </c>
      <c r="AJ16" s="41" t="s">
        <v>37</v>
      </c>
    </row>
    <row r="17" spans="1:37">
      <c r="A17" s="39">
        <v>11</v>
      </c>
      <c r="B17" s="41" t="s">
        <v>39</v>
      </c>
      <c r="C17" s="43">
        <f>C6*C43+C18</f>
        <v>1023837.7499999999</v>
      </c>
      <c r="D17" s="43">
        <f t="shared" ref="D17:J17" si="10">D6*D43+D18</f>
        <v>307756.79999999999</v>
      </c>
      <c r="E17" s="43">
        <f t="shared" si="10"/>
        <v>0</v>
      </c>
      <c r="F17" s="43">
        <f t="shared" si="10"/>
        <v>0</v>
      </c>
      <c r="G17" s="43">
        <f t="shared" si="10"/>
        <v>0</v>
      </c>
      <c r="H17" s="43">
        <f t="shared" si="10"/>
        <v>0</v>
      </c>
      <c r="I17" s="43">
        <f t="shared" si="10"/>
        <v>0</v>
      </c>
      <c r="J17" s="43">
        <f t="shared" si="10"/>
        <v>0</v>
      </c>
      <c r="K17" s="43">
        <f>SUM(C17:J17)</f>
        <v>1331594.5499999998</v>
      </c>
      <c r="AI17" s="41" t="s">
        <v>40</v>
      </c>
      <c r="AJ17" s="41" t="s">
        <v>39</v>
      </c>
    </row>
    <row r="18" spans="1:37" s="35" customFormat="1">
      <c r="A18" s="39">
        <v>12</v>
      </c>
      <c r="B18" s="46" t="s">
        <v>141</v>
      </c>
      <c r="C18" s="47">
        <f>$K$18/$K$6*C6</f>
        <v>0</v>
      </c>
      <c r="D18" s="47">
        <f t="shared" ref="D18:J18" si="11">$K$18/$K$6*D6</f>
        <v>0</v>
      </c>
      <c r="E18" s="47">
        <f t="shared" si="11"/>
        <v>0</v>
      </c>
      <c r="F18" s="47">
        <f t="shared" si="11"/>
        <v>0</v>
      </c>
      <c r="G18" s="47">
        <f t="shared" si="11"/>
        <v>0</v>
      </c>
      <c r="H18" s="47">
        <f t="shared" si="11"/>
        <v>0</v>
      </c>
      <c r="I18" s="47">
        <f t="shared" si="11"/>
        <v>0</v>
      </c>
      <c r="J18" s="47">
        <f t="shared" si="11"/>
        <v>0</v>
      </c>
      <c r="K18" s="47">
        <f>项目投资!D26</f>
        <v>0</v>
      </c>
      <c r="L18" s="156" t="s">
        <v>142</v>
      </c>
      <c r="M18" s="156"/>
      <c r="N18" s="37"/>
    </row>
    <row r="19" spans="1:37">
      <c r="A19" s="39">
        <v>13</v>
      </c>
      <c r="B19" s="41" t="s">
        <v>41</v>
      </c>
      <c r="C19" s="43">
        <f>C6*C44</f>
        <v>179740.405</v>
      </c>
      <c r="D19" s="43">
        <f t="shared" ref="D19:J19" si="12">D6*D44</f>
        <v>54028.416000000005</v>
      </c>
      <c r="E19" s="43">
        <f t="shared" si="12"/>
        <v>0</v>
      </c>
      <c r="F19" s="43">
        <f t="shared" si="12"/>
        <v>0</v>
      </c>
      <c r="G19" s="43">
        <f t="shared" si="12"/>
        <v>0</v>
      </c>
      <c r="H19" s="43">
        <f t="shared" si="12"/>
        <v>0</v>
      </c>
      <c r="I19" s="43">
        <f t="shared" si="12"/>
        <v>0</v>
      </c>
      <c r="J19" s="43">
        <f t="shared" si="12"/>
        <v>0</v>
      </c>
      <c r="K19" s="43">
        <f>SUM(C19:J19)</f>
        <v>233768.821</v>
      </c>
      <c r="AI19" s="41" t="s">
        <v>42</v>
      </c>
      <c r="AJ19" s="41" t="s">
        <v>41</v>
      </c>
      <c r="AK19" s="37" t="s">
        <v>15</v>
      </c>
    </row>
    <row r="20" spans="1:37">
      <c r="A20" s="39">
        <v>14</v>
      </c>
      <c r="B20" s="41" t="s">
        <v>43</v>
      </c>
      <c r="C20" s="43">
        <f>C6*C45</f>
        <v>922894.38483200804</v>
      </c>
      <c r="D20" s="43">
        <f t="shared" ref="D20:J20" si="13">D6*D45</f>
        <v>277414.09477611794</v>
      </c>
      <c r="E20" s="43">
        <f t="shared" si="13"/>
        <v>0</v>
      </c>
      <c r="F20" s="43">
        <f t="shared" si="13"/>
        <v>0</v>
      </c>
      <c r="G20" s="43">
        <f t="shared" si="13"/>
        <v>0</v>
      </c>
      <c r="H20" s="43">
        <f t="shared" si="13"/>
        <v>0</v>
      </c>
      <c r="I20" s="43">
        <f t="shared" si="13"/>
        <v>0</v>
      </c>
      <c r="J20" s="43">
        <f t="shared" si="13"/>
        <v>0</v>
      </c>
      <c r="K20" s="43">
        <f>SUM(C20:J20)</f>
        <v>1200308.479608126</v>
      </c>
      <c r="AI20" s="41" t="s">
        <v>44</v>
      </c>
      <c r="AJ20" s="41" t="s">
        <v>43</v>
      </c>
    </row>
    <row r="21" spans="1:37">
      <c r="A21" s="39">
        <v>15</v>
      </c>
      <c r="B21" s="41" t="s">
        <v>45</v>
      </c>
      <c r="C21" s="48">
        <f>$K$21/$K$6*C6</f>
        <v>0</v>
      </c>
      <c r="D21" s="48">
        <f t="shared" ref="D21:J21" si="14">$K$21/$K$6*D6</f>
        <v>0</v>
      </c>
      <c r="E21" s="48">
        <f t="shared" si="14"/>
        <v>0</v>
      </c>
      <c r="F21" s="48">
        <f t="shared" si="14"/>
        <v>0</v>
      </c>
      <c r="G21" s="48">
        <f t="shared" si="14"/>
        <v>0</v>
      </c>
      <c r="H21" s="48">
        <f t="shared" si="14"/>
        <v>0</v>
      </c>
      <c r="I21" s="48">
        <f t="shared" si="14"/>
        <v>0</v>
      </c>
      <c r="J21" s="48">
        <f t="shared" si="14"/>
        <v>0</v>
      </c>
      <c r="K21" s="43">
        <f>项目投资!D27</f>
        <v>0</v>
      </c>
      <c r="AI21" s="41"/>
      <c r="AJ21" s="41"/>
    </row>
    <row r="22" spans="1:37">
      <c r="A22" s="39">
        <v>16</v>
      </c>
      <c r="B22" s="41" t="s">
        <v>46</v>
      </c>
      <c r="C22" s="43">
        <f>C6*C47</f>
        <v>484616.53499999997</v>
      </c>
      <c r="D22" s="43">
        <f t="shared" ref="D22:J22" si="15">D6*D47</f>
        <v>145671.55200000003</v>
      </c>
      <c r="E22" s="43">
        <f t="shared" si="15"/>
        <v>0</v>
      </c>
      <c r="F22" s="43">
        <f t="shared" si="15"/>
        <v>0</v>
      </c>
      <c r="G22" s="43">
        <f t="shared" si="15"/>
        <v>0</v>
      </c>
      <c r="H22" s="43">
        <f t="shared" si="15"/>
        <v>0</v>
      </c>
      <c r="I22" s="43">
        <f t="shared" si="15"/>
        <v>0</v>
      </c>
      <c r="J22" s="43">
        <f t="shared" si="15"/>
        <v>0</v>
      </c>
      <c r="K22" s="43">
        <f>SUM(C22:J22)</f>
        <v>630288.08700000006</v>
      </c>
      <c r="AI22" s="41" t="s">
        <v>47</v>
      </c>
      <c r="AJ22" s="41" t="s">
        <v>46</v>
      </c>
    </row>
    <row r="23" spans="1:37">
      <c r="A23" s="39">
        <v>17</v>
      </c>
      <c r="B23" s="44" t="s">
        <v>48</v>
      </c>
      <c r="C23" s="48">
        <f>+C22+C21+C20+C19+C17</f>
        <v>2611089.0748320078</v>
      </c>
      <c r="D23" s="48">
        <f t="shared" ref="D23:J23" si="16">+D22+D21+D20+D19+D17</f>
        <v>784870.86277611798</v>
      </c>
      <c r="E23" s="48">
        <f t="shared" si="16"/>
        <v>0</v>
      </c>
      <c r="F23" s="48">
        <f t="shared" si="16"/>
        <v>0</v>
      </c>
      <c r="G23" s="48">
        <f t="shared" si="16"/>
        <v>0</v>
      </c>
      <c r="H23" s="48">
        <f t="shared" si="16"/>
        <v>0</v>
      </c>
      <c r="I23" s="48">
        <f t="shared" si="16"/>
        <v>0</v>
      </c>
      <c r="J23" s="48">
        <f t="shared" si="16"/>
        <v>0</v>
      </c>
      <c r="K23" s="48">
        <f t="shared" ref="K23" si="17">+K22+K21+K20+K19+K17</f>
        <v>3395959.9376081256</v>
      </c>
      <c r="AI23" s="41" t="s">
        <v>49</v>
      </c>
      <c r="AJ23" s="44" t="s">
        <v>48</v>
      </c>
    </row>
    <row r="24" spans="1:37">
      <c r="A24" s="39">
        <v>18</v>
      </c>
      <c r="B24" s="49" t="s">
        <v>50</v>
      </c>
      <c r="C24" s="48">
        <f>+C15-C23</f>
        <v>-441871.45445140032</v>
      </c>
      <c r="D24" s="48">
        <f t="shared" ref="D24:J24" si="18">+D15-D23</f>
        <v>365317.03182139166</v>
      </c>
      <c r="E24" s="48">
        <f t="shared" si="18"/>
        <v>0</v>
      </c>
      <c r="F24" s="48">
        <f t="shared" si="18"/>
        <v>0</v>
      </c>
      <c r="G24" s="48">
        <f t="shared" si="18"/>
        <v>0</v>
      </c>
      <c r="H24" s="48">
        <f t="shared" si="18"/>
        <v>0</v>
      </c>
      <c r="I24" s="48">
        <f t="shared" si="18"/>
        <v>0</v>
      </c>
      <c r="J24" s="48">
        <f t="shared" si="18"/>
        <v>0</v>
      </c>
      <c r="K24" s="48">
        <f t="shared" ref="K24" si="19">+K15-K23</f>
        <v>-76554.42263000831</v>
      </c>
      <c r="M24" s="60"/>
      <c r="AI24" s="41" t="s">
        <v>51</v>
      </c>
      <c r="AJ24" s="41" t="s">
        <v>50</v>
      </c>
    </row>
    <row r="25" spans="1:37">
      <c r="A25" s="39">
        <v>19</v>
      </c>
      <c r="B25" s="41" t="s">
        <v>230</v>
      </c>
      <c r="C25" s="48">
        <f>IF(C24&lt;0,0,C24*0.15)</f>
        <v>0</v>
      </c>
      <c r="D25" s="48">
        <f t="shared" ref="D25:J25" si="20">IF(D24&lt;0,0,D24*0.15)</f>
        <v>54797.554773208751</v>
      </c>
      <c r="E25" s="48">
        <f t="shared" si="20"/>
        <v>0</v>
      </c>
      <c r="F25" s="48">
        <f t="shared" si="20"/>
        <v>0</v>
      </c>
      <c r="G25" s="48">
        <f t="shared" si="20"/>
        <v>0</v>
      </c>
      <c r="H25" s="48">
        <f t="shared" si="20"/>
        <v>0</v>
      </c>
      <c r="I25" s="48">
        <f t="shared" si="20"/>
        <v>0</v>
      </c>
      <c r="J25" s="48">
        <f t="shared" si="20"/>
        <v>0</v>
      </c>
      <c r="K25" s="48">
        <f>IF(K24&lt;0,0,K24*0.15)</f>
        <v>0</v>
      </c>
      <c r="L25" s="56"/>
      <c r="M25" s="56"/>
      <c r="N25" s="56"/>
      <c r="AI25" s="41" t="s">
        <v>53</v>
      </c>
      <c r="AJ25" s="41" t="s">
        <v>52</v>
      </c>
    </row>
    <row r="26" spans="1:37">
      <c r="A26" s="39">
        <v>20</v>
      </c>
      <c r="B26" s="41" t="s">
        <v>54</v>
      </c>
      <c r="C26" s="48">
        <f t="shared" ref="C26" si="21">C24-C25</f>
        <v>-441871.45445140032</v>
      </c>
      <c r="D26" s="48">
        <f t="shared" ref="D26:J26" si="22">D24-D25</f>
        <v>310519.47704818292</v>
      </c>
      <c r="E26" s="48">
        <f t="shared" si="22"/>
        <v>0</v>
      </c>
      <c r="F26" s="48">
        <f t="shared" si="22"/>
        <v>0</v>
      </c>
      <c r="G26" s="48">
        <f t="shared" si="22"/>
        <v>0</v>
      </c>
      <c r="H26" s="48">
        <f t="shared" si="22"/>
        <v>0</v>
      </c>
      <c r="I26" s="48">
        <f t="shared" si="22"/>
        <v>0</v>
      </c>
      <c r="J26" s="48">
        <f t="shared" si="22"/>
        <v>0</v>
      </c>
      <c r="K26" s="43">
        <f>K24-K25</f>
        <v>-76554.42263000831</v>
      </c>
      <c r="L26" s="56"/>
      <c r="M26" s="56"/>
      <c r="N26" s="56"/>
      <c r="AI26" s="41" t="s">
        <v>55</v>
      </c>
      <c r="AJ26" s="41" t="s">
        <v>54</v>
      </c>
    </row>
    <row r="27" spans="1:37">
      <c r="A27" s="39">
        <v>21</v>
      </c>
      <c r="B27" s="41" t="s">
        <v>58</v>
      </c>
      <c r="C27" s="50">
        <f t="shared" ref="C27:K27" si="23">C26/C7</f>
        <v>-1.9421256395667198E-2</v>
      </c>
      <c r="D27" s="50">
        <f t="shared" ref="D27:J27" si="24">D26/D7</f>
        <v>4.5403956848941204E-2</v>
      </c>
      <c r="E27" s="50" t="e">
        <f t="shared" si="24"/>
        <v>#DIV/0!</v>
      </c>
      <c r="F27" s="50" t="e">
        <f t="shared" si="24"/>
        <v>#DIV/0!</v>
      </c>
      <c r="G27" s="50" t="e">
        <f t="shared" si="24"/>
        <v>#DIV/0!</v>
      </c>
      <c r="H27" s="50" t="e">
        <f t="shared" si="24"/>
        <v>#DIV/0!</v>
      </c>
      <c r="I27" s="50" t="e">
        <f t="shared" si="24"/>
        <v>#DIV/0!</v>
      </c>
      <c r="J27" s="50" t="e">
        <f t="shared" si="24"/>
        <v>#DIV/0!</v>
      </c>
      <c r="K27" s="50">
        <f t="shared" si="23"/>
        <v>-2.587085549689561E-3</v>
      </c>
      <c r="L27" s="56"/>
      <c r="M27" s="56"/>
      <c r="N27" s="56"/>
      <c r="AI27" s="41" t="s">
        <v>57</v>
      </c>
      <c r="AJ27" s="41" t="s">
        <v>58</v>
      </c>
    </row>
    <row r="28" spans="1:37">
      <c r="L28" s="56"/>
      <c r="M28" s="56"/>
      <c r="N28" s="56"/>
    </row>
    <row r="29" spans="1:37">
      <c r="A29" s="37" t="s">
        <v>59</v>
      </c>
      <c r="K29" s="38" t="s">
        <v>143</v>
      </c>
      <c r="L29" s="56"/>
      <c r="M29" s="56"/>
      <c r="N29" s="56"/>
      <c r="AI29" s="37" t="s">
        <v>59</v>
      </c>
    </row>
    <row r="30" spans="1:37">
      <c r="A30" s="41" t="s">
        <v>60</v>
      </c>
      <c r="B30" s="44" t="s">
        <v>61</v>
      </c>
      <c r="C30" s="48"/>
      <c r="D30" s="48"/>
      <c r="E30" s="48"/>
      <c r="F30" s="48"/>
      <c r="G30" s="48"/>
      <c r="H30" s="48"/>
      <c r="I30" s="48"/>
      <c r="J30" s="48"/>
      <c r="K30" s="48"/>
      <c r="L30" s="56"/>
      <c r="M30" s="56"/>
      <c r="N30" s="56"/>
      <c r="P30" s="56"/>
      <c r="AI30" s="41" t="s">
        <v>62</v>
      </c>
      <c r="AJ30" s="44" t="s">
        <v>61</v>
      </c>
    </row>
    <row r="31" spans="1:37">
      <c r="A31" s="51">
        <v>1</v>
      </c>
      <c r="B31" s="46" t="s">
        <v>63</v>
      </c>
      <c r="C31" s="52">
        <f>销量!C8</f>
        <v>350.03</v>
      </c>
      <c r="D31" s="52">
        <f>销量!D8</f>
        <v>526.08000000000004</v>
      </c>
      <c r="E31" s="52">
        <f>销量!E8</f>
        <v>0</v>
      </c>
      <c r="F31" s="52">
        <f>销量!F8</f>
        <v>0</v>
      </c>
      <c r="G31" s="52">
        <f>销量!G8</f>
        <v>0</v>
      </c>
      <c r="H31" s="52">
        <f>销量!H8</f>
        <v>0</v>
      </c>
      <c r="I31" s="52">
        <f>销量!I8</f>
        <v>0</v>
      </c>
      <c r="J31" s="52">
        <f>销量!J8</f>
        <v>0</v>
      </c>
      <c r="K31" s="48"/>
      <c r="L31" s="56"/>
      <c r="M31" s="56"/>
      <c r="N31" s="56"/>
      <c r="P31" s="56"/>
      <c r="AI31" s="41" t="s">
        <v>17</v>
      </c>
      <c r="AJ31" s="41" t="s">
        <v>63</v>
      </c>
    </row>
    <row r="32" spans="1:37">
      <c r="A32" s="51">
        <v>2</v>
      </c>
      <c r="B32" s="41" t="s">
        <v>144</v>
      </c>
      <c r="C32" s="43">
        <f>C31*1</f>
        <v>350.03</v>
      </c>
      <c r="D32" s="43">
        <f t="shared" ref="D32:J32" si="25">D31*1</f>
        <v>526.08000000000004</v>
      </c>
      <c r="E32" s="43">
        <f t="shared" si="25"/>
        <v>0</v>
      </c>
      <c r="F32" s="43">
        <f t="shared" si="25"/>
        <v>0</v>
      </c>
      <c r="G32" s="43">
        <f t="shared" si="25"/>
        <v>0</v>
      </c>
      <c r="H32" s="43">
        <f t="shared" si="25"/>
        <v>0</v>
      </c>
      <c r="I32" s="43">
        <f t="shared" si="25"/>
        <v>0</v>
      </c>
      <c r="J32" s="43">
        <f t="shared" si="25"/>
        <v>0</v>
      </c>
      <c r="K32" s="48"/>
      <c r="L32" s="56"/>
      <c r="M32" s="56"/>
      <c r="N32" s="56"/>
      <c r="O32" s="56"/>
      <c r="P32" s="56"/>
      <c r="Q32" s="56"/>
      <c r="R32" s="56"/>
      <c r="AI32" s="41"/>
      <c r="AJ32" s="41"/>
    </row>
    <row r="33" spans="1:36">
      <c r="A33" s="51">
        <v>3</v>
      </c>
      <c r="B33" s="46" t="s">
        <v>64</v>
      </c>
      <c r="C33" s="191">
        <f>材料成本!E20</f>
        <v>255.9</v>
      </c>
      <c r="D33" s="191">
        <f>材料成本!E21</f>
        <v>363.43</v>
      </c>
      <c r="E33" s="191"/>
      <c r="F33" s="191"/>
      <c r="G33" s="191"/>
      <c r="H33" s="191"/>
      <c r="I33" s="191"/>
      <c r="J33" s="191"/>
      <c r="K33" s="48"/>
      <c r="M33" s="56"/>
      <c r="N33" s="56"/>
      <c r="O33" s="56"/>
      <c r="P33" s="56"/>
      <c r="Q33" s="56"/>
      <c r="R33" s="56"/>
      <c r="AI33" s="41" t="s">
        <v>19</v>
      </c>
      <c r="AJ33" s="41" t="s">
        <v>64</v>
      </c>
    </row>
    <row r="34" spans="1:36" ht="17.25" customHeight="1">
      <c r="A34" s="51">
        <v>4</v>
      </c>
      <c r="B34" s="41" t="s">
        <v>66</v>
      </c>
      <c r="C34" s="53">
        <f>C32-C33</f>
        <v>94.129999999999967</v>
      </c>
      <c r="D34" s="53">
        <f t="shared" ref="D34:J34" si="26">D32-D33</f>
        <v>162.65000000000003</v>
      </c>
      <c r="E34" s="53">
        <f t="shared" si="26"/>
        <v>0</v>
      </c>
      <c r="F34" s="53">
        <f t="shared" si="26"/>
        <v>0</v>
      </c>
      <c r="G34" s="53">
        <f t="shared" si="26"/>
        <v>0</v>
      </c>
      <c r="H34" s="53">
        <f t="shared" si="26"/>
        <v>0</v>
      </c>
      <c r="I34" s="53">
        <f t="shared" si="26"/>
        <v>0</v>
      </c>
      <c r="J34" s="53">
        <f t="shared" si="26"/>
        <v>0</v>
      </c>
      <c r="K34" s="48"/>
      <c r="M34" s="56"/>
      <c r="N34" s="56"/>
      <c r="O34" s="56"/>
      <c r="P34" s="56"/>
      <c r="Q34" s="56"/>
      <c r="R34" s="56"/>
      <c r="AI34" s="41" t="s">
        <v>65</v>
      </c>
      <c r="AJ34" s="41" t="s">
        <v>66</v>
      </c>
    </row>
    <row r="35" spans="1:36">
      <c r="A35" s="41" t="s">
        <v>62</v>
      </c>
      <c r="B35" s="44" t="s">
        <v>8</v>
      </c>
      <c r="C35" s="48"/>
      <c r="D35" s="48"/>
      <c r="E35" s="48"/>
      <c r="F35" s="48"/>
      <c r="G35" s="48"/>
      <c r="H35" s="48"/>
      <c r="I35" s="48"/>
      <c r="J35" s="48"/>
      <c r="K35" s="48"/>
      <c r="L35" s="56"/>
      <c r="M35" s="56"/>
      <c r="N35" s="56"/>
      <c r="O35" s="56"/>
      <c r="P35" s="56"/>
      <c r="Q35" s="56"/>
      <c r="R35" s="56"/>
      <c r="S35" s="56"/>
      <c r="T35" s="56"/>
      <c r="AI35" s="41" t="s">
        <v>68</v>
      </c>
      <c r="AJ35" s="44" t="s">
        <v>8</v>
      </c>
    </row>
    <row r="36" spans="1:36">
      <c r="A36" s="51">
        <v>1</v>
      </c>
      <c r="B36" s="41" t="s">
        <v>69</v>
      </c>
      <c r="C36" s="47">
        <f>标准成本!D4</f>
        <v>20.350954262285875</v>
      </c>
      <c r="D36" s="47">
        <f>标准成本!D18</f>
        <v>30.586606914559766</v>
      </c>
      <c r="E36" s="47">
        <f>标准成本!D32</f>
        <v>0</v>
      </c>
      <c r="F36" s="47">
        <f>标准成本!D45</f>
        <v>0</v>
      </c>
      <c r="G36" s="47">
        <f>标准成本!D58</f>
        <v>0</v>
      </c>
      <c r="H36" s="47">
        <f>标准成本!D71</f>
        <v>0</v>
      </c>
      <c r="I36" s="47">
        <f>标准成本!D84</f>
        <v>0</v>
      </c>
      <c r="J36" s="47">
        <f>标准成本!D97</f>
        <v>0</v>
      </c>
      <c r="K36" s="52"/>
      <c r="L36" s="56"/>
      <c r="M36" s="56"/>
      <c r="N36" s="56"/>
      <c r="O36" s="56"/>
      <c r="P36" s="56"/>
      <c r="Q36" s="56"/>
      <c r="R36" s="56"/>
      <c r="S36" s="56"/>
      <c r="T36" s="56"/>
      <c r="AI36" s="41" t="s">
        <v>65</v>
      </c>
      <c r="AJ36" s="41" t="s">
        <v>69</v>
      </c>
    </row>
    <row r="37" spans="1:36">
      <c r="A37" s="51">
        <v>2</v>
      </c>
      <c r="B37" s="41" t="s">
        <v>70</v>
      </c>
      <c r="C37" s="47">
        <f>标准成本!D6</f>
        <v>6.3244669626278549</v>
      </c>
      <c r="D37" s="47">
        <f>标准成本!D20</f>
        <v>9.5054011933241789</v>
      </c>
      <c r="E37" s="47">
        <f>标准成本!D34</f>
        <v>0</v>
      </c>
      <c r="F37" s="47">
        <f>标准成本!D47</f>
        <v>0</v>
      </c>
      <c r="G37" s="47">
        <f>标准成本!D60</f>
        <v>0</v>
      </c>
      <c r="H37" s="47">
        <f>标准成本!D73</f>
        <v>0</v>
      </c>
      <c r="I37" s="47">
        <f>标准成本!D86</f>
        <v>0</v>
      </c>
      <c r="J37" s="47">
        <f>标准成本!D99</f>
        <v>0</v>
      </c>
      <c r="K37" s="52"/>
      <c r="L37" s="56"/>
      <c r="M37" s="56"/>
      <c r="N37" s="56"/>
      <c r="O37" s="56"/>
      <c r="P37" s="56"/>
      <c r="Q37" s="56"/>
      <c r="R37" s="56"/>
      <c r="S37" s="56"/>
      <c r="T37" s="56"/>
      <c r="AI37" s="41" t="s">
        <v>22</v>
      </c>
      <c r="AJ37" s="41" t="s">
        <v>70</v>
      </c>
    </row>
    <row r="38" spans="1:36">
      <c r="A38" s="51">
        <v>3</v>
      </c>
      <c r="B38" s="41" t="s">
        <v>71</v>
      </c>
      <c r="C38" s="47">
        <f>标准成本!D10</f>
        <v>34.082000000000001</v>
      </c>
      <c r="D38" s="47">
        <f>标准成本!D24</f>
        <v>34.082000000000001</v>
      </c>
      <c r="E38" s="47">
        <f>标准成本!D38</f>
        <v>0</v>
      </c>
      <c r="F38" s="47">
        <f>标准成本!D51</f>
        <v>0</v>
      </c>
      <c r="G38" s="47">
        <f>标准成本!D64</f>
        <v>0</v>
      </c>
      <c r="H38" s="47">
        <f>标准成本!D77</f>
        <v>0</v>
      </c>
      <c r="I38" s="47">
        <f>标准成本!D90</f>
        <v>0</v>
      </c>
      <c r="J38" s="47">
        <f>标准成本!D103</f>
        <v>0</v>
      </c>
      <c r="K38" s="52"/>
      <c r="L38" s="56"/>
      <c r="M38" s="56"/>
      <c r="N38" s="56"/>
      <c r="O38" s="56"/>
      <c r="P38" s="56"/>
      <c r="Q38" s="56"/>
      <c r="R38" s="56"/>
      <c r="S38" s="56"/>
      <c r="T38" s="56"/>
      <c r="AI38" s="41" t="s">
        <v>28</v>
      </c>
      <c r="AJ38" s="41" t="s">
        <v>71</v>
      </c>
    </row>
    <row r="39" spans="1:36">
      <c r="A39" s="41" t="s">
        <v>68</v>
      </c>
      <c r="B39" s="44" t="s">
        <v>73</v>
      </c>
      <c r="C39" s="48"/>
      <c r="D39" s="48"/>
      <c r="E39" s="48"/>
      <c r="F39" s="48"/>
      <c r="G39" s="48"/>
      <c r="H39" s="48"/>
      <c r="I39" s="48"/>
      <c r="J39" s="48"/>
      <c r="K39" s="48"/>
      <c r="AI39" s="41" t="s">
        <v>72</v>
      </c>
      <c r="AJ39" s="44" t="s">
        <v>73</v>
      </c>
    </row>
    <row r="40" spans="1:36">
      <c r="A40" s="51">
        <v>1</v>
      </c>
      <c r="B40" s="41" t="s">
        <v>75</v>
      </c>
      <c r="C40" s="48">
        <f>C34-C36-C37-C38</f>
        <v>33.372578775086232</v>
      </c>
      <c r="D40" s="48">
        <f t="shared" ref="D40:J40" si="27">D34-D36-D37-D38</f>
        <v>88.475991892116099</v>
      </c>
      <c r="E40" s="48">
        <f t="shared" si="27"/>
        <v>0</v>
      </c>
      <c r="F40" s="48">
        <f t="shared" si="27"/>
        <v>0</v>
      </c>
      <c r="G40" s="48">
        <f t="shared" si="27"/>
        <v>0</v>
      </c>
      <c r="H40" s="48">
        <f t="shared" si="27"/>
        <v>0</v>
      </c>
      <c r="I40" s="48">
        <f t="shared" si="27"/>
        <v>0</v>
      </c>
      <c r="J40" s="48">
        <f t="shared" si="27"/>
        <v>0</v>
      </c>
      <c r="K40" s="48"/>
      <c r="AI40" s="41" t="s">
        <v>17</v>
      </c>
      <c r="AJ40" s="41" t="s">
        <v>75</v>
      </c>
    </row>
    <row r="41" spans="1:36">
      <c r="A41" s="51">
        <v>2</v>
      </c>
      <c r="B41" s="41" t="s">
        <v>76</v>
      </c>
      <c r="C41" s="48"/>
      <c r="D41" s="48"/>
      <c r="E41" s="48"/>
      <c r="F41" s="48"/>
      <c r="G41" s="48"/>
      <c r="H41" s="48"/>
      <c r="I41" s="48"/>
      <c r="J41" s="48"/>
      <c r="K41" s="48"/>
      <c r="AI41" s="41" t="s">
        <v>19</v>
      </c>
      <c r="AJ41" s="41" t="s">
        <v>76</v>
      </c>
    </row>
    <row r="42" spans="1:36">
      <c r="A42" s="41" t="s">
        <v>72</v>
      </c>
      <c r="B42" s="44" t="s">
        <v>78</v>
      </c>
      <c r="C42" s="48"/>
      <c r="D42" s="48"/>
      <c r="E42" s="48"/>
      <c r="F42" s="48"/>
      <c r="G42" s="48"/>
      <c r="H42" s="48"/>
      <c r="I42" s="48"/>
      <c r="J42" s="48"/>
      <c r="K42" s="48"/>
      <c r="AI42" s="41" t="s">
        <v>77</v>
      </c>
      <c r="AJ42" s="44" t="s">
        <v>78</v>
      </c>
    </row>
    <row r="43" spans="1:36">
      <c r="A43" s="51">
        <v>1</v>
      </c>
      <c r="B43" s="49" t="s">
        <v>79</v>
      </c>
      <c r="C43" s="47">
        <f>标准成本!D5</f>
        <v>15.751349999999999</v>
      </c>
      <c r="D43" s="47">
        <f>标准成本!D19</f>
        <v>23.6736</v>
      </c>
      <c r="E43" s="47">
        <f>标准成本!D33</f>
        <v>0</v>
      </c>
      <c r="F43" s="47">
        <f>标准成本!D46</f>
        <v>0</v>
      </c>
      <c r="G43" s="47">
        <f>标准成本!D59</f>
        <v>0</v>
      </c>
      <c r="H43" s="47">
        <f>标准成本!D72</f>
        <v>0</v>
      </c>
      <c r="I43" s="47">
        <f>标准成本!D85</f>
        <v>0</v>
      </c>
      <c r="J43" s="47">
        <f>标准成本!D98</f>
        <v>0</v>
      </c>
      <c r="K43" s="48"/>
      <c r="AI43" s="41" t="s">
        <v>17</v>
      </c>
      <c r="AJ43" s="41" t="s">
        <v>79</v>
      </c>
    </row>
    <row r="44" spans="1:36">
      <c r="A44" s="51">
        <v>2</v>
      </c>
      <c r="B44" s="49" t="s">
        <v>80</v>
      </c>
      <c r="C44" s="47">
        <f>标准成本!D9</f>
        <v>2.7652369999999999</v>
      </c>
      <c r="D44" s="47">
        <f>标准成本!D23</f>
        <v>4.1560320000000006</v>
      </c>
      <c r="E44" s="47">
        <f>标准成本!D37</f>
        <v>0</v>
      </c>
      <c r="F44" s="47">
        <f>标准成本!D50</f>
        <v>0</v>
      </c>
      <c r="G44" s="47">
        <f>标准成本!D63</f>
        <v>0</v>
      </c>
      <c r="H44" s="47">
        <f>标准成本!D76</f>
        <v>0</v>
      </c>
      <c r="I44" s="47">
        <f>标准成本!D89</f>
        <v>0</v>
      </c>
      <c r="J44" s="47">
        <f>标准成本!D102</f>
        <v>0</v>
      </c>
      <c r="K44" s="48"/>
      <c r="AI44" s="41" t="s">
        <v>19</v>
      </c>
      <c r="AJ44" s="41" t="s">
        <v>80</v>
      </c>
    </row>
    <row r="45" spans="1:36">
      <c r="A45" s="51">
        <v>3</v>
      </c>
      <c r="B45" s="49" t="s">
        <v>81</v>
      </c>
      <c r="C45" s="47">
        <f>标准成本!D8</f>
        <v>14.198375151261661</v>
      </c>
      <c r="D45" s="47">
        <f>标准成本!D22</f>
        <v>21.339545752009073</v>
      </c>
      <c r="E45" s="47">
        <f>标准成本!D36</f>
        <v>0</v>
      </c>
      <c r="F45" s="47">
        <f>标准成本!D49</f>
        <v>0</v>
      </c>
      <c r="G45" s="47">
        <f>标准成本!D62</f>
        <v>0</v>
      </c>
      <c r="H45" s="47">
        <f>标准成本!D75</f>
        <v>0</v>
      </c>
      <c r="I45" s="47">
        <f>标准成本!D88</f>
        <v>0</v>
      </c>
      <c r="J45" s="47">
        <f>标准成本!D101</f>
        <v>0</v>
      </c>
      <c r="K45" s="48"/>
      <c r="AI45" s="41" t="s">
        <v>65</v>
      </c>
      <c r="AJ45" s="41" t="s">
        <v>81</v>
      </c>
    </row>
    <row r="46" spans="1:36" s="36" customFormat="1">
      <c r="A46" s="51">
        <v>4</v>
      </c>
      <c r="B46" s="49" t="s">
        <v>82</v>
      </c>
      <c r="C46" s="54">
        <f>C21/C6</f>
        <v>0</v>
      </c>
      <c r="D46" s="54">
        <f t="shared" ref="D46:J46" si="28">D21/D6</f>
        <v>0</v>
      </c>
      <c r="E46" s="54" t="e">
        <f t="shared" si="28"/>
        <v>#DIV/0!</v>
      </c>
      <c r="F46" s="54" t="e">
        <f t="shared" si="28"/>
        <v>#DIV/0!</v>
      </c>
      <c r="G46" s="54" t="e">
        <f t="shared" si="28"/>
        <v>#DIV/0!</v>
      </c>
      <c r="H46" s="54" t="e">
        <f t="shared" si="28"/>
        <v>#DIV/0!</v>
      </c>
      <c r="I46" s="54" t="e">
        <f t="shared" si="28"/>
        <v>#DIV/0!</v>
      </c>
      <c r="J46" s="54" t="e">
        <f t="shared" si="28"/>
        <v>#DIV/0!</v>
      </c>
      <c r="K46" s="54"/>
      <c r="AI46" s="49" t="s">
        <v>25</v>
      </c>
      <c r="AJ46" s="49" t="s">
        <v>84</v>
      </c>
    </row>
    <row r="47" spans="1:36" s="36" customFormat="1">
      <c r="A47" s="51">
        <v>5</v>
      </c>
      <c r="B47" s="49" t="s">
        <v>84</v>
      </c>
      <c r="C47" s="47">
        <f>标准成本!D11</f>
        <v>7.4556389999999997</v>
      </c>
      <c r="D47" s="47">
        <f>标准成本!D25</f>
        <v>11.205504000000001</v>
      </c>
      <c r="E47" s="47">
        <f>标准成本!D39</f>
        <v>0</v>
      </c>
      <c r="F47" s="47">
        <f>标准成本!D52</f>
        <v>0</v>
      </c>
      <c r="G47" s="47">
        <f>标准成本!D65</f>
        <v>0</v>
      </c>
      <c r="H47" s="47">
        <f>标准成本!D78</f>
        <v>0</v>
      </c>
      <c r="I47" s="47">
        <f>标准成本!D91</f>
        <v>0</v>
      </c>
      <c r="J47" s="47">
        <f>标准成本!D104</f>
        <v>0</v>
      </c>
      <c r="K47" s="54"/>
      <c r="AI47" s="49" t="s">
        <v>25</v>
      </c>
      <c r="AJ47" s="49" t="s">
        <v>84</v>
      </c>
    </row>
    <row r="48" spans="1:36">
      <c r="A48" s="41" t="s">
        <v>77</v>
      </c>
      <c r="B48" s="44" t="s">
        <v>95</v>
      </c>
      <c r="C48" s="48">
        <f>C40-C43-C44-C45-C47-C46</f>
        <v>-6.7980223761754264</v>
      </c>
      <c r="D48" s="48">
        <f t="shared" ref="D48:J48" si="29">D40-D43-D44-D45-D47-D46</f>
        <v>28.101310140107028</v>
      </c>
      <c r="E48" s="48" t="e">
        <f t="shared" si="29"/>
        <v>#DIV/0!</v>
      </c>
      <c r="F48" s="48" t="e">
        <f t="shared" si="29"/>
        <v>#DIV/0!</v>
      </c>
      <c r="G48" s="48" t="e">
        <f t="shared" si="29"/>
        <v>#DIV/0!</v>
      </c>
      <c r="H48" s="48" t="e">
        <f t="shared" si="29"/>
        <v>#DIV/0!</v>
      </c>
      <c r="I48" s="48" t="e">
        <f t="shared" si="29"/>
        <v>#DIV/0!</v>
      </c>
      <c r="J48" s="48" t="e">
        <f t="shared" si="29"/>
        <v>#DIV/0!</v>
      </c>
      <c r="K48" s="48"/>
      <c r="AI48" s="41" t="s">
        <v>94</v>
      </c>
      <c r="AJ48" s="44" t="s">
        <v>95</v>
      </c>
    </row>
    <row r="51" spans="2:16">
      <c r="C51" s="55"/>
      <c r="D51" s="55"/>
      <c r="E51" s="55"/>
      <c r="F51" s="55"/>
      <c r="G51" s="55"/>
      <c r="H51" s="55"/>
      <c r="I51" s="55"/>
      <c r="J51" s="55"/>
    </row>
    <row r="54" spans="2:16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  <c r="O54" s="56"/>
      <c r="P54" s="56"/>
    </row>
    <row r="55" spans="2:16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  <c r="O55" s="56"/>
      <c r="P55" s="56"/>
    </row>
    <row r="56" spans="2:16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  <c r="O56" s="56"/>
      <c r="P56" s="56"/>
    </row>
    <row r="57" spans="2:16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  <c r="O57" s="56"/>
      <c r="P57" s="56"/>
    </row>
    <row r="58" spans="2:16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  <c r="O58" s="56"/>
      <c r="P58" s="56"/>
    </row>
    <row r="59" spans="2:16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  <c r="O59" s="56"/>
      <c r="P59" s="56"/>
    </row>
    <row r="60" spans="2:16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  <c r="O60" s="56"/>
      <c r="P60" s="56"/>
    </row>
    <row r="61" spans="2:16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  <c r="O61" s="56"/>
      <c r="P61" s="56"/>
    </row>
    <row r="62" spans="2:16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  <c r="O62" s="56"/>
      <c r="P62" s="56"/>
    </row>
    <row r="63" spans="2:16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  <c r="O63" s="56"/>
      <c r="P63" s="56"/>
    </row>
    <row r="64" spans="2:16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  <c r="O64" s="56"/>
      <c r="P64" s="56"/>
    </row>
    <row r="65" spans="2:16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  <c r="O65" s="56"/>
      <c r="P65" s="56"/>
    </row>
    <row r="66" spans="2:16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  <c r="O66" s="56"/>
      <c r="P66" s="56"/>
    </row>
    <row r="67" spans="2:16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6"/>
    </row>
    <row r="68" spans="2:16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6"/>
    </row>
    <row r="69" spans="2:16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6"/>
    </row>
    <row r="70" spans="2:16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6"/>
    </row>
    <row r="71" spans="2:16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6"/>
    </row>
    <row r="72" spans="2:16"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6"/>
    </row>
    <row r="73" spans="2:16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6"/>
    </row>
    <row r="74" spans="2:16"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6"/>
    </row>
  </sheetData>
  <mergeCells count="8">
    <mergeCell ref="A4:B4"/>
    <mergeCell ref="A5:B5"/>
    <mergeCell ref="K3:K5"/>
    <mergeCell ref="A1:B1"/>
    <mergeCell ref="C1:K1"/>
    <mergeCell ref="A2:B2"/>
    <mergeCell ref="C2:K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C24" sqref="C24"/>
    </sheetView>
  </sheetViews>
  <sheetFormatPr defaultColWidth="9" defaultRowHeight="16.5"/>
  <cols>
    <col min="1" max="1" width="5.125" style="37" customWidth="1"/>
    <col min="2" max="2" width="17.5" style="37" customWidth="1"/>
    <col min="3" max="10" width="13.25" style="38" customWidth="1"/>
    <col min="11" max="11" width="18.75" style="38" customWidth="1"/>
    <col min="12" max="12" width="12.375" style="37" customWidth="1"/>
    <col min="13" max="13" width="10.125" style="37" customWidth="1"/>
    <col min="14" max="20" width="9" style="37" customWidth="1"/>
    <col min="21" max="37" width="9" style="37"/>
    <col min="38" max="38" width="4.375" style="37" customWidth="1"/>
    <col min="39" max="39" width="13.875" style="37" customWidth="1"/>
    <col min="40" max="16384" width="9" style="37"/>
  </cols>
  <sheetData>
    <row r="1" spans="1:40">
      <c r="A1" s="239" t="s">
        <v>135</v>
      </c>
      <c r="B1" s="239"/>
      <c r="C1" s="243" t="s">
        <v>233</v>
      </c>
      <c r="D1" s="244"/>
      <c r="E1" s="244"/>
      <c r="F1" s="244"/>
      <c r="G1" s="244"/>
      <c r="H1" s="244"/>
      <c r="I1" s="244"/>
      <c r="J1" s="244"/>
      <c r="K1" s="245"/>
    </row>
    <row r="2" spans="1:40">
      <c r="A2" s="239" t="s">
        <v>136</v>
      </c>
      <c r="B2" s="239"/>
      <c r="C2" s="246" t="str">
        <f>'2023年'!C2:K2</f>
        <v>北京北汽李尔汽车系统有限公司保定分公司</v>
      </c>
      <c r="D2" s="246"/>
      <c r="E2" s="246"/>
      <c r="F2" s="246"/>
      <c r="G2" s="246"/>
      <c r="H2" s="246"/>
      <c r="I2" s="246"/>
      <c r="J2" s="246"/>
      <c r="K2" s="246"/>
    </row>
    <row r="3" spans="1:40">
      <c r="A3" s="239" t="s">
        <v>137</v>
      </c>
      <c r="B3" s="239"/>
      <c r="C3" s="148" t="str">
        <f>'2023年'!C3</f>
        <v>B01发泡</v>
      </c>
      <c r="D3" s="148" t="str">
        <f>'2023年'!D3</f>
        <v>V71发泡</v>
      </c>
      <c r="E3" s="148">
        <f>'2023年'!E3</f>
        <v>0</v>
      </c>
      <c r="F3" s="148">
        <f>'2023年'!F3</f>
        <v>0</v>
      </c>
      <c r="G3" s="148">
        <f>'2023年'!G3</f>
        <v>0</v>
      </c>
      <c r="H3" s="148">
        <f>'2023年'!H3</f>
        <v>0</v>
      </c>
      <c r="I3" s="148">
        <f>'2023年'!I3</f>
        <v>0</v>
      </c>
      <c r="J3" s="148">
        <f>'2023年'!J3</f>
        <v>0</v>
      </c>
      <c r="K3" s="240" t="s">
        <v>13</v>
      </c>
    </row>
    <row r="4" spans="1:40">
      <c r="A4" s="239" t="s">
        <v>138</v>
      </c>
      <c r="B4" s="239"/>
      <c r="C4" s="148">
        <f>'2023年'!C4</f>
        <v>0</v>
      </c>
      <c r="D4" s="148">
        <f>'2023年'!D4</f>
        <v>0</v>
      </c>
      <c r="E4" s="148">
        <f>'2023年'!E4</f>
        <v>0</v>
      </c>
      <c r="F4" s="148">
        <f>'2023年'!F4</f>
        <v>0</v>
      </c>
      <c r="G4" s="148">
        <f>'2023年'!G4</f>
        <v>0</v>
      </c>
      <c r="H4" s="148">
        <f>'2023年'!H4</f>
        <v>0</v>
      </c>
      <c r="I4" s="148">
        <f>'2023年'!I4</f>
        <v>0</v>
      </c>
      <c r="J4" s="148">
        <f>'2023年'!J4</f>
        <v>0</v>
      </c>
      <c r="K4" s="241"/>
    </row>
    <row r="5" spans="1:40">
      <c r="A5" s="239" t="s">
        <v>139</v>
      </c>
      <c r="B5" s="239"/>
      <c r="C5" s="40"/>
      <c r="D5" s="40"/>
      <c r="E5" s="40"/>
      <c r="F5" s="40"/>
      <c r="G5" s="40"/>
      <c r="H5" s="40"/>
      <c r="I5" s="40"/>
      <c r="J5" s="40"/>
      <c r="K5" s="242"/>
      <c r="AN5" s="37" t="s">
        <v>14</v>
      </c>
    </row>
    <row r="6" spans="1:40" ht="17.25">
      <c r="A6" s="41" t="s">
        <v>12</v>
      </c>
      <c r="B6" s="42" t="s">
        <v>140</v>
      </c>
      <c r="C6" s="13">
        <f>销量!C10</f>
        <v>0</v>
      </c>
      <c r="D6" s="13">
        <f>销量!D10</f>
        <v>0</v>
      </c>
      <c r="E6" s="13">
        <f>销量!E10</f>
        <v>0</v>
      </c>
      <c r="F6" s="13">
        <f>销量!F10</f>
        <v>0</v>
      </c>
      <c r="G6" s="13">
        <f>销量!G10</f>
        <v>0</v>
      </c>
      <c r="H6" s="13">
        <f>销量!H10</f>
        <v>0</v>
      </c>
      <c r="I6" s="13">
        <f>销量!I10</f>
        <v>0</v>
      </c>
      <c r="J6" s="13">
        <f>销量!J10</f>
        <v>0</v>
      </c>
      <c r="K6" s="43">
        <f t="shared" ref="K6:K15" si="0">SUM(C6:J6)</f>
        <v>0</v>
      </c>
      <c r="V6" s="42" t="s">
        <v>3</v>
      </c>
      <c r="AL6" s="41" t="s">
        <v>12</v>
      </c>
      <c r="AM6" s="42" t="s">
        <v>3</v>
      </c>
      <c r="AN6" s="37" t="s">
        <v>15</v>
      </c>
    </row>
    <row r="7" spans="1:40">
      <c r="A7" s="147">
        <v>1</v>
      </c>
      <c r="B7" s="42" t="s">
        <v>16</v>
      </c>
      <c r="C7" s="43">
        <f>C6*销量!C8</f>
        <v>0</v>
      </c>
      <c r="D7" s="43">
        <f>D6*销量!D8</f>
        <v>0</v>
      </c>
      <c r="E7" s="43">
        <f>E6*销量!E8</f>
        <v>0</v>
      </c>
      <c r="F7" s="43">
        <f>F6*销量!F8</f>
        <v>0</v>
      </c>
      <c r="G7" s="43">
        <f>G6*销量!G8</f>
        <v>0</v>
      </c>
      <c r="H7" s="43">
        <f>H6*销量!H8</f>
        <v>0</v>
      </c>
      <c r="I7" s="43">
        <f>I6*销量!I8</f>
        <v>0</v>
      </c>
      <c r="J7" s="43">
        <f>J6*销量!J8</f>
        <v>0</v>
      </c>
      <c r="K7" s="43">
        <f>SUM(C7:J7)</f>
        <v>0</v>
      </c>
      <c r="L7" s="38"/>
      <c r="V7" s="42" t="s">
        <v>16</v>
      </c>
      <c r="AL7" s="41" t="s">
        <v>17</v>
      </c>
      <c r="AM7" s="42" t="s">
        <v>16</v>
      </c>
      <c r="AN7" s="37" t="s">
        <v>15</v>
      </c>
    </row>
    <row r="8" spans="1:40">
      <c r="A8" s="147">
        <v>2</v>
      </c>
      <c r="B8" s="147" t="s">
        <v>18</v>
      </c>
      <c r="C8" s="43"/>
      <c r="D8" s="43">
        <f>D7*(1-销量!$O$7)</f>
        <v>0</v>
      </c>
      <c r="E8" s="43">
        <f>E7*(1-销量!$O$7)</f>
        <v>0</v>
      </c>
      <c r="F8" s="43">
        <f>F7*(1-销量!$O$7)</f>
        <v>0</v>
      </c>
      <c r="G8" s="43">
        <f>G7*(1-销量!$O$7)</f>
        <v>0</v>
      </c>
      <c r="H8" s="43">
        <f>H7*(1-销量!$O$7)</f>
        <v>0</v>
      </c>
      <c r="I8" s="43">
        <f>I7*(1-销量!$O$7)</f>
        <v>0</v>
      </c>
      <c r="J8" s="43">
        <f>J7*(1-销量!$O$7)</f>
        <v>0</v>
      </c>
      <c r="K8" s="43">
        <f t="shared" si="0"/>
        <v>0</v>
      </c>
      <c r="L8" s="58"/>
      <c r="V8" s="147" t="s">
        <v>20</v>
      </c>
      <c r="AL8" s="41" t="s">
        <v>19</v>
      </c>
      <c r="AM8" s="147" t="s">
        <v>20</v>
      </c>
      <c r="AN8" s="37" t="s">
        <v>15</v>
      </c>
    </row>
    <row r="9" spans="1:40">
      <c r="A9" s="147">
        <v>3</v>
      </c>
      <c r="B9" s="42" t="s">
        <v>21</v>
      </c>
      <c r="C9" s="43">
        <f>+C7-C8</f>
        <v>0</v>
      </c>
      <c r="D9" s="43">
        <f t="shared" ref="D9:J9" si="1">+D7-D8</f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  <c r="I9" s="43">
        <f t="shared" si="1"/>
        <v>0</v>
      </c>
      <c r="J9" s="43">
        <f t="shared" si="1"/>
        <v>0</v>
      </c>
      <c r="K9" s="43">
        <f t="shared" si="0"/>
        <v>0</v>
      </c>
      <c r="V9" s="42" t="s">
        <v>21</v>
      </c>
      <c r="AL9" s="41" t="s">
        <v>22</v>
      </c>
      <c r="AM9" s="42" t="s">
        <v>21</v>
      </c>
      <c r="AN9" s="37" t="s">
        <v>23</v>
      </c>
    </row>
    <row r="10" spans="1:40">
      <c r="A10" s="147">
        <v>4</v>
      </c>
      <c r="B10" s="41" t="s">
        <v>24</v>
      </c>
      <c r="C10" s="43">
        <f>C6*C33</f>
        <v>0</v>
      </c>
      <c r="D10" s="43">
        <f t="shared" ref="D10:J10" si="2">D6*D33</f>
        <v>0</v>
      </c>
      <c r="E10" s="43">
        <f t="shared" si="2"/>
        <v>0</v>
      </c>
      <c r="F10" s="43">
        <f t="shared" si="2"/>
        <v>0</v>
      </c>
      <c r="G10" s="43">
        <f t="shared" si="2"/>
        <v>0</v>
      </c>
      <c r="H10" s="43">
        <f t="shared" si="2"/>
        <v>0</v>
      </c>
      <c r="I10" s="43">
        <f t="shared" si="2"/>
        <v>0</v>
      </c>
      <c r="J10" s="43">
        <f t="shared" si="2"/>
        <v>0</v>
      </c>
      <c r="K10" s="43">
        <f t="shared" si="0"/>
        <v>0</v>
      </c>
      <c r="V10" s="41" t="s">
        <v>24</v>
      </c>
      <c r="AL10" s="41" t="s">
        <v>25</v>
      </c>
      <c r="AM10" s="41" t="s">
        <v>24</v>
      </c>
      <c r="AN10" s="37" t="s">
        <v>26</v>
      </c>
    </row>
    <row r="11" spans="1:40">
      <c r="A11" s="147">
        <v>5</v>
      </c>
      <c r="B11" s="41" t="s">
        <v>27</v>
      </c>
      <c r="C11" s="43">
        <f>+C6*C36</f>
        <v>0</v>
      </c>
      <c r="D11" s="43">
        <f t="shared" ref="D11:J11" si="3">+D6*D36</f>
        <v>0</v>
      </c>
      <c r="E11" s="43">
        <f t="shared" si="3"/>
        <v>0</v>
      </c>
      <c r="F11" s="43">
        <f t="shared" si="3"/>
        <v>0</v>
      </c>
      <c r="G11" s="43">
        <f t="shared" si="3"/>
        <v>0</v>
      </c>
      <c r="H11" s="43">
        <f t="shared" si="3"/>
        <v>0</v>
      </c>
      <c r="I11" s="43">
        <f t="shared" si="3"/>
        <v>0</v>
      </c>
      <c r="J11" s="43">
        <f t="shared" si="3"/>
        <v>0</v>
      </c>
      <c r="K11" s="43">
        <f t="shared" si="0"/>
        <v>0</v>
      </c>
      <c r="V11" s="41" t="s">
        <v>27</v>
      </c>
      <c r="AL11" s="41" t="s">
        <v>28</v>
      </c>
      <c r="AM11" s="41" t="s">
        <v>27</v>
      </c>
    </row>
    <row r="12" spans="1:40">
      <c r="A12" s="147">
        <v>6</v>
      </c>
      <c r="B12" s="41" t="s">
        <v>29</v>
      </c>
      <c r="C12" s="43">
        <f>+C6*C37</f>
        <v>0</v>
      </c>
      <c r="D12" s="43">
        <f t="shared" ref="D12:J12" si="4">+D6*D37</f>
        <v>0</v>
      </c>
      <c r="E12" s="43">
        <f t="shared" si="4"/>
        <v>0</v>
      </c>
      <c r="F12" s="43">
        <f t="shared" si="4"/>
        <v>0</v>
      </c>
      <c r="G12" s="43">
        <f t="shared" si="4"/>
        <v>0</v>
      </c>
      <c r="H12" s="43">
        <f t="shared" si="4"/>
        <v>0</v>
      </c>
      <c r="I12" s="43">
        <f t="shared" si="4"/>
        <v>0</v>
      </c>
      <c r="J12" s="43">
        <f t="shared" si="4"/>
        <v>0</v>
      </c>
      <c r="K12" s="43">
        <f t="shared" si="0"/>
        <v>0</v>
      </c>
      <c r="V12" s="41" t="s">
        <v>29</v>
      </c>
      <c r="AL12" s="41" t="s">
        <v>30</v>
      </c>
      <c r="AM12" s="41" t="s">
        <v>29</v>
      </c>
    </row>
    <row r="13" spans="1:40">
      <c r="A13" s="147">
        <v>7</v>
      </c>
      <c r="B13" s="41" t="s">
        <v>31</v>
      </c>
      <c r="C13" s="43">
        <f>+C6*C38</f>
        <v>0</v>
      </c>
      <c r="D13" s="43">
        <f t="shared" ref="D13:J13" si="5">+D6*D38</f>
        <v>0</v>
      </c>
      <c r="E13" s="43">
        <f t="shared" si="5"/>
        <v>0</v>
      </c>
      <c r="F13" s="43">
        <f t="shared" si="5"/>
        <v>0</v>
      </c>
      <c r="G13" s="43">
        <f t="shared" si="5"/>
        <v>0</v>
      </c>
      <c r="H13" s="43">
        <f t="shared" si="5"/>
        <v>0</v>
      </c>
      <c r="I13" s="43">
        <f t="shared" si="5"/>
        <v>0</v>
      </c>
      <c r="J13" s="43">
        <f t="shared" si="5"/>
        <v>0</v>
      </c>
      <c r="K13" s="43">
        <f t="shared" si="0"/>
        <v>0</v>
      </c>
      <c r="V13" s="41" t="s">
        <v>31</v>
      </c>
      <c r="AL13" s="41" t="s">
        <v>32</v>
      </c>
      <c r="AM13" s="41" t="s">
        <v>31</v>
      </c>
      <c r="AN13" s="37" t="s">
        <v>15</v>
      </c>
    </row>
    <row r="14" spans="1:40">
      <c r="A14" s="147">
        <v>8</v>
      </c>
      <c r="B14" s="44" t="s">
        <v>33</v>
      </c>
      <c r="C14" s="43">
        <f>SUM(C11:C13)</f>
        <v>0</v>
      </c>
      <c r="D14" s="43">
        <f t="shared" ref="D14:J14" si="6">SUM(D11:D13)</f>
        <v>0</v>
      </c>
      <c r="E14" s="43">
        <f t="shared" si="6"/>
        <v>0</v>
      </c>
      <c r="F14" s="43">
        <f t="shared" si="6"/>
        <v>0</v>
      </c>
      <c r="G14" s="43">
        <f t="shared" si="6"/>
        <v>0</v>
      </c>
      <c r="H14" s="43">
        <f t="shared" si="6"/>
        <v>0</v>
      </c>
      <c r="I14" s="43">
        <f t="shared" si="6"/>
        <v>0</v>
      </c>
      <c r="J14" s="43">
        <f t="shared" si="6"/>
        <v>0</v>
      </c>
      <c r="K14" s="43">
        <f t="shared" si="0"/>
        <v>0</v>
      </c>
      <c r="V14" s="44" t="s">
        <v>33</v>
      </c>
      <c r="AL14" s="41" t="s">
        <v>34</v>
      </c>
      <c r="AM14" s="44" t="s">
        <v>33</v>
      </c>
    </row>
    <row r="15" spans="1:40">
      <c r="A15" s="147">
        <v>9</v>
      </c>
      <c r="B15" s="44" t="s">
        <v>35</v>
      </c>
      <c r="C15" s="43">
        <f>+C9-C10-C14</f>
        <v>0</v>
      </c>
      <c r="D15" s="43">
        <f t="shared" ref="D15:J15" si="7">+D9-D10-D14</f>
        <v>0</v>
      </c>
      <c r="E15" s="43">
        <f t="shared" si="7"/>
        <v>0</v>
      </c>
      <c r="F15" s="43">
        <f t="shared" si="7"/>
        <v>0</v>
      </c>
      <c r="G15" s="43">
        <f t="shared" si="7"/>
        <v>0</v>
      </c>
      <c r="H15" s="43">
        <f t="shared" si="7"/>
        <v>0</v>
      </c>
      <c r="I15" s="43">
        <f t="shared" si="7"/>
        <v>0</v>
      </c>
      <c r="J15" s="43">
        <f t="shared" si="7"/>
        <v>0</v>
      </c>
      <c r="K15" s="43">
        <f t="shared" si="0"/>
        <v>0</v>
      </c>
      <c r="V15" s="44" t="s">
        <v>35</v>
      </c>
      <c r="AL15" s="41" t="s">
        <v>36</v>
      </c>
      <c r="AM15" s="44" t="s">
        <v>35</v>
      </c>
    </row>
    <row r="16" spans="1:40">
      <c r="A16" s="147">
        <v>10</v>
      </c>
      <c r="B16" s="41" t="s">
        <v>37</v>
      </c>
      <c r="C16" s="45" t="e">
        <f>+C15/C9</f>
        <v>#DIV/0!</v>
      </c>
      <c r="D16" s="45" t="e">
        <f t="shared" ref="D16:J16" si="8">+D15/D9</f>
        <v>#DIV/0!</v>
      </c>
      <c r="E16" s="45" t="e">
        <f t="shared" si="8"/>
        <v>#DIV/0!</v>
      </c>
      <c r="F16" s="45" t="e">
        <f t="shared" si="8"/>
        <v>#DIV/0!</v>
      </c>
      <c r="G16" s="45" t="e">
        <f t="shared" si="8"/>
        <v>#DIV/0!</v>
      </c>
      <c r="H16" s="45" t="e">
        <f t="shared" si="8"/>
        <v>#DIV/0!</v>
      </c>
      <c r="I16" s="45" t="e">
        <f t="shared" si="8"/>
        <v>#DIV/0!</v>
      </c>
      <c r="J16" s="45" t="e">
        <f t="shared" si="8"/>
        <v>#DIV/0!</v>
      </c>
      <c r="K16" s="45" t="e">
        <f t="shared" ref="K16" si="9">+K15/K9</f>
        <v>#DIV/0!</v>
      </c>
      <c r="V16" s="41" t="s">
        <v>37</v>
      </c>
      <c r="AL16" s="41" t="s">
        <v>38</v>
      </c>
      <c r="AM16" s="41" t="s">
        <v>37</v>
      </c>
    </row>
    <row r="17" spans="1:40">
      <c r="A17" s="147">
        <v>11</v>
      </c>
      <c r="B17" s="41" t="s">
        <v>39</v>
      </c>
      <c r="C17" s="43" t="e">
        <f>C6*C43+C18</f>
        <v>#DIV/0!</v>
      </c>
      <c r="D17" s="43" t="e">
        <f t="shared" ref="D17:J17" si="10">D6*D43+D18</f>
        <v>#DIV/0!</v>
      </c>
      <c r="E17" s="43" t="e">
        <f t="shared" si="10"/>
        <v>#DIV/0!</v>
      </c>
      <c r="F17" s="43" t="e">
        <f t="shared" si="10"/>
        <v>#DIV/0!</v>
      </c>
      <c r="G17" s="43" t="e">
        <f t="shared" si="10"/>
        <v>#DIV/0!</v>
      </c>
      <c r="H17" s="43" t="e">
        <f t="shared" si="10"/>
        <v>#DIV/0!</v>
      </c>
      <c r="I17" s="43" t="e">
        <f t="shared" si="10"/>
        <v>#DIV/0!</v>
      </c>
      <c r="J17" s="43" t="e">
        <f t="shared" si="10"/>
        <v>#DIV/0!</v>
      </c>
      <c r="K17" s="43" t="e">
        <f>SUM(C17:J17)</f>
        <v>#DIV/0!</v>
      </c>
      <c r="L17" s="58"/>
      <c r="V17" s="41" t="s">
        <v>39</v>
      </c>
      <c r="AL17" s="41" t="s">
        <v>40</v>
      </c>
      <c r="AM17" s="41" t="s">
        <v>39</v>
      </c>
    </row>
    <row r="18" spans="1:40" s="35" customFormat="1">
      <c r="A18" s="147">
        <v>12</v>
      </c>
      <c r="B18" s="46" t="s">
        <v>141</v>
      </c>
      <c r="C18" s="47" t="e">
        <f>$K$18/$K$6*C6</f>
        <v>#DIV/0!</v>
      </c>
      <c r="D18" s="47" t="e">
        <f t="shared" ref="D18:J18" si="11">$K$18/$K$6*D6</f>
        <v>#DIV/0!</v>
      </c>
      <c r="E18" s="47" t="e">
        <f t="shared" si="11"/>
        <v>#DIV/0!</v>
      </c>
      <c r="F18" s="47" t="e">
        <f t="shared" si="11"/>
        <v>#DIV/0!</v>
      </c>
      <c r="G18" s="47" t="e">
        <f t="shared" si="11"/>
        <v>#DIV/0!</v>
      </c>
      <c r="H18" s="47" t="e">
        <f t="shared" si="11"/>
        <v>#DIV/0!</v>
      </c>
      <c r="I18" s="47" t="e">
        <f t="shared" si="11"/>
        <v>#DIV/0!</v>
      </c>
      <c r="J18" s="47" t="e">
        <f t="shared" si="11"/>
        <v>#DIV/0!</v>
      </c>
      <c r="K18" s="47">
        <f>项目投资!D26</f>
        <v>0</v>
      </c>
      <c r="L18" s="59" t="s">
        <v>142</v>
      </c>
      <c r="M18" s="59"/>
      <c r="N18" s="59"/>
    </row>
    <row r="19" spans="1:40">
      <c r="A19" s="147">
        <v>13</v>
      </c>
      <c r="B19" s="41" t="s">
        <v>41</v>
      </c>
      <c r="C19" s="43">
        <f>C6*C44</f>
        <v>0</v>
      </c>
      <c r="D19" s="43">
        <f t="shared" ref="D19:J19" si="12">D6*D44</f>
        <v>0</v>
      </c>
      <c r="E19" s="43">
        <f t="shared" si="12"/>
        <v>0</v>
      </c>
      <c r="F19" s="43">
        <f t="shared" si="12"/>
        <v>0</v>
      </c>
      <c r="G19" s="43">
        <f t="shared" si="12"/>
        <v>0</v>
      </c>
      <c r="H19" s="43">
        <f t="shared" si="12"/>
        <v>0</v>
      </c>
      <c r="I19" s="43">
        <f t="shared" si="12"/>
        <v>0</v>
      </c>
      <c r="J19" s="43">
        <f t="shared" si="12"/>
        <v>0</v>
      </c>
      <c r="K19" s="43">
        <f>SUM(C19:J19)</f>
        <v>0</v>
      </c>
      <c r="L19" s="35"/>
      <c r="V19" s="41" t="s">
        <v>41</v>
      </c>
      <c r="AL19" s="41" t="s">
        <v>42</v>
      </c>
      <c r="AM19" s="41" t="s">
        <v>41</v>
      </c>
      <c r="AN19" s="37" t="s">
        <v>15</v>
      </c>
    </row>
    <row r="20" spans="1:40">
      <c r="A20" s="147">
        <v>14</v>
      </c>
      <c r="B20" s="41" t="s">
        <v>43</v>
      </c>
      <c r="C20" s="43">
        <f>C6*C45</f>
        <v>0</v>
      </c>
      <c r="D20" s="43">
        <f t="shared" ref="D20:J20" si="13">D6*D45</f>
        <v>0</v>
      </c>
      <c r="E20" s="43">
        <f t="shared" si="13"/>
        <v>0</v>
      </c>
      <c r="F20" s="43">
        <f t="shared" si="13"/>
        <v>0</v>
      </c>
      <c r="G20" s="43">
        <f t="shared" si="13"/>
        <v>0</v>
      </c>
      <c r="H20" s="43">
        <f t="shared" si="13"/>
        <v>0</v>
      </c>
      <c r="I20" s="43">
        <f t="shared" si="13"/>
        <v>0</v>
      </c>
      <c r="J20" s="43">
        <f t="shared" si="13"/>
        <v>0</v>
      </c>
      <c r="K20" s="43">
        <f>SUM(C20:J20)</f>
        <v>0</v>
      </c>
      <c r="V20" s="41" t="s">
        <v>43</v>
      </c>
      <c r="AL20" s="41" t="s">
        <v>44</v>
      </c>
      <c r="AM20" s="41" t="s">
        <v>43</v>
      </c>
    </row>
    <row r="21" spans="1:40">
      <c r="A21" s="147">
        <v>15</v>
      </c>
      <c r="B21" s="41" t="s">
        <v>45</v>
      </c>
      <c r="C21" s="48" t="e">
        <f>$K$21/$K$6*C6</f>
        <v>#DIV/0!</v>
      </c>
      <c r="D21" s="48" t="e">
        <f t="shared" ref="D21:J21" si="14">$K$21/$K$6*D6</f>
        <v>#DIV/0!</v>
      </c>
      <c r="E21" s="48" t="e">
        <f t="shared" si="14"/>
        <v>#DIV/0!</v>
      </c>
      <c r="F21" s="48" t="e">
        <f t="shared" si="14"/>
        <v>#DIV/0!</v>
      </c>
      <c r="G21" s="48" t="e">
        <f t="shared" si="14"/>
        <v>#DIV/0!</v>
      </c>
      <c r="H21" s="48" t="e">
        <f t="shared" si="14"/>
        <v>#DIV/0!</v>
      </c>
      <c r="I21" s="48" t="e">
        <f t="shared" si="14"/>
        <v>#DIV/0!</v>
      </c>
      <c r="J21" s="48" t="e">
        <f t="shared" si="14"/>
        <v>#DIV/0!</v>
      </c>
      <c r="K21" s="43">
        <f>项目投资!E27</f>
        <v>0</v>
      </c>
      <c r="V21" s="41" t="s">
        <v>45</v>
      </c>
      <c r="AL21" s="41"/>
      <c r="AM21" s="41"/>
    </row>
    <row r="22" spans="1:40">
      <c r="A22" s="147">
        <v>16</v>
      </c>
      <c r="B22" s="41" t="s">
        <v>46</v>
      </c>
      <c r="C22" s="43">
        <f>C6*C47</f>
        <v>0</v>
      </c>
      <c r="D22" s="43">
        <f t="shared" ref="D22:J22" si="15">D6*D47</f>
        <v>0</v>
      </c>
      <c r="E22" s="43">
        <f t="shared" si="15"/>
        <v>0</v>
      </c>
      <c r="F22" s="43">
        <f t="shared" si="15"/>
        <v>0</v>
      </c>
      <c r="G22" s="43">
        <f t="shared" si="15"/>
        <v>0</v>
      </c>
      <c r="H22" s="43">
        <f t="shared" si="15"/>
        <v>0</v>
      </c>
      <c r="I22" s="43">
        <f t="shared" si="15"/>
        <v>0</v>
      </c>
      <c r="J22" s="43">
        <f t="shared" si="15"/>
        <v>0</v>
      </c>
      <c r="K22" s="43">
        <f>SUM(C22:J22)</f>
        <v>0</v>
      </c>
      <c r="V22" s="41" t="s">
        <v>46</v>
      </c>
      <c r="AL22" s="41" t="s">
        <v>47</v>
      </c>
      <c r="AM22" s="41" t="s">
        <v>46</v>
      </c>
    </row>
    <row r="23" spans="1:40">
      <c r="A23" s="147">
        <v>17</v>
      </c>
      <c r="B23" s="44" t="s">
        <v>48</v>
      </c>
      <c r="C23" s="48" t="e">
        <f>+C22+C21+C20+C19+C17</f>
        <v>#DIV/0!</v>
      </c>
      <c r="D23" s="48" t="e">
        <f t="shared" ref="D23:J23" si="16">+D22+D21+D20+D19+D17</f>
        <v>#DIV/0!</v>
      </c>
      <c r="E23" s="48" t="e">
        <f t="shared" si="16"/>
        <v>#DIV/0!</v>
      </c>
      <c r="F23" s="48" t="e">
        <f t="shared" si="16"/>
        <v>#DIV/0!</v>
      </c>
      <c r="G23" s="48" t="e">
        <f t="shared" si="16"/>
        <v>#DIV/0!</v>
      </c>
      <c r="H23" s="48" t="e">
        <f t="shared" si="16"/>
        <v>#DIV/0!</v>
      </c>
      <c r="I23" s="48" t="e">
        <f t="shared" si="16"/>
        <v>#DIV/0!</v>
      </c>
      <c r="J23" s="48" t="e">
        <f t="shared" si="16"/>
        <v>#DIV/0!</v>
      </c>
      <c r="K23" s="48" t="e">
        <f t="shared" ref="K23" si="17">+K22+K21+K20+K19+K17</f>
        <v>#DIV/0!</v>
      </c>
      <c r="V23" s="44" t="s">
        <v>48</v>
      </c>
      <c r="AL23" s="41" t="s">
        <v>49</v>
      </c>
      <c r="AM23" s="44" t="s">
        <v>48</v>
      </c>
    </row>
    <row r="24" spans="1:40">
      <c r="A24" s="147">
        <v>18</v>
      </c>
      <c r="B24" s="49" t="s">
        <v>50</v>
      </c>
      <c r="C24" s="48" t="e">
        <f>+C15-C23</f>
        <v>#DIV/0!</v>
      </c>
      <c r="D24" s="48" t="e">
        <f t="shared" ref="D24:J24" si="18">+D15-D23</f>
        <v>#DIV/0!</v>
      </c>
      <c r="E24" s="48" t="e">
        <f t="shared" si="18"/>
        <v>#DIV/0!</v>
      </c>
      <c r="F24" s="48" t="e">
        <f t="shared" si="18"/>
        <v>#DIV/0!</v>
      </c>
      <c r="G24" s="48" t="e">
        <f t="shared" si="18"/>
        <v>#DIV/0!</v>
      </c>
      <c r="H24" s="48" t="e">
        <f t="shared" si="18"/>
        <v>#DIV/0!</v>
      </c>
      <c r="I24" s="48" t="e">
        <f t="shared" si="18"/>
        <v>#DIV/0!</v>
      </c>
      <c r="J24" s="48" t="e">
        <f t="shared" si="18"/>
        <v>#DIV/0!</v>
      </c>
      <c r="K24" s="48" t="e">
        <f t="shared" ref="K24" si="19">+K15-K23</f>
        <v>#DIV/0!</v>
      </c>
      <c r="M24" s="60"/>
      <c r="V24" s="41" t="s">
        <v>50</v>
      </c>
      <c r="AL24" s="41" t="s">
        <v>51</v>
      </c>
      <c r="AM24" s="41" t="s">
        <v>50</v>
      </c>
    </row>
    <row r="25" spans="1:40">
      <c r="A25" s="147">
        <v>19</v>
      </c>
      <c r="B25" s="41" t="s">
        <v>229</v>
      </c>
      <c r="C25" s="48" t="e">
        <f>IF(C24&lt;0,0,C24*0.15)</f>
        <v>#DIV/0!</v>
      </c>
      <c r="D25" s="48" t="e">
        <f t="shared" ref="D25:J25" si="20">IF(D24&lt;0,0,D24*0.15)</f>
        <v>#DIV/0!</v>
      </c>
      <c r="E25" s="48" t="e">
        <f t="shared" si="20"/>
        <v>#DIV/0!</v>
      </c>
      <c r="F25" s="48" t="e">
        <f t="shared" si="20"/>
        <v>#DIV/0!</v>
      </c>
      <c r="G25" s="48" t="e">
        <f t="shared" si="20"/>
        <v>#DIV/0!</v>
      </c>
      <c r="H25" s="48" t="e">
        <f t="shared" si="20"/>
        <v>#DIV/0!</v>
      </c>
      <c r="I25" s="48" t="e">
        <f t="shared" si="20"/>
        <v>#DIV/0!</v>
      </c>
      <c r="J25" s="48" t="e">
        <f t="shared" si="20"/>
        <v>#DIV/0!</v>
      </c>
      <c r="K25" s="48" t="e">
        <f>IF(K24&lt;0,0,K24*0.15)</f>
        <v>#DIV/0!</v>
      </c>
      <c r="L25" s="56"/>
      <c r="M25" s="56"/>
      <c r="N25" s="56"/>
      <c r="V25" s="41" t="s">
        <v>52</v>
      </c>
      <c r="AL25" s="41" t="s">
        <v>53</v>
      </c>
      <c r="AM25" s="41" t="s">
        <v>52</v>
      </c>
    </row>
    <row r="26" spans="1:40">
      <c r="A26" s="147">
        <v>20</v>
      </c>
      <c r="B26" s="41" t="s">
        <v>54</v>
      </c>
      <c r="C26" s="48" t="e">
        <f t="shared" ref="C26" si="21">C24-C25</f>
        <v>#DIV/0!</v>
      </c>
      <c r="D26" s="48" t="e">
        <f t="shared" ref="D26:J26" si="22">D24-D25</f>
        <v>#DIV/0!</v>
      </c>
      <c r="E26" s="48" t="e">
        <f t="shared" si="22"/>
        <v>#DIV/0!</v>
      </c>
      <c r="F26" s="48" t="e">
        <f t="shared" si="22"/>
        <v>#DIV/0!</v>
      </c>
      <c r="G26" s="48" t="e">
        <f t="shared" si="22"/>
        <v>#DIV/0!</v>
      </c>
      <c r="H26" s="48" t="e">
        <f t="shared" si="22"/>
        <v>#DIV/0!</v>
      </c>
      <c r="I26" s="48" t="e">
        <f t="shared" si="22"/>
        <v>#DIV/0!</v>
      </c>
      <c r="J26" s="48" t="e">
        <f t="shared" si="22"/>
        <v>#DIV/0!</v>
      </c>
      <c r="K26" s="43" t="e">
        <f>K24-K25</f>
        <v>#DIV/0!</v>
      </c>
      <c r="L26" s="56"/>
      <c r="M26" s="56"/>
      <c r="N26" s="56"/>
      <c r="V26" s="41" t="s">
        <v>54</v>
      </c>
      <c r="AL26" s="41" t="s">
        <v>55</v>
      </c>
      <c r="AM26" s="41" t="s">
        <v>54</v>
      </c>
    </row>
    <row r="27" spans="1:40">
      <c r="A27" s="147">
        <v>21</v>
      </c>
      <c r="B27" s="41" t="s">
        <v>58</v>
      </c>
      <c r="C27" s="50" t="e">
        <f t="shared" ref="C27:K27" si="23">C26/C7</f>
        <v>#DIV/0!</v>
      </c>
      <c r="D27" s="50" t="e">
        <f t="shared" ref="D27:J27" si="24">D26/D7</f>
        <v>#DIV/0!</v>
      </c>
      <c r="E27" s="50" t="e">
        <f t="shared" si="24"/>
        <v>#DIV/0!</v>
      </c>
      <c r="F27" s="50" t="e">
        <f t="shared" si="24"/>
        <v>#DIV/0!</v>
      </c>
      <c r="G27" s="50" t="e">
        <f t="shared" si="24"/>
        <v>#DIV/0!</v>
      </c>
      <c r="H27" s="50" t="e">
        <f t="shared" si="24"/>
        <v>#DIV/0!</v>
      </c>
      <c r="I27" s="50" t="e">
        <f t="shared" si="24"/>
        <v>#DIV/0!</v>
      </c>
      <c r="J27" s="50" t="e">
        <f t="shared" si="24"/>
        <v>#DIV/0!</v>
      </c>
      <c r="K27" s="50" t="e">
        <f t="shared" si="23"/>
        <v>#DIV/0!</v>
      </c>
      <c r="L27" s="56"/>
      <c r="M27" s="56"/>
      <c r="N27" s="56"/>
      <c r="V27" s="41" t="s">
        <v>58</v>
      </c>
      <c r="AL27" s="41" t="s">
        <v>57</v>
      </c>
      <c r="AM27" s="41" t="s">
        <v>58</v>
      </c>
    </row>
    <row r="28" spans="1:40">
      <c r="L28" s="56"/>
      <c r="M28" s="56"/>
      <c r="N28" s="56"/>
      <c r="V28" s="41"/>
    </row>
    <row r="29" spans="1:40">
      <c r="A29" s="37" t="s">
        <v>59</v>
      </c>
      <c r="K29" s="38" t="s">
        <v>143</v>
      </c>
      <c r="L29" s="56"/>
      <c r="M29" s="56"/>
      <c r="N29" s="56"/>
      <c r="V29" s="41"/>
      <c r="AL29" s="37" t="s">
        <v>59</v>
      </c>
    </row>
    <row r="30" spans="1:40">
      <c r="A30" s="41" t="s">
        <v>60</v>
      </c>
      <c r="B30" s="44" t="s">
        <v>61</v>
      </c>
      <c r="C30" s="48"/>
      <c r="D30" s="48"/>
      <c r="E30" s="48"/>
      <c r="F30" s="48"/>
      <c r="G30" s="48"/>
      <c r="H30" s="48"/>
      <c r="I30" s="48"/>
      <c r="J30" s="48"/>
      <c r="K30" s="48"/>
      <c r="L30" s="56"/>
      <c r="M30" s="56"/>
      <c r="N30" s="56"/>
      <c r="P30" s="56"/>
      <c r="V30" s="44" t="s">
        <v>61</v>
      </c>
      <c r="AL30" s="41" t="s">
        <v>62</v>
      </c>
      <c r="AM30" s="44" t="s">
        <v>61</v>
      </c>
    </row>
    <row r="31" spans="1:40">
      <c r="A31" s="147">
        <v>1</v>
      </c>
      <c r="B31" s="46" t="s">
        <v>63</v>
      </c>
      <c r="C31" s="52">
        <f>'2023年'!C31</f>
        <v>350.03</v>
      </c>
      <c r="D31" s="52">
        <f>'2023年'!D31</f>
        <v>526.08000000000004</v>
      </c>
      <c r="E31" s="52">
        <f>'2023年'!E31</f>
        <v>0</v>
      </c>
      <c r="F31" s="52">
        <f>'2023年'!F31</f>
        <v>0</v>
      </c>
      <c r="G31" s="52">
        <f>'2023年'!G31</f>
        <v>0</v>
      </c>
      <c r="H31" s="52">
        <f>'2023年'!H31</f>
        <v>0</v>
      </c>
      <c r="I31" s="52">
        <f>'2023年'!I31</f>
        <v>0</v>
      </c>
      <c r="J31" s="52">
        <f>'2023年'!J31</f>
        <v>0</v>
      </c>
      <c r="K31" s="48"/>
      <c r="L31" s="56"/>
      <c r="M31" s="56"/>
      <c r="N31" s="56"/>
      <c r="P31" s="56"/>
      <c r="V31" s="41" t="s">
        <v>63</v>
      </c>
      <c r="AL31" s="41" t="s">
        <v>17</v>
      </c>
      <c r="AM31" s="41" t="s">
        <v>63</v>
      </c>
    </row>
    <row r="32" spans="1:40">
      <c r="A32" s="147">
        <v>2</v>
      </c>
      <c r="B32" s="41" t="s">
        <v>144</v>
      </c>
      <c r="C32" s="43" t="e">
        <f>C9/C6</f>
        <v>#DIV/0!</v>
      </c>
      <c r="D32" s="43" t="e">
        <f t="shared" ref="D32:J32" si="25">D9/D6</f>
        <v>#DIV/0!</v>
      </c>
      <c r="E32" s="43" t="e">
        <f t="shared" si="25"/>
        <v>#DIV/0!</v>
      </c>
      <c r="F32" s="43" t="e">
        <f t="shared" si="25"/>
        <v>#DIV/0!</v>
      </c>
      <c r="G32" s="43" t="e">
        <f t="shared" si="25"/>
        <v>#DIV/0!</v>
      </c>
      <c r="H32" s="43" t="e">
        <f t="shared" si="25"/>
        <v>#DIV/0!</v>
      </c>
      <c r="I32" s="43" t="e">
        <f t="shared" si="25"/>
        <v>#DIV/0!</v>
      </c>
      <c r="J32" s="43" t="e">
        <f t="shared" si="25"/>
        <v>#DIV/0!</v>
      </c>
      <c r="K32" s="48"/>
      <c r="L32" s="56"/>
      <c r="M32" s="56"/>
      <c r="N32" s="56"/>
      <c r="O32" s="56"/>
      <c r="P32" s="56"/>
      <c r="Q32" s="56"/>
      <c r="R32" s="56"/>
      <c r="AL32" s="41"/>
      <c r="AM32" s="41"/>
    </row>
    <row r="33" spans="1:39">
      <c r="A33" s="147">
        <v>3</v>
      </c>
      <c r="B33" s="46" t="s">
        <v>64</v>
      </c>
      <c r="C33" s="157">
        <f>材料成本!F20</f>
        <v>0</v>
      </c>
      <c r="D33" s="157">
        <f>'2023年'!D33*(1-0.01)</f>
        <v>359.79570000000001</v>
      </c>
      <c r="E33" s="157">
        <f>'2023年'!E33*(1-0.01)</f>
        <v>0</v>
      </c>
      <c r="F33" s="157">
        <f>'2023年'!F33*(1-0.01)</f>
        <v>0</v>
      </c>
      <c r="G33" s="157">
        <f>'2023年'!G33*(1-0.01)</f>
        <v>0</v>
      </c>
      <c r="H33" s="157">
        <f>'2023年'!H33*(1-0.01)</f>
        <v>0</v>
      </c>
      <c r="I33" s="157">
        <f>'2023年'!I33*(1-0.01)</f>
        <v>0</v>
      </c>
      <c r="J33" s="157">
        <f>'2023年'!J33*(1-0.01)</f>
        <v>0</v>
      </c>
      <c r="K33" s="48"/>
      <c r="M33" s="56"/>
      <c r="N33" s="56"/>
      <c r="O33" s="56"/>
      <c r="P33" s="56"/>
      <c r="Q33" s="56"/>
      <c r="R33" s="56"/>
      <c r="V33" s="41" t="s">
        <v>64</v>
      </c>
      <c r="AL33" s="41" t="s">
        <v>19</v>
      </c>
      <c r="AM33" s="41" t="s">
        <v>64</v>
      </c>
    </row>
    <row r="34" spans="1:39" ht="17.25" customHeight="1">
      <c r="A34" s="147">
        <v>4</v>
      </c>
      <c r="B34" s="41" t="s">
        <v>66</v>
      </c>
      <c r="C34" s="53" t="e">
        <f>C32-C33</f>
        <v>#DIV/0!</v>
      </c>
      <c r="D34" s="53" t="e">
        <f t="shared" ref="D34:J34" si="26">D32-D33</f>
        <v>#DIV/0!</v>
      </c>
      <c r="E34" s="53" t="e">
        <f t="shared" si="26"/>
        <v>#DIV/0!</v>
      </c>
      <c r="F34" s="53" t="e">
        <f t="shared" si="26"/>
        <v>#DIV/0!</v>
      </c>
      <c r="G34" s="53" t="e">
        <f t="shared" si="26"/>
        <v>#DIV/0!</v>
      </c>
      <c r="H34" s="53" t="e">
        <f t="shared" si="26"/>
        <v>#DIV/0!</v>
      </c>
      <c r="I34" s="53" t="e">
        <f t="shared" si="26"/>
        <v>#DIV/0!</v>
      </c>
      <c r="J34" s="53" t="e">
        <f t="shared" si="26"/>
        <v>#DIV/0!</v>
      </c>
      <c r="K34" s="48"/>
      <c r="M34" s="56"/>
      <c r="N34" s="56"/>
      <c r="O34" s="56"/>
      <c r="P34" s="56"/>
      <c r="Q34" s="56"/>
      <c r="R34" s="56"/>
      <c r="V34" s="41" t="s">
        <v>66</v>
      </c>
      <c r="AL34" s="41" t="s">
        <v>65</v>
      </c>
      <c r="AM34" s="41" t="s">
        <v>66</v>
      </c>
    </row>
    <row r="35" spans="1:39">
      <c r="A35" s="41" t="s">
        <v>62</v>
      </c>
      <c r="B35" s="44" t="s">
        <v>8</v>
      </c>
      <c r="C35" s="48"/>
      <c r="D35" s="48"/>
      <c r="E35" s="48"/>
      <c r="F35" s="48"/>
      <c r="G35" s="48"/>
      <c r="H35" s="48"/>
      <c r="I35" s="48"/>
      <c r="J35" s="48"/>
      <c r="K35" s="48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44" t="s">
        <v>8</v>
      </c>
      <c r="AL35" s="41" t="s">
        <v>68</v>
      </c>
      <c r="AM35" s="44" t="s">
        <v>8</v>
      </c>
    </row>
    <row r="36" spans="1:39">
      <c r="A36" s="147">
        <v>1</v>
      </c>
      <c r="B36" s="41" t="s">
        <v>69</v>
      </c>
      <c r="C36" s="47">
        <f>'2023年'!C36</f>
        <v>20.350954262285875</v>
      </c>
      <c r="D36" s="47">
        <f>'2023年'!D36</f>
        <v>30.586606914559766</v>
      </c>
      <c r="E36" s="47">
        <f>'2023年'!E36</f>
        <v>0</v>
      </c>
      <c r="F36" s="47">
        <f>'2023年'!F36</f>
        <v>0</v>
      </c>
      <c r="G36" s="47">
        <f>'2023年'!G36</f>
        <v>0</v>
      </c>
      <c r="H36" s="47">
        <f>'2023年'!H36</f>
        <v>0</v>
      </c>
      <c r="I36" s="47">
        <f>'2023年'!I36</f>
        <v>0</v>
      </c>
      <c r="J36" s="47">
        <f>'2023年'!J36</f>
        <v>0</v>
      </c>
      <c r="K36" s="52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41" t="s">
        <v>69</v>
      </c>
      <c r="AL36" s="41" t="s">
        <v>65</v>
      </c>
      <c r="AM36" s="41" t="s">
        <v>69</v>
      </c>
    </row>
    <row r="37" spans="1:39">
      <c r="A37" s="147">
        <v>2</v>
      </c>
      <c r="B37" s="41" t="s">
        <v>70</v>
      </c>
      <c r="C37" s="47">
        <f>'2023年'!C37</f>
        <v>6.3244669626278549</v>
      </c>
      <c r="D37" s="47">
        <f>'2023年'!D37</f>
        <v>9.5054011933241789</v>
      </c>
      <c r="E37" s="47">
        <f>'2023年'!E37</f>
        <v>0</v>
      </c>
      <c r="F37" s="47">
        <f>'2023年'!F37</f>
        <v>0</v>
      </c>
      <c r="G37" s="47">
        <f>'2023年'!G37</f>
        <v>0</v>
      </c>
      <c r="H37" s="47">
        <f>'2023年'!H37</f>
        <v>0</v>
      </c>
      <c r="I37" s="47">
        <f>'2023年'!I37</f>
        <v>0</v>
      </c>
      <c r="J37" s="47">
        <f>'2023年'!J37</f>
        <v>0</v>
      </c>
      <c r="K37" s="52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41" t="s">
        <v>70</v>
      </c>
      <c r="AL37" s="41" t="s">
        <v>22</v>
      </c>
      <c r="AM37" s="41" t="s">
        <v>70</v>
      </c>
    </row>
    <row r="38" spans="1:39">
      <c r="A38" s="147">
        <v>3</v>
      </c>
      <c r="B38" s="41" t="s">
        <v>71</v>
      </c>
      <c r="C38" s="47">
        <f>'2023年'!C38</f>
        <v>34.082000000000001</v>
      </c>
      <c r="D38" s="47">
        <f>'2023年'!D38</f>
        <v>34.082000000000001</v>
      </c>
      <c r="E38" s="47">
        <f>'2023年'!E38</f>
        <v>0</v>
      </c>
      <c r="F38" s="47">
        <f>'2023年'!F38</f>
        <v>0</v>
      </c>
      <c r="G38" s="47">
        <f>'2023年'!G38</f>
        <v>0</v>
      </c>
      <c r="H38" s="47">
        <f>'2023年'!H38</f>
        <v>0</v>
      </c>
      <c r="I38" s="47">
        <f>'2023年'!I38</f>
        <v>0</v>
      </c>
      <c r="J38" s="47">
        <f>'2023年'!J38</f>
        <v>0</v>
      </c>
      <c r="K38" s="52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41" t="s">
        <v>71</v>
      </c>
      <c r="AL38" s="41" t="s">
        <v>28</v>
      </c>
      <c r="AM38" s="41" t="s">
        <v>71</v>
      </c>
    </row>
    <row r="39" spans="1:39">
      <c r="A39" s="41" t="s">
        <v>68</v>
      </c>
      <c r="B39" s="44" t="s">
        <v>73</v>
      </c>
      <c r="C39" s="48"/>
      <c r="D39" s="48"/>
      <c r="E39" s="48"/>
      <c r="F39" s="48"/>
      <c r="G39" s="48"/>
      <c r="H39" s="48"/>
      <c r="I39" s="48"/>
      <c r="J39" s="48"/>
      <c r="K39" s="48"/>
      <c r="V39" s="44" t="s">
        <v>73</v>
      </c>
      <c r="AL39" s="41" t="s">
        <v>72</v>
      </c>
      <c r="AM39" s="44" t="s">
        <v>73</v>
      </c>
    </row>
    <row r="40" spans="1:39">
      <c r="A40" s="147">
        <v>1</v>
      </c>
      <c r="B40" s="41" t="s">
        <v>75</v>
      </c>
      <c r="C40" s="48" t="e">
        <f>C34-C36-C37-C38</f>
        <v>#DIV/0!</v>
      </c>
      <c r="D40" s="48" t="e">
        <f t="shared" ref="D40:J40" si="27">D34-D36-D37-D38</f>
        <v>#DIV/0!</v>
      </c>
      <c r="E40" s="48" t="e">
        <f t="shared" si="27"/>
        <v>#DIV/0!</v>
      </c>
      <c r="F40" s="48" t="e">
        <f t="shared" si="27"/>
        <v>#DIV/0!</v>
      </c>
      <c r="G40" s="48" t="e">
        <f t="shared" si="27"/>
        <v>#DIV/0!</v>
      </c>
      <c r="H40" s="48" t="e">
        <f t="shared" si="27"/>
        <v>#DIV/0!</v>
      </c>
      <c r="I40" s="48" t="e">
        <f t="shared" si="27"/>
        <v>#DIV/0!</v>
      </c>
      <c r="J40" s="48" t="e">
        <f t="shared" si="27"/>
        <v>#DIV/0!</v>
      </c>
      <c r="K40" s="48"/>
      <c r="V40" s="41" t="s">
        <v>75</v>
      </c>
      <c r="AL40" s="41" t="s">
        <v>17</v>
      </c>
      <c r="AM40" s="41" t="s">
        <v>75</v>
      </c>
    </row>
    <row r="41" spans="1:39">
      <c r="A41" s="147">
        <v>2</v>
      </c>
      <c r="B41" s="41" t="s">
        <v>76</v>
      </c>
      <c r="C41" s="48"/>
      <c r="D41" s="48"/>
      <c r="E41" s="48"/>
      <c r="F41" s="48"/>
      <c r="G41" s="48"/>
      <c r="H41" s="48"/>
      <c r="I41" s="48"/>
      <c r="J41" s="48"/>
      <c r="K41" s="48"/>
      <c r="V41" s="41" t="s">
        <v>76</v>
      </c>
      <c r="AL41" s="41" t="s">
        <v>19</v>
      </c>
      <c r="AM41" s="41" t="s">
        <v>76</v>
      </c>
    </row>
    <row r="42" spans="1:39">
      <c r="A42" s="41" t="s">
        <v>72</v>
      </c>
      <c r="B42" s="44" t="s">
        <v>78</v>
      </c>
      <c r="C42" s="48"/>
      <c r="D42" s="48"/>
      <c r="E42" s="48"/>
      <c r="F42" s="48"/>
      <c r="G42" s="48"/>
      <c r="H42" s="48"/>
      <c r="I42" s="48"/>
      <c r="J42" s="48"/>
      <c r="K42" s="48"/>
      <c r="V42" s="44" t="s">
        <v>78</v>
      </c>
      <c r="AL42" s="41" t="s">
        <v>77</v>
      </c>
      <c r="AM42" s="44" t="s">
        <v>78</v>
      </c>
    </row>
    <row r="43" spans="1:39">
      <c r="A43" s="147">
        <v>1</v>
      </c>
      <c r="B43" s="49" t="s">
        <v>79</v>
      </c>
      <c r="C43" s="47">
        <f>'2023年'!C43</f>
        <v>15.751349999999999</v>
      </c>
      <c r="D43" s="47">
        <f>'2023年'!D43</f>
        <v>23.6736</v>
      </c>
      <c r="E43" s="47">
        <f>'2023年'!E43</f>
        <v>0</v>
      </c>
      <c r="F43" s="47">
        <f>'2023年'!F43</f>
        <v>0</v>
      </c>
      <c r="G43" s="47">
        <f>'2023年'!G43</f>
        <v>0</v>
      </c>
      <c r="H43" s="47">
        <f>'2023年'!H43</f>
        <v>0</v>
      </c>
      <c r="I43" s="47">
        <f>'2023年'!I43</f>
        <v>0</v>
      </c>
      <c r="J43" s="47">
        <f>'2023年'!J43</f>
        <v>0</v>
      </c>
      <c r="K43" s="48"/>
      <c r="V43" s="41" t="s">
        <v>79</v>
      </c>
      <c r="AL43" s="41" t="s">
        <v>17</v>
      </c>
      <c r="AM43" s="41" t="s">
        <v>79</v>
      </c>
    </row>
    <row r="44" spans="1:39">
      <c r="A44" s="147">
        <v>2</v>
      </c>
      <c r="B44" s="49" t="s">
        <v>80</v>
      </c>
      <c r="C44" s="47">
        <f>'2023年'!C44</f>
        <v>2.7652369999999999</v>
      </c>
      <c r="D44" s="47">
        <f>'2023年'!D44</f>
        <v>4.1560320000000006</v>
      </c>
      <c r="E44" s="47">
        <f>'2023年'!E44</f>
        <v>0</v>
      </c>
      <c r="F44" s="47">
        <f>'2023年'!F44</f>
        <v>0</v>
      </c>
      <c r="G44" s="47">
        <f>'2023年'!G44</f>
        <v>0</v>
      </c>
      <c r="H44" s="47">
        <f>'2023年'!H44</f>
        <v>0</v>
      </c>
      <c r="I44" s="47">
        <f>'2023年'!I44</f>
        <v>0</v>
      </c>
      <c r="J44" s="47">
        <f>'2023年'!J44</f>
        <v>0</v>
      </c>
      <c r="K44" s="48"/>
      <c r="V44" s="41" t="s">
        <v>80</v>
      </c>
      <c r="AL44" s="41" t="s">
        <v>19</v>
      </c>
      <c r="AM44" s="41" t="s">
        <v>80</v>
      </c>
    </row>
    <row r="45" spans="1:39">
      <c r="A45" s="147">
        <v>3</v>
      </c>
      <c r="B45" s="49" t="s">
        <v>81</v>
      </c>
      <c r="C45" s="47">
        <f>'2023年'!C45</f>
        <v>14.198375151261661</v>
      </c>
      <c r="D45" s="47">
        <f>'2023年'!D45</f>
        <v>21.339545752009073</v>
      </c>
      <c r="E45" s="47">
        <f>'2023年'!E45</f>
        <v>0</v>
      </c>
      <c r="F45" s="47">
        <f>'2023年'!F45</f>
        <v>0</v>
      </c>
      <c r="G45" s="47">
        <f>'2023年'!G45</f>
        <v>0</v>
      </c>
      <c r="H45" s="47">
        <f>'2023年'!H45</f>
        <v>0</v>
      </c>
      <c r="I45" s="47">
        <f>'2023年'!I45</f>
        <v>0</v>
      </c>
      <c r="J45" s="47">
        <f>'2023年'!J45</f>
        <v>0</v>
      </c>
      <c r="K45" s="48"/>
      <c r="V45" s="41" t="s">
        <v>81</v>
      </c>
      <c r="AL45" s="41" t="s">
        <v>65</v>
      </c>
      <c r="AM45" s="41" t="s">
        <v>81</v>
      </c>
    </row>
    <row r="46" spans="1:39" s="36" customFormat="1">
      <c r="A46" s="147">
        <v>4</v>
      </c>
      <c r="B46" s="49" t="s">
        <v>82</v>
      </c>
      <c r="C46" s="54" t="e">
        <f>C21/C6</f>
        <v>#DIV/0!</v>
      </c>
      <c r="D46" s="54" t="e">
        <f t="shared" ref="D46:J46" si="28">D21/D6</f>
        <v>#DIV/0!</v>
      </c>
      <c r="E46" s="54" t="e">
        <f t="shared" si="28"/>
        <v>#DIV/0!</v>
      </c>
      <c r="F46" s="54" t="e">
        <f t="shared" si="28"/>
        <v>#DIV/0!</v>
      </c>
      <c r="G46" s="54" t="e">
        <f t="shared" si="28"/>
        <v>#DIV/0!</v>
      </c>
      <c r="H46" s="54" t="e">
        <f t="shared" si="28"/>
        <v>#DIV/0!</v>
      </c>
      <c r="I46" s="54" t="e">
        <f t="shared" si="28"/>
        <v>#DIV/0!</v>
      </c>
      <c r="J46" s="54" t="e">
        <f t="shared" si="28"/>
        <v>#DIV/0!</v>
      </c>
      <c r="K46" s="54"/>
      <c r="V46" s="49" t="s">
        <v>84</v>
      </c>
      <c r="AL46" s="49" t="s">
        <v>25</v>
      </c>
      <c r="AM46" s="49" t="s">
        <v>84</v>
      </c>
    </row>
    <row r="47" spans="1:39" s="36" customFormat="1">
      <c r="A47" s="147">
        <v>5</v>
      </c>
      <c r="B47" s="49" t="s">
        <v>84</v>
      </c>
      <c r="C47" s="54">
        <f>'2023年'!C47</f>
        <v>7.4556389999999997</v>
      </c>
      <c r="D47" s="54">
        <f>'2023年'!D47</f>
        <v>11.205504000000001</v>
      </c>
      <c r="E47" s="54">
        <f>'2023年'!E47</f>
        <v>0</v>
      </c>
      <c r="F47" s="54">
        <f>'2023年'!F47</f>
        <v>0</v>
      </c>
      <c r="G47" s="54">
        <f>'2023年'!G47</f>
        <v>0</v>
      </c>
      <c r="H47" s="54">
        <f>'2023年'!H47</f>
        <v>0</v>
      </c>
      <c r="I47" s="54">
        <f>'2023年'!I47</f>
        <v>0</v>
      </c>
      <c r="J47" s="54">
        <f>'2023年'!J47</f>
        <v>0</v>
      </c>
      <c r="K47" s="54"/>
      <c r="V47" s="49" t="s">
        <v>84</v>
      </c>
      <c r="AL47" s="49" t="s">
        <v>25</v>
      </c>
      <c r="AM47" s="49" t="s">
        <v>84</v>
      </c>
    </row>
    <row r="48" spans="1:39">
      <c r="A48" s="41" t="s">
        <v>77</v>
      </c>
      <c r="B48" s="44" t="s">
        <v>95</v>
      </c>
      <c r="C48" s="48" t="e">
        <f>C40-C43-C44-C45-C47-C46</f>
        <v>#DIV/0!</v>
      </c>
      <c r="D48" s="48" t="e">
        <f t="shared" ref="D48:J48" si="29">D40-D43-D44-D45-D47-D46</f>
        <v>#DIV/0!</v>
      </c>
      <c r="E48" s="48" t="e">
        <f t="shared" si="29"/>
        <v>#DIV/0!</v>
      </c>
      <c r="F48" s="48" t="e">
        <f t="shared" si="29"/>
        <v>#DIV/0!</v>
      </c>
      <c r="G48" s="48" t="e">
        <f t="shared" si="29"/>
        <v>#DIV/0!</v>
      </c>
      <c r="H48" s="48" t="e">
        <f t="shared" si="29"/>
        <v>#DIV/0!</v>
      </c>
      <c r="I48" s="48" t="e">
        <f t="shared" si="29"/>
        <v>#DIV/0!</v>
      </c>
      <c r="J48" s="48" t="e">
        <f t="shared" si="29"/>
        <v>#DIV/0!</v>
      </c>
      <c r="K48" s="48"/>
      <c r="V48" s="44" t="s">
        <v>95</v>
      </c>
      <c r="AL48" s="41" t="s">
        <v>94</v>
      </c>
      <c r="AM48" s="44" t="s">
        <v>95</v>
      </c>
    </row>
    <row r="51" spans="2:16">
      <c r="C51" s="55"/>
      <c r="D51" s="55"/>
      <c r="E51" s="55"/>
      <c r="F51" s="55"/>
      <c r="G51" s="55"/>
      <c r="H51" s="55"/>
      <c r="I51" s="55"/>
      <c r="J51" s="55"/>
    </row>
    <row r="54" spans="2:16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  <c r="O54" s="56"/>
      <c r="P54" s="56"/>
    </row>
    <row r="55" spans="2:16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  <c r="O55" s="56"/>
      <c r="P55" s="56"/>
    </row>
    <row r="56" spans="2:16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  <c r="O56" s="56"/>
      <c r="P56" s="56"/>
    </row>
    <row r="57" spans="2:16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  <c r="O57" s="56"/>
      <c r="P57" s="56"/>
    </row>
    <row r="58" spans="2:16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  <c r="O58" s="56"/>
      <c r="P58" s="56"/>
    </row>
    <row r="59" spans="2:16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  <c r="O59" s="56"/>
      <c r="P59" s="56"/>
    </row>
    <row r="60" spans="2:16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  <c r="O60" s="56"/>
      <c r="P60" s="56"/>
    </row>
    <row r="61" spans="2:16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  <c r="O61" s="56"/>
      <c r="P61" s="56"/>
    </row>
    <row r="62" spans="2:16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  <c r="O62" s="56"/>
      <c r="P62" s="56"/>
    </row>
    <row r="63" spans="2:16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  <c r="O63" s="56"/>
      <c r="P63" s="56"/>
    </row>
    <row r="64" spans="2:16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  <c r="O64" s="56"/>
      <c r="P64" s="56"/>
    </row>
    <row r="65" spans="2:16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  <c r="O65" s="56"/>
      <c r="P65" s="56"/>
    </row>
    <row r="66" spans="2:16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  <c r="O66" s="56"/>
      <c r="P66" s="56"/>
    </row>
    <row r="67" spans="2:16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6"/>
    </row>
    <row r="68" spans="2:16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6"/>
    </row>
    <row r="69" spans="2:16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6"/>
    </row>
    <row r="70" spans="2:16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6"/>
    </row>
    <row r="71" spans="2:16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6"/>
    </row>
    <row r="72" spans="2:16"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6"/>
    </row>
    <row r="73" spans="2:16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6"/>
    </row>
    <row r="74" spans="2:16"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6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17" activePane="bottomRight" state="frozen"/>
      <selection pane="topRight"/>
      <selection pane="bottomLeft"/>
      <selection pane="bottomRight" activeCell="C24" sqref="C24"/>
    </sheetView>
  </sheetViews>
  <sheetFormatPr defaultColWidth="9" defaultRowHeight="16.5"/>
  <cols>
    <col min="1" max="1" width="5.125" style="37" customWidth="1"/>
    <col min="2" max="2" width="17.5" style="37" customWidth="1"/>
    <col min="3" max="10" width="13.25" style="38" customWidth="1"/>
    <col min="11" max="11" width="18.75" style="38" customWidth="1"/>
    <col min="12" max="12" width="12.375" style="37" customWidth="1"/>
    <col min="13" max="13" width="10.125" style="37" customWidth="1"/>
    <col min="14" max="19" width="9" style="37" customWidth="1"/>
    <col min="20" max="32" width="9" style="37"/>
    <col min="33" max="33" width="4.375" style="37" customWidth="1"/>
    <col min="34" max="34" width="13.875" style="37" customWidth="1"/>
    <col min="35" max="16384" width="9" style="37"/>
  </cols>
  <sheetData>
    <row r="1" spans="1:35">
      <c r="A1" s="239" t="s">
        <v>135</v>
      </c>
      <c r="B1" s="239"/>
      <c r="C1" s="243" t="s">
        <v>226</v>
      </c>
      <c r="D1" s="244"/>
      <c r="E1" s="244"/>
      <c r="F1" s="244"/>
      <c r="G1" s="244"/>
      <c r="H1" s="244"/>
      <c r="I1" s="244"/>
      <c r="J1" s="244"/>
      <c r="K1" s="245"/>
    </row>
    <row r="2" spans="1:35">
      <c r="A2" s="239" t="s">
        <v>136</v>
      </c>
      <c r="B2" s="239"/>
      <c r="C2" s="247" t="str">
        <f>'2023年'!C2:K2</f>
        <v>北京北汽李尔汽车系统有限公司保定分公司</v>
      </c>
      <c r="D2" s="248"/>
      <c r="E2" s="248"/>
      <c r="F2" s="248"/>
      <c r="G2" s="248"/>
      <c r="H2" s="248"/>
      <c r="I2" s="248"/>
      <c r="J2" s="248"/>
      <c r="K2" s="249"/>
    </row>
    <row r="3" spans="1:35">
      <c r="A3" s="239" t="s">
        <v>137</v>
      </c>
      <c r="B3" s="239"/>
      <c r="C3" s="148" t="str">
        <f>'2023年'!C3</f>
        <v>B01发泡</v>
      </c>
      <c r="D3" s="148" t="str">
        <f>'2023年'!D3</f>
        <v>V71发泡</v>
      </c>
      <c r="E3" s="148">
        <f>'2023年'!E3</f>
        <v>0</v>
      </c>
      <c r="F3" s="148">
        <f>'2023年'!F3</f>
        <v>0</v>
      </c>
      <c r="G3" s="148">
        <f>'2023年'!G3</f>
        <v>0</v>
      </c>
      <c r="H3" s="148">
        <f>'2023年'!H3</f>
        <v>0</v>
      </c>
      <c r="I3" s="148">
        <f>'2023年'!I3</f>
        <v>0</v>
      </c>
      <c r="J3" s="148">
        <f>'2023年'!J3</f>
        <v>0</v>
      </c>
      <c r="K3" s="240" t="s">
        <v>13</v>
      </c>
    </row>
    <row r="4" spans="1:35" ht="16.5" customHeight="1">
      <c r="A4" s="239" t="s">
        <v>138</v>
      </c>
      <c r="B4" s="239"/>
      <c r="C4" s="148">
        <f>'2023年'!C4</f>
        <v>0</v>
      </c>
      <c r="D4" s="148">
        <f>'2023年'!D4</f>
        <v>0</v>
      </c>
      <c r="E4" s="148">
        <f>'2023年'!E4</f>
        <v>0</v>
      </c>
      <c r="F4" s="148">
        <f>'2023年'!F4</f>
        <v>0</v>
      </c>
      <c r="G4" s="148">
        <f>'2023年'!G4</f>
        <v>0</v>
      </c>
      <c r="H4" s="148">
        <f>'2023年'!H4</f>
        <v>0</v>
      </c>
      <c r="I4" s="148">
        <f>'2023年'!I4</f>
        <v>0</v>
      </c>
      <c r="J4" s="148">
        <f>'2023年'!J4</f>
        <v>0</v>
      </c>
      <c r="K4" s="241"/>
    </row>
    <row r="5" spans="1:35">
      <c r="A5" s="239" t="s">
        <v>139</v>
      </c>
      <c r="B5" s="239"/>
      <c r="C5" s="40"/>
      <c r="D5" s="40"/>
      <c r="E5" s="40"/>
      <c r="F5" s="40"/>
      <c r="G5" s="40"/>
      <c r="H5" s="40"/>
      <c r="I5" s="40"/>
      <c r="J5" s="40"/>
      <c r="K5" s="242"/>
      <c r="AI5" s="37" t="s">
        <v>14</v>
      </c>
    </row>
    <row r="6" spans="1:35" ht="17.25">
      <c r="A6" s="41" t="s">
        <v>12</v>
      </c>
      <c r="B6" s="42" t="s">
        <v>140</v>
      </c>
      <c r="C6" s="13">
        <f>销量!C11</f>
        <v>0</v>
      </c>
      <c r="D6" s="13">
        <f>销量!D11</f>
        <v>0</v>
      </c>
      <c r="E6" s="13">
        <f>销量!E11</f>
        <v>0</v>
      </c>
      <c r="F6" s="13">
        <f>销量!F11</f>
        <v>0</v>
      </c>
      <c r="G6" s="13">
        <f>销量!G11</f>
        <v>0</v>
      </c>
      <c r="H6" s="13">
        <f>销量!H11</f>
        <v>0</v>
      </c>
      <c r="I6" s="13">
        <f>销量!I11</f>
        <v>0</v>
      </c>
      <c r="J6" s="13">
        <f>销量!J11</f>
        <v>0</v>
      </c>
      <c r="K6" s="43">
        <f>SUM(C6:J6)</f>
        <v>0</v>
      </c>
      <c r="AG6" s="41" t="s">
        <v>12</v>
      </c>
      <c r="AH6" s="42" t="s">
        <v>3</v>
      </c>
      <c r="AI6" s="37" t="s">
        <v>15</v>
      </c>
    </row>
    <row r="7" spans="1:35">
      <c r="A7" s="147">
        <v>1</v>
      </c>
      <c r="B7" s="42" t="s">
        <v>16</v>
      </c>
      <c r="C7" s="43">
        <f>C6*销量!C8</f>
        <v>0</v>
      </c>
      <c r="D7" s="43">
        <f>D6*销量!D8</f>
        <v>0</v>
      </c>
      <c r="E7" s="43">
        <f>E6*销量!E8</f>
        <v>0</v>
      </c>
      <c r="F7" s="43">
        <f>F6*销量!F8</f>
        <v>0</v>
      </c>
      <c r="G7" s="43">
        <f>G6*销量!G8</f>
        <v>0</v>
      </c>
      <c r="H7" s="43">
        <f>H6*销量!H8</f>
        <v>0</v>
      </c>
      <c r="I7" s="43">
        <f>I6*销量!I8</f>
        <v>0</v>
      </c>
      <c r="J7" s="43">
        <f>J6*销量!J8</f>
        <v>0</v>
      </c>
      <c r="K7" s="43">
        <f t="shared" ref="K7:K17" si="0">SUM(C7:J7)</f>
        <v>0</v>
      </c>
      <c r="L7" s="38"/>
      <c r="AG7" s="41" t="s">
        <v>17</v>
      </c>
      <c r="AH7" s="42" t="s">
        <v>16</v>
      </c>
      <c r="AI7" s="37" t="s">
        <v>15</v>
      </c>
    </row>
    <row r="8" spans="1:35">
      <c r="A8" s="147">
        <v>2</v>
      </c>
      <c r="B8" s="147" t="s">
        <v>18</v>
      </c>
      <c r="C8" s="43">
        <f>C7*(1-销量!$O$7)</f>
        <v>0</v>
      </c>
      <c r="D8" s="43">
        <f>D7*(1-销量!$O$8)</f>
        <v>0</v>
      </c>
      <c r="E8" s="43">
        <f>E7*(1-销量!$O$8)</f>
        <v>0</v>
      </c>
      <c r="F8" s="43">
        <f>F7*(1-销量!$O$8)</f>
        <v>0</v>
      </c>
      <c r="G8" s="43">
        <f>G7*(1-销量!$O$8)</f>
        <v>0</v>
      </c>
      <c r="H8" s="43">
        <f>H7*(1-销量!$O$8)</f>
        <v>0</v>
      </c>
      <c r="I8" s="43">
        <f>I7*(1-销量!$O$8)</f>
        <v>0</v>
      </c>
      <c r="J8" s="43">
        <f>J7*(1-销量!$O$8)</f>
        <v>0</v>
      </c>
      <c r="K8" s="43">
        <f t="shared" si="0"/>
        <v>0</v>
      </c>
      <c r="L8" s="58"/>
      <c r="AG8" s="41" t="s">
        <v>19</v>
      </c>
      <c r="AH8" s="147" t="s">
        <v>20</v>
      </c>
      <c r="AI8" s="37" t="s">
        <v>15</v>
      </c>
    </row>
    <row r="9" spans="1:35">
      <c r="A9" s="147">
        <v>3</v>
      </c>
      <c r="B9" s="42" t="s">
        <v>21</v>
      </c>
      <c r="C9" s="43">
        <f>+C7-C8</f>
        <v>0</v>
      </c>
      <c r="D9" s="43">
        <f t="shared" ref="D9:J9" si="1">+D7-D8</f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  <c r="I9" s="43">
        <f t="shared" si="1"/>
        <v>0</v>
      </c>
      <c r="J9" s="43">
        <f t="shared" si="1"/>
        <v>0</v>
      </c>
      <c r="K9" s="43">
        <f t="shared" si="0"/>
        <v>0</v>
      </c>
      <c r="AG9" s="41" t="s">
        <v>22</v>
      </c>
      <c r="AH9" s="42" t="s">
        <v>21</v>
      </c>
      <c r="AI9" s="37" t="s">
        <v>23</v>
      </c>
    </row>
    <row r="10" spans="1:35">
      <c r="A10" s="147">
        <v>4</v>
      </c>
      <c r="B10" s="41" t="s">
        <v>24</v>
      </c>
      <c r="C10" s="43">
        <f t="shared" ref="C10:J10" si="2">C6*C33</f>
        <v>0</v>
      </c>
      <c r="D10" s="43">
        <f t="shared" si="2"/>
        <v>0</v>
      </c>
      <c r="E10" s="43">
        <f t="shared" si="2"/>
        <v>0</v>
      </c>
      <c r="F10" s="43">
        <f t="shared" si="2"/>
        <v>0</v>
      </c>
      <c r="G10" s="43">
        <f t="shared" si="2"/>
        <v>0</v>
      </c>
      <c r="H10" s="43">
        <f t="shared" si="2"/>
        <v>0</v>
      </c>
      <c r="I10" s="43">
        <f t="shared" si="2"/>
        <v>0</v>
      </c>
      <c r="J10" s="43">
        <f t="shared" si="2"/>
        <v>0</v>
      </c>
      <c r="K10" s="43">
        <f t="shared" si="0"/>
        <v>0</v>
      </c>
      <c r="AG10" s="41" t="s">
        <v>25</v>
      </c>
      <c r="AH10" s="41" t="s">
        <v>24</v>
      </c>
      <c r="AI10" s="37" t="s">
        <v>26</v>
      </c>
    </row>
    <row r="11" spans="1:35">
      <c r="A11" s="147">
        <v>5</v>
      </c>
      <c r="B11" s="41" t="s">
        <v>27</v>
      </c>
      <c r="C11" s="43">
        <f>+C6*C36</f>
        <v>0</v>
      </c>
      <c r="D11" s="43">
        <f t="shared" ref="D11:J11" si="3">+D6*D36</f>
        <v>0</v>
      </c>
      <c r="E11" s="43">
        <f t="shared" si="3"/>
        <v>0</v>
      </c>
      <c r="F11" s="43">
        <f t="shared" si="3"/>
        <v>0</v>
      </c>
      <c r="G11" s="43">
        <f t="shared" si="3"/>
        <v>0</v>
      </c>
      <c r="H11" s="43">
        <f t="shared" si="3"/>
        <v>0</v>
      </c>
      <c r="I11" s="43">
        <f t="shared" si="3"/>
        <v>0</v>
      </c>
      <c r="J11" s="43">
        <f t="shared" si="3"/>
        <v>0</v>
      </c>
      <c r="K11" s="43">
        <f t="shared" si="0"/>
        <v>0</v>
      </c>
      <c r="AG11" s="41" t="s">
        <v>28</v>
      </c>
      <c r="AH11" s="41" t="s">
        <v>27</v>
      </c>
    </row>
    <row r="12" spans="1:35">
      <c r="A12" s="147">
        <v>6</v>
      </c>
      <c r="B12" s="41" t="s">
        <v>29</v>
      </c>
      <c r="C12" s="43">
        <f>+C6*C37</f>
        <v>0</v>
      </c>
      <c r="D12" s="43">
        <f t="shared" ref="D12:J12" si="4">+D6*D37</f>
        <v>0</v>
      </c>
      <c r="E12" s="43">
        <f t="shared" si="4"/>
        <v>0</v>
      </c>
      <c r="F12" s="43">
        <f t="shared" si="4"/>
        <v>0</v>
      </c>
      <c r="G12" s="43">
        <f t="shared" si="4"/>
        <v>0</v>
      </c>
      <c r="H12" s="43">
        <f t="shared" si="4"/>
        <v>0</v>
      </c>
      <c r="I12" s="43">
        <f t="shared" si="4"/>
        <v>0</v>
      </c>
      <c r="J12" s="43">
        <f t="shared" si="4"/>
        <v>0</v>
      </c>
      <c r="K12" s="43">
        <f t="shared" si="0"/>
        <v>0</v>
      </c>
      <c r="AG12" s="41" t="s">
        <v>30</v>
      </c>
      <c r="AH12" s="41" t="s">
        <v>29</v>
      </c>
    </row>
    <row r="13" spans="1:35">
      <c r="A13" s="147">
        <v>7</v>
      </c>
      <c r="B13" s="41" t="s">
        <v>31</v>
      </c>
      <c r="C13" s="43">
        <f>+C6*C38</f>
        <v>0</v>
      </c>
      <c r="D13" s="43">
        <f t="shared" ref="D13:J13" si="5">+D6*D38</f>
        <v>0</v>
      </c>
      <c r="E13" s="43">
        <f t="shared" si="5"/>
        <v>0</v>
      </c>
      <c r="F13" s="43">
        <f t="shared" si="5"/>
        <v>0</v>
      </c>
      <c r="G13" s="43">
        <f t="shared" si="5"/>
        <v>0</v>
      </c>
      <c r="H13" s="43">
        <f t="shared" si="5"/>
        <v>0</v>
      </c>
      <c r="I13" s="43">
        <f t="shared" si="5"/>
        <v>0</v>
      </c>
      <c r="J13" s="43">
        <f t="shared" si="5"/>
        <v>0</v>
      </c>
      <c r="K13" s="43">
        <f t="shared" si="0"/>
        <v>0</v>
      </c>
      <c r="AG13" s="41" t="s">
        <v>32</v>
      </c>
      <c r="AH13" s="41" t="s">
        <v>31</v>
      </c>
      <c r="AI13" s="37" t="s">
        <v>15</v>
      </c>
    </row>
    <row r="14" spans="1:35">
      <c r="A14" s="147">
        <v>8</v>
      </c>
      <c r="B14" s="44" t="s">
        <v>33</v>
      </c>
      <c r="C14" s="43">
        <f>SUM(C11:C13)</f>
        <v>0</v>
      </c>
      <c r="D14" s="43">
        <f t="shared" ref="D14:J14" si="6">SUM(D11:D13)</f>
        <v>0</v>
      </c>
      <c r="E14" s="43">
        <f t="shared" si="6"/>
        <v>0</v>
      </c>
      <c r="F14" s="43">
        <f t="shared" si="6"/>
        <v>0</v>
      </c>
      <c r="G14" s="43">
        <f t="shared" si="6"/>
        <v>0</v>
      </c>
      <c r="H14" s="43">
        <f t="shared" si="6"/>
        <v>0</v>
      </c>
      <c r="I14" s="43">
        <f t="shared" si="6"/>
        <v>0</v>
      </c>
      <c r="J14" s="43">
        <f t="shared" si="6"/>
        <v>0</v>
      </c>
      <c r="K14" s="43">
        <f t="shared" si="0"/>
        <v>0</v>
      </c>
      <c r="AG14" s="41" t="s">
        <v>34</v>
      </c>
      <c r="AH14" s="44" t="s">
        <v>33</v>
      </c>
    </row>
    <row r="15" spans="1:35">
      <c r="A15" s="147">
        <v>9</v>
      </c>
      <c r="B15" s="44" t="s">
        <v>35</v>
      </c>
      <c r="C15" s="43">
        <f>+C9-C10-C14</f>
        <v>0</v>
      </c>
      <c r="D15" s="43">
        <f t="shared" ref="D15:J15" si="7">+D9-D10-D14</f>
        <v>0</v>
      </c>
      <c r="E15" s="43">
        <f t="shared" si="7"/>
        <v>0</v>
      </c>
      <c r="F15" s="43">
        <f t="shared" si="7"/>
        <v>0</v>
      </c>
      <c r="G15" s="43">
        <f t="shared" si="7"/>
        <v>0</v>
      </c>
      <c r="H15" s="43">
        <f t="shared" si="7"/>
        <v>0</v>
      </c>
      <c r="I15" s="43">
        <f t="shared" si="7"/>
        <v>0</v>
      </c>
      <c r="J15" s="43">
        <f t="shared" si="7"/>
        <v>0</v>
      </c>
      <c r="K15" s="43">
        <f t="shared" si="0"/>
        <v>0</v>
      </c>
      <c r="AG15" s="41" t="s">
        <v>36</v>
      </c>
      <c r="AH15" s="44" t="s">
        <v>35</v>
      </c>
    </row>
    <row r="16" spans="1:35">
      <c r="A16" s="147">
        <v>10</v>
      </c>
      <c r="B16" s="41" t="s">
        <v>37</v>
      </c>
      <c r="C16" s="45" t="e">
        <f>+C15/C9</f>
        <v>#DIV/0!</v>
      </c>
      <c r="D16" s="45" t="e">
        <f t="shared" ref="D16:J16" si="8">+D15/D9</f>
        <v>#DIV/0!</v>
      </c>
      <c r="E16" s="45" t="e">
        <f t="shared" si="8"/>
        <v>#DIV/0!</v>
      </c>
      <c r="F16" s="45" t="e">
        <f t="shared" si="8"/>
        <v>#DIV/0!</v>
      </c>
      <c r="G16" s="45" t="e">
        <f t="shared" si="8"/>
        <v>#DIV/0!</v>
      </c>
      <c r="H16" s="45" t="e">
        <f t="shared" si="8"/>
        <v>#DIV/0!</v>
      </c>
      <c r="I16" s="45" t="e">
        <f t="shared" si="8"/>
        <v>#DIV/0!</v>
      </c>
      <c r="J16" s="45" t="e">
        <f t="shared" si="8"/>
        <v>#DIV/0!</v>
      </c>
      <c r="K16" s="45" t="e">
        <f t="shared" ref="K16" si="9">+K15/K9</f>
        <v>#DIV/0!</v>
      </c>
      <c r="AG16" s="41" t="s">
        <v>38</v>
      </c>
      <c r="AH16" s="41" t="s">
        <v>37</v>
      </c>
    </row>
    <row r="17" spans="1:35">
      <c r="A17" s="147">
        <v>11</v>
      </c>
      <c r="B17" s="41" t="s">
        <v>39</v>
      </c>
      <c r="C17" s="43" t="e">
        <f>C6*C43+C18</f>
        <v>#DIV/0!</v>
      </c>
      <c r="D17" s="43" t="e">
        <f t="shared" ref="D17:J17" si="10">D6*D43+D18</f>
        <v>#DIV/0!</v>
      </c>
      <c r="E17" s="43" t="e">
        <f t="shared" si="10"/>
        <v>#DIV/0!</v>
      </c>
      <c r="F17" s="43" t="e">
        <f t="shared" si="10"/>
        <v>#DIV/0!</v>
      </c>
      <c r="G17" s="43" t="e">
        <f t="shared" si="10"/>
        <v>#DIV/0!</v>
      </c>
      <c r="H17" s="43" t="e">
        <f t="shared" si="10"/>
        <v>#DIV/0!</v>
      </c>
      <c r="I17" s="43" t="e">
        <f t="shared" si="10"/>
        <v>#DIV/0!</v>
      </c>
      <c r="J17" s="43" t="e">
        <f t="shared" si="10"/>
        <v>#DIV/0!</v>
      </c>
      <c r="K17" s="43" t="e">
        <f t="shared" si="0"/>
        <v>#DIV/0!</v>
      </c>
      <c r="L17" s="58"/>
      <c r="AG17" s="41" t="s">
        <v>40</v>
      </c>
      <c r="AH17" s="41" t="s">
        <v>39</v>
      </c>
    </row>
    <row r="18" spans="1:35" s="35" customFormat="1">
      <c r="A18" s="147">
        <v>12</v>
      </c>
      <c r="B18" s="46" t="s">
        <v>141</v>
      </c>
      <c r="C18" s="47" t="e">
        <f>$K$18/$K$6*C6</f>
        <v>#DIV/0!</v>
      </c>
      <c r="D18" s="47" t="e">
        <f t="shared" ref="D18:J18" si="11">$K$18/$K$6*D6</f>
        <v>#DIV/0!</v>
      </c>
      <c r="E18" s="47" t="e">
        <f t="shared" si="11"/>
        <v>#DIV/0!</v>
      </c>
      <c r="F18" s="47" t="e">
        <f t="shared" si="11"/>
        <v>#DIV/0!</v>
      </c>
      <c r="G18" s="47" t="e">
        <f t="shared" si="11"/>
        <v>#DIV/0!</v>
      </c>
      <c r="H18" s="47" t="e">
        <f t="shared" si="11"/>
        <v>#DIV/0!</v>
      </c>
      <c r="I18" s="47" t="e">
        <f t="shared" si="11"/>
        <v>#DIV/0!</v>
      </c>
      <c r="J18" s="47" t="e">
        <f t="shared" si="11"/>
        <v>#DIV/0!</v>
      </c>
      <c r="K18" s="47">
        <f>项目投资!D26</f>
        <v>0</v>
      </c>
      <c r="L18" s="59" t="s">
        <v>142</v>
      </c>
      <c r="M18" s="59"/>
      <c r="N18" s="59"/>
    </row>
    <row r="19" spans="1:35">
      <c r="A19" s="147">
        <v>13</v>
      </c>
      <c r="B19" s="41" t="s">
        <v>41</v>
      </c>
      <c r="C19" s="43">
        <f>C6*C44</f>
        <v>0</v>
      </c>
      <c r="D19" s="43">
        <f t="shared" ref="D19:J19" si="12">D6*D44</f>
        <v>0</v>
      </c>
      <c r="E19" s="43">
        <f t="shared" si="12"/>
        <v>0</v>
      </c>
      <c r="F19" s="43">
        <f t="shared" si="12"/>
        <v>0</v>
      </c>
      <c r="G19" s="43">
        <f t="shared" si="12"/>
        <v>0</v>
      </c>
      <c r="H19" s="43">
        <f t="shared" si="12"/>
        <v>0</v>
      </c>
      <c r="I19" s="43">
        <f t="shared" si="12"/>
        <v>0</v>
      </c>
      <c r="J19" s="43">
        <f t="shared" si="12"/>
        <v>0</v>
      </c>
      <c r="K19" s="43">
        <f t="shared" ref="K19:K20" si="13">SUM(C19:J19)</f>
        <v>0</v>
      </c>
      <c r="L19" s="35"/>
      <c r="AG19" s="41" t="s">
        <v>42</v>
      </c>
      <c r="AH19" s="41" t="s">
        <v>41</v>
      </c>
      <c r="AI19" s="37" t="s">
        <v>15</v>
      </c>
    </row>
    <row r="20" spans="1:35">
      <c r="A20" s="147">
        <v>14</v>
      </c>
      <c r="B20" s="41" t="s">
        <v>43</v>
      </c>
      <c r="C20" s="43">
        <f>C6*C45</f>
        <v>0</v>
      </c>
      <c r="D20" s="43">
        <f t="shared" ref="D20:J20" si="14">D6*D45</f>
        <v>0</v>
      </c>
      <c r="E20" s="43">
        <f t="shared" si="14"/>
        <v>0</v>
      </c>
      <c r="F20" s="43">
        <f t="shared" si="14"/>
        <v>0</v>
      </c>
      <c r="G20" s="43">
        <f t="shared" si="14"/>
        <v>0</v>
      </c>
      <c r="H20" s="43">
        <f t="shared" si="14"/>
        <v>0</v>
      </c>
      <c r="I20" s="43">
        <f t="shared" si="14"/>
        <v>0</v>
      </c>
      <c r="J20" s="43">
        <f t="shared" si="14"/>
        <v>0</v>
      </c>
      <c r="K20" s="43">
        <f t="shared" si="13"/>
        <v>0</v>
      </c>
      <c r="AG20" s="41" t="s">
        <v>44</v>
      </c>
      <c r="AH20" s="41" t="s">
        <v>43</v>
      </c>
    </row>
    <row r="21" spans="1:35">
      <c r="A21" s="147">
        <v>15</v>
      </c>
      <c r="B21" s="41" t="s">
        <v>45</v>
      </c>
      <c r="C21" s="48" t="e">
        <f>$K$21/$K$6*C6</f>
        <v>#DIV/0!</v>
      </c>
      <c r="D21" s="48" t="e">
        <f t="shared" ref="D21:J21" si="15">$K$21/$K$6*D6</f>
        <v>#DIV/0!</v>
      </c>
      <c r="E21" s="48" t="e">
        <f t="shared" si="15"/>
        <v>#DIV/0!</v>
      </c>
      <c r="F21" s="48" t="e">
        <f t="shared" si="15"/>
        <v>#DIV/0!</v>
      </c>
      <c r="G21" s="48" t="e">
        <f t="shared" si="15"/>
        <v>#DIV/0!</v>
      </c>
      <c r="H21" s="48" t="e">
        <f t="shared" si="15"/>
        <v>#DIV/0!</v>
      </c>
      <c r="I21" s="48" t="e">
        <f t="shared" si="15"/>
        <v>#DIV/0!</v>
      </c>
      <c r="J21" s="48" t="e">
        <f t="shared" si="15"/>
        <v>#DIV/0!</v>
      </c>
      <c r="K21" s="43">
        <f>项目投资!F27</f>
        <v>0</v>
      </c>
      <c r="AG21" s="41"/>
      <c r="AH21" s="41"/>
    </row>
    <row r="22" spans="1:35">
      <c r="A22" s="147">
        <v>16</v>
      </c>
      <c r="B22" s="41" t="s">
        <v>46</v>
      </c>
      <c r="C22" s="43">
        <f>C6*C47</f>
        <v>0</v>
      </c>
      <c r="D22" s="43">
        <f t="shared" ref="D22:J22" si="16">D6*D47</f>
        <v>0</v>
      </c>
      <c r="E22" s="43">
        <f t="shared" si="16"/>
        <v>0</v>
      </c>
      <c r="F22" s="43">
        <f t="shared" si="16"/>
        <v>0</v>
      </c>
      <c r="G22" s="43">
        <f t="shared" si="16"/>
        <v>0</v>
      </c>
      <c r="H22" s="43">
        <f t="shared" si="16"/>
        <v>0</v>
      </c>
      <c r="I22" s="43">
        <f t="shared" si="16"/>
        <v>0</v>
      </c>
      <c r="J22" s="43">
        <f t="shared" si="16"/>
        <v>0</v>
      </c>
      <c r="K22" s="43">
        <f t="shared" ref="K22" si="17">SUM(C22:J22)</f>
        <v>0</v>
      </c>
      <c r="AG22" s="41" t="s">
        <v>47</v>
      </c>
      <c r="AH22" s="41" t="s">
        <v>46</v>
      </c>
    </row>
    <row r="23" spans="1:35">
      <c r="A23" s="147">
        <v>17</v>
      </c>
      <c r="B23" s="44" t="s">
        <v>48</v>
      </c>
      <c r="C23" s="48" t="e">
        <f>+C22+C21+C20+C19+C17</f>
        <v>#DIV/0!</v>
      </c>
      <c r="D23" s="48" t="e">
        <f t="shared" ref="D23:J23" si="18">+D22+D21+D20+D19+D17</f>
        <v>#DIV/0!</v>
      </c>
      <c r="E23" s="48" t="e">
        <f>+E22+E21+E20+E19+E17</f>
        <v>#DIV/0!</v>
      </c>
      <c r="F23" s="48" t="e">
        <f t="shared" si="18"/>
        <v>#DIV/0!</v>
      </c>
      <c r="G23" s="48" t="e">
        <f t="shared" si="18"/>
        <v>#DIV/0!</v>
      </c>
      <c r="H23" s="48" t="e">
        <f t="shared" si="18"/>
        <v>#DIV/0!</v>
      </c>
      <c r="I23" s="48" t="e">
        <f t="shared" si="18"/>
        <v>#DIV/0!</v>
      </c>
      <c r="J23" s="48" t="e">
        <f t="shared" si="18"/>
        <v>#DIV/0!</v>
      </c>
      <c r="K23" s="48" t="e">
        <f t="shared" ref="K23" si="19">+K22+K21+K20+K19+K17</f>
        <v>#DIV/0!</v>
      </c>
      <c r="AG23" s="41" t="s">
        <v>49</v>
      </c>
      <c r="AH23" s="44" t="s">
        <v>48</v>
      </c>
    </row>
    <row r="24" spans="1:35">
      <c r="A24" s="147">
        <v>18</v>
      </c>
      <c r="B24" s="49" t="s">
        <v>50</v>
      </c>
      <c r="C24" s="48" t="e">
        <f>+C15-C23</f>
        <v>#DIV/0!</v>
      </c>
      <c r="D24" s="48" t="e">
        <f t="shared" ref="D24:J24" si="20">+D15-D23</f>
        <v>#DIV/0!</v>
      </c>
      <c r="E24" s="48" t="e">
        <f t="shared" si="20"/>
        <v>#DIV/0!</v>
      </c>
      <c r="F24" s="48" t="e">
        <f t="shared" si="20"/>
        <v>#DIV/0!</v>
      </c>
      <c r="G24" s="48" t="e">
        <f t="shared" si="20"/>
        <v>#DIV/0!</v>
      </c>
      <c r="H24" s="48" t="e">
        <f t="shared" si="20"/>
        <v>#DIV/0!</v>
      </c>
      <c r="I24" s="48" t="e">
        <f t="shared" si="20"/>
        <v>#DIV/0!</v>
      </c>
      <c r="J24" s="48" t="e">
        <f t="shared" si="20"/>
        <v>#DIV/0!</v>
      </c>
      <c r="K24" s="48" t="e">
        <f t="shared" ref="K24" si="21">+K15-K23</f>
        <v>#DIV/0!</v>
      </c>
      <c r="M24" s="60"/>
      <c r="AG24" s="41" t="s">
        <v>51</v>
      </c>
      <c r="AH24" s="41" t="s">
        <v>50</v>
      </c>
    </row>
    <row r="25" spans="1:35">
      <c r="A25" s="147">
        <v>19</v>
      </c>
      <c r="B25" s="41" t="s">
        <v>228</v>
      </c>
      <c r="C25" s="48" t="e">
        <f>IF(C24&lt;0,0,C24*0.15)</f>
        <v>#DIV/0!</v>
      </c>
      <c r="D25" s="48" t="e">
        <f t="shared" ref="D25:J25" si="22">IF(D24&lt;0,0,D24*0.15)</f>
        <v>#DIV/0!</v>
      </c>
      <c r="E25" s="48" t="e">
        <f t="shared" si="22"/>
        <v>#DIV/0!</v>
      </c>
      <c r="F25" s="48" t="e">
        <f t="shared" si="22"/>
        <v>#DIV/0!</v>
      </c>
      <c r="G25" s="48" t="e">
        <f t="shared" si="22"/>
        <v>#DIV/0!</v>
      </c>
      <c r="H25" s="48" t="e">
        <f t="shared" si="22"/>
        <v>#DIV/0!</v>
      </c>
      <c r="I25" s="48" t="e">
        <f t="shared" si="22"/>
        <v>#DIV/0!</v>
      </c>
      <c r="J25" s="48" t="e">
        <f t="shared" si="22"/>
        <v>#DIV/0!</v>
      </c>
      <c r="K25" s="48" t="e">
        <f>IF(K24&lt;0,0,K24*0.15)</f>
        <v>#DIV/0!</v>
      </c>
      <c r="L25" s="56"/>
      <c r="M25" s="56"/>
      <c r="N25" s="56"/>
      <c r="AG25" s="41" t="s">
        <v>53</v>
      </c>
      <c r="AH25" s="41" t="s">
        <v>52</v>
      </c>
    </row>
    <row r="26" spans="1:35">
      <c r="A26" s="147">
        <v>20</v>
      </c>
      <c r="B26" s="41" t="s">
        <v>54</v>
      </c>
      <c r="C26" s="48" t="e">
        <f t="shared" ref="C26" si="23">C24-C25</f>
        <v>#DIV/0!</v>
      </c>
      <c r="D26" s="48" t="e">
        <f t="shared" ref="D26:J26" si="24">D24-D25</f>
        <v>#DIV/0!</v>
      </c>
      <c r="E26" s="48" t="e">
        <f t="shared" si="24"/>
        <v>#DIV/0!</v>
      </c>
      <c r="F26" s="48" t="e">
        <f t="shared" si="24"/>
        <v>#DIV/0!</v>
      </c>
      <c r="G26" s="48" t="e">
        <f t="shared" si="24"/>
        <v>#DIV/0!</v>
      </c>
      <c r="H26" s="48" t="e">
        <f t="shared" si="24"/>
        <v>#DIV/0!</v>
      </c>
      <c r="I26" s="48" t="e">
        <f t="shared" si="24"/>
        <v>#DIV/0!</v>
      </c>
      <c r="J26" s="48" t="e">
        <f t="shared" si="24"/>
        <v>#DIV/0!</v>
      </c>
      <c r="K26" s="43" t="e">
        <f>+SUM(C26:J26)</f>
        <v>#DIV/0!</v>
      </c>
      <c r="L26" s="56"/>
      <c r="M26" s="56"/>
      <c r="N26" s="56"/>
      <c r="AG26" s="41" t="s">
        <v>55</v>
      </c>
      <c r="AH26" s="41" t="s">
        <v>54</v>
      </c>
    </row>
    <row r="27" spans="1:35">
      <c r="A27" s="147">
        <v>21</v>
      </c>
      <c r="B27" s="41" t="s">
        <v>58</v>
      </c>
      <c r="C27" s="50" t="e">
        <f t="shared" ref="C27:K27" si="25">C26/C7</f>
        <v>#DIV/0!</v>
      </c>
      <c r="D27" s="50" t="e">
        <f t="shared" ref="D27:J27" si="26">D26/D7</f>
        <v>#DIV/0!</v>
      </c>
      <c r="E27" s="50" t="e">
        <f t="shared" si="26"/>
        <v>#DIV/0!</v>
      </c>
      <c r="F27" s="50" t="e">
        <f t="shared" si="26"/>
        <v>#DIV/0!</v>
      </c>
      <c r="G27" s="50" t="e">
        <f t="shared" si="26"/>
        <v>#DIV/0!</v>
      </c>
      <c r="H27" s="50" t="e">
        <f t="shared" si="26"/>
        <v>#DIV/0!</v>
      </c>
      <c r="I27" s="50" t="e">
        <f t="shared" si="26"/>
        <v>#DIV/0!</v>
      </c>
      <c r="J27" s="50" t="e">
        <f t="shared" si="26"/>
        <v>#DIV/0!</v>
      </c>
      <c r="K27" s="50" t="e">
        <f t="shared" si="25"/>
        <v>#DIV/0!</v>
      </c>
      <c r="L27" s="56"/>
      <c r="M27" s="56"/>
      <c r="N27" s="56"/>
      <c r="AG27" s="41" t="s">
        <v>57</v>
      </c>
      <c r="AH27" s="41" t="s">
        <v>58</v>
      </c>
    </row>
    <row r="28" spans="1:35">
      <c r="L28" s="56"/>
      <c r="M28" s="56"/>
      <c r="N28" s="56"/>
    </row>
    <row r="29" spans="1:35">
      <c r="A29" s="37" t="s">
        <v>59</v>
      </c>
      <c r="K29" s="38" t="s">
        <v>143</v>
      </c>
      <c r="L29" s="56"/>
      <c r="M29" s="56"/>
      <c r="N29" s="56"/>
      <c r="AG29" s="37" t="s">
        <v>59</v>
      </c>
    </row>
    <row r="30" spans="1:35">
      <c r="A30" s="41" t="s">
        <v>60</v>
      </c>
      <c r="B30" s="44" t="s">
        <v>61</v>
      </c>
      <c r="C30" s="48"/>
      <c r="D30" s="48"/>
      <c r="E30" s="48"/>
      <c r="F30" s="48"/>
      <c r="G30" s="48"/>
      <c r="H30" s="48"/>
      <c r="I30" s="48"/>
      <c r="J30" s="48"/>
      <c r="K30" s="48"/>
      <c r="L30" s="56"/>
      <c r="M30" s="56"/>
      <c r="N30" s="56"/>
      <c r="P30" s="56"/>
      <c r="AG30" s="41" t="s">
        <v>62</v>
      </c>
      <c r="AH30" s="44" t="s">
        <v>61</v>
      </c>
    </row>
    <row r="31" spans="1:35">
      <c r="A31" s="147">
        <v>1</v>
      </c>
      <c r="B31" s="46" t="s">
        <v>63</v>
      </c>
      <c r="C31" s="52">
        <f>'2023年'!C31</f>
        <v>350.03</v>
      </c>
      <c r="D31" s="52">
        <f>'2023年'!D31</f>
        <v>526.08000000000004</v>
      </c>
      <c r="E31" s="52">
        <f>'2023年'!E31</f>
        <v>0</v>
      </c>
      <c r="F31" s="52">
        <f>'2023年'!F31</f>
        <v>0</v>
      </c>
      <c r="G31" s="52">
        <f>'2023年'!G31</f>
        <v>0</v>
      </c>
      <c r="H31" s="52">
        <f>'2023年'!H31</f>
        <v>0</v>
      </c>
      <c r="I31" s="52">
        <f>'2023年'!I31</f>
        <v>0</v>
      </c>
      <c r="J31" s="52">
        <f>'2023年'!J31</f>
        <v>0</v>
      </c>
      <c r="K31" s="48"/>
      <c r="L31" s="56"/>
      <c r="M31" s="56"/>
      <c r="N31" s="56"/>
      <c r="P31" s="56"/>
      <c r="AG31" s="41" t="s">
        <v>17</v>
      </c>
      <c r="AH31" s="41" t="s">
        <v>63</v>
      </c>
    </row>
    <row r="32" spans="1:35">
      <c r="A32" s="147">
        <v>2</v>
      </c>
      <c r="B32" s="41" t="s">
        <v>144</v>
      </c>
      <c r="C32" s="43" t="e">
        <f>C9/C6</f>
        <v>#DIV/0!</v>
      </c>
      <c r="D32" s="43" t="e">
        <f t="shared" ref="D32:J32" si="27">D9/D6</f>
        <v>#DIV/0!</v>
      </c>
      <c r="E32" s="43" t="e">
        <f t="shared" si="27"/>
        <v>#DIV/0!</v>
      </c>
      <c r="F32" s="43" t="e">
        <f t="shared" si="27"/>
        <v>#DIV/0!</v>
      </c>
      <c r="G32" s="43" t="e">
        <f t="shared" si="27"/>
        <v>#DIV/0!</v>
      </c>
      <c r="H32" s="43" t="e">
        <f t="shared" si="27"/>
        <v>#DIV/0!</v>
      </c>
      <c r="I32" s="43" t="e">
        <f t="shared" si="27"/>
        <v>#DIV/0!</v>
      </c>
      <c r="J32" s="43" t="e">
        <f t="shared" si="27"/>
        <v>#DIV/0!</v>
      </c>
      <c r="K32" s="48"/>
      <c r="L32" s="56"/>
      <c r="M32" s="56"/>
      <c r="N32" s="56"/>
      <c r="O32" s="56"/>
      <c r="P32" s="56"/>
      <c r="Q32" s="56"/>
      <c r="R32" s="56"/>
      <c r="AG32" s="41"/>
      <c r="AH32" s="41"/>
    </row>
    <row r="33" spans="1:34">
      <c r="A33" s="147">
        <v>3</v>
      </c>
      <c r="B33" s="46" t="s">
        <v>64</v>
      </c>
      <c r="C33" s="43">
        <f>材料成本!G20</f>
        <v>0</v>
      </c>
      <c r="D33" s="43">
        <f>'2024年'!D33*(1-0.01)</f>
        <v>356.197743</v>
      </c>
      <c r="E33" s="43">
        <f>'2024年'!E33*(1-0.01)</f>
        <v>0</v>
      </c>
      <c r="F33" s="43">
        <f>'2024年'!F33*(1-0.01)</f>
        <v>0</v>
      </c>
      <c r="G33" s="43">
        <f>'2024年'!G33*(1-0.01)</f>
        <v>0</v>
      </c>
      <c r="H33" s="43">
        <f>'2024年'!H33*(1-0.01)</f>
        <v>0</v>
      </c>
      <c r="I33" s="43">
        <f>'2024年'!I33*(1-0.01)</f>
        <v>0</v>
      </c>
      <c r="J33" s="43">
        <f>'2024年'!J33*(1-0.01)</f>
        <v>0</v>
      </c>
      <c r="K33" s="48"/>
      <c r="M33" s="56"/>
      <c r="N33" s="56"/>
      <c r="O33" s="56"/>
      <c r="P33" s="56"/>
      <c r="Q33" s="56"/>
      <c r="R33" s="56"/>
      <c r="AG33" s="41" t="s">
        <v>19</v>
      </c>
      <c r="AH33" s="41" t="s">
        <v>64</v>
      </c>
    </row>
    <row r="34" spans="1:34" ht="17.25" customHeight="1">
      <c r="A34" s="147">
        <v>4</v>
      </c>
      <c r="B34" s="41" t="s">
        <v>66</v>
      </c>
      <c r="C34" s="53" t="e">
        <f>C32-C33</f>
        <v>#DIV/0!</v>
      </c>
      <c r="D34" s="53" t="e">
        <f t="shared" ref="D34:J34" si="28">D32-D33</f>
        <v>#DIV/0!</v>
      </c>
      <c r="E34" s="53" t="e">
        <f t="shared" si="28"/>
        <v>#DIV/0!</v>
      </c>
      <c r="F34" s="53" t="e">
        <f t="shared" si="28"/>
        <v>#DIV/0!</v>
      </c>
      <c r="G34" s="53" t="e">
        <f t="shared" si="28"/>
        <v>#DIV/0!</v>
      </c>
      <c r="H34" s="53" t="e">
        <f t="shared" si="28"/>
        <v>#DIV/0!</v>
      </c>
      <c r="I34" s="53" t="e">
        <f t="shared" si="28"/>
        <v>#DIV/0!</v>
      </c>
      <c r="J34" s="53" t="e">
        <f t="shared" si="28"/>
        <v>#DIV/0!</v>
      </c>
      <c r="K34" s="48"/>
      <c r="M34" s="56"/>
      <c r="N34" s="56"/>
      <c r="O34" s="56"/>
      <c r="P34" s="56"/>
      <c r="Q34" s="56"/>
      <c r="R34" s="56"/>
      <c r="AG34" s="41" t="s">
        <v>65</v>
      </c>
      <c r="AH34" s="41" t="s">
        <v>66</v>
      </c>
    </row>
    <row r="35" spans="1:34">
      <c r="A35" s="41" t="s">
        <v>62</v>
      </c>
      <c r="B35" s="44" t="s">
        <v>8</v>
      </c>
      <c r="C35" s="48"/>
      <c r="D35" s="48"/>
      <c r="E35" s="48"/>
      <c r="F35" s="48"/>
      <c r="G35" s="48"/>
      <c r="H35" s="48"/>
      <c r="I35" s="48"/>
      <c r="J35" s="48"/>
      <c r="K35" s="48"/>
      <c r="L35" s="56"/>
      <c r="M35" s="56"/>
      <c r="N35" s="56"/>
      <c r="O35" s="56"/>
      <c r="P35" s="56"/>
      <c r="Q35" s="56"/>
      <c r="R35" s="56"/>
      <c r="S35" s="56"/>
      <c r="AG35" s="41" t="s">
        <v>68</v>
      </c>
      <c r="AH35" s="44" t="s">
        <v>8</v>
      </c>
    </row>
    <row r="36" spans="1:34">
      <c r="A36" s="147">
        <v>1</v>
      </c>
      <c r="B36" s="41" t="s">
        <v>69</v>
      </c>
      <c r="C36" s="47">
        <f>'2023年'!C36</f>
        <v>20.350954262285875</v>
      </c>
      <c r="D36" s="47">
        <f>'2023年'!D36</f>
        <v>30.586606914559766</v>
      </c>
      <c r="E36" s="47">
        <f>'2023年'!E36</f>
        <v>0</v>
      </c>
      <c r="F36" s="47">
        <f>'2023年'!F36</f>
        <v>0</v>
      </c>
      <c r="G36" s="47">
        <f>'2023年'!G36</f>
        <v>0</v>
      </c>
      <c r="H36" s="47">
        <f>'2023年'!H36</f>
        <v>0</v>
      </c>
      <c r="I36" s="47">
        <f>'2023年'!I36</f>
        <v>0</v>
      </c>
      <c r="J36" s="47">
        <f>'2023年'!J36</f>
        <v>0</v>
      </c>
      <c r="K36" s="52"/>
      <c r="L36" s="56"/>
      <c r="M36" s="56"/>
      <c r="N36" s="56"/>
      <c r="O36" s="56"/>
      <c r="P36" s="56"/>
      <c r="Q36" s="56"/>
      <c r="R36" s="56"/>
      <c r="S36" s="56"/>
      <c r="AG36" s="41" t="s">
        <v>65</v>
      </c>
      <c r="AH36" s="41" t="s">
        <v>69</v>
      </c>
    </row>
    <row r="37" spans="1:34">
      <c r="A37" s="147">
        <v>2</v>
      </c>
      <c r="B37" s="41" t="s">
        <v>70</v>
      </c>
      <c r="C37" s="47">
        <f>'2023年'!C37</f>
        <v>6.3244669626278549</v>
      </c>
      <c r="D37" s="47">
        <f>'2023年'!D37</f>
        <v>9.5054011933241789</v>
      </c>
      <c r="E37" s="47">
        <f>'2023年'!E37</f>
        <v>0</v>
      </c>
      <c r="F37" s="47">
        <f>'2023年'!F37</f>
        <v>0</v>
      </c>
      <c r="G37" s="47">
        <f>'2023年'!G37</f>
        <v>0</v>
      </c>
      <c r="H37" s="47">
        <f>'2023年'!H37</f>
        <v>0</v>
      </c>
      <c r="I37" s="47">
        <f>'2023年'!I37</f>
        <v>0</v>
      </c>
      <c r="J37" s="47">
        <f>'2023年'!J37</f>
        <v>0</v>
      </c>
      <c r="K37" s="52"/>
      <c r="L37" s="56"/>
      <c r="M37" s="56"/>
      <c r="N37" s="56"/>
      <c r="O37" s="56"/>
      <c r="P37" s="56"/>
      <c r="Q37" s="56"/>
      <c r="R37" s="56"/>
      <c r="S37" s="56"/>
      <c r="AG37" s="41" t="s">
        <v>22</v>
      </c>
      <c r="AH37" s="41" t="s">
        <v>70</v>
      </c>
    </row>
    <row r="38" spans="1:34">
      <c r="A38" s="147">
        <v>3</v>
      </c>
      <c r="B38" s="41" t="s">
        <v>71</v>
      </c>
      <c r="C38" s="47">
        <f>'2023年'!C38</f>
        <v>34.082000000000001</v>
      </c>
      <c r="D38" s="47">
        <f>'2023年'!D38</f>
        <v>34.082000000000001</v>
      </c>
      <c r="E38" s="47">
        <f>'2023年'!E38</f>
        <v>0</v>
      </c>
      <c r="F38" s="47">
        <f>'2023年'!F38</f>
        <v>0</v>
      </c>
      <c r="G38" s="47">
        <f>'2023年'!G38</f>
        <v>0</v>
      </c>
      <c r="H38" s="47">
        <f>'2023年'!H38</f>
        <v>0</v>
      </c>
      <c r="I38" s="47">
        <f>'2023年'!I38</f>
        <v>0</v>
      </c>
      <c r="J38" s="47">
        <f>'2023年'!J38</f>
        <v>0</v>
      </c>
      <c r="K38" s="52"/>
      <c r="L38" s="56"/>
      <c r="M38" s="56"/>
      <c r="N38" s="56"/>
      <c r="O38" s="56"/>
      <c r="P38" s="56"/>
      <c r="Q38" s="56"/>
      <c r="R38" s="56"/>
      <c r="S38" s="56"/>
      <c r="AG38" s="41" t="s">
        <v>28</v>
      </c>
      <c r="AH38" s="41" t="s">
        <v>71</v>
      </c>
    </row>
    <row r="39" spans="1:34">
      <c r="A39" s="41" t="s">
        <v>68</v>
      </c>
      <c r="B39" s="44" t="s">
        <v>73</v>
      </c>
      <c r="C39" s="48"/>
      <c r="D39" s="48"/>
      <c r="E39" s="48"/>
      <c r="F39" s="48"/>
      <c r="G39" s="48"/>
      <c r="H39" s="48"/>
      <c r="I39" s="48"/>
      <c r="J39" s="48"/>
      <c r="K39" s="48"/>
      <c r="AG39" s="41" t="s">
        <v>72</v>
      </c>
      <c r="AH39" s="44" t="s">
        <v>73</v>
      </c>
    </row>
    <row r="40" spans="1:34">
      <c r="A40" s="147">
        <v>1</v>
      </c>
      <c r="B40" s="41" t="s">
        <v>75</v>
      </c>
      <c r="C40" s="48" t="e">
        <f>C34-C36-C37-C38</f>
        <v>#DIV/0!</v>
      </c>
      <c r="D40" s="48" t="e">
        <f t="shared" ref="D40:J40" si="29">D34-D36-D37-D38</f>
        <v>#DIV/0!</v>
      </c>
      <c r="E40" s="48" t="e">
        <f t="shared" si="29"/>
        <v>#DIV/0!</v>
      </c>
      <c r="F40" s="48" t="e">
        <f t="shared" si="29"/>
        <v>#DIV/0!</v>
      </c>
      <c r="G40" s="48" t="e">
        <f t="shared" si="29"/>
        <v>#DIV/0!</v>
      </c>
      <c r="H40" s="48" t="e">
        <f t="shared" si="29"/>
        <v>#DIV/0!</v>
      </c>
      <c r="I40" s="48" t="e">
        <f t="shared" si="29"/>
        <v>#DIV/0!</v>
      </c>
      <c r="J40" s="48" t="e">
        <f t="shared" si="29"/>
        <v>#DIV/0!</v>
      </c>
      <c r="K40" s="48"/>
      <c r="AG40" s="41" t="s">
        <v>17</v>
      </c>
      <c r="AH40" s="41" t="s">
        <v>75</v>
      </c>
    </row>
    <row r="41" spans="1:34">
      <c r="A41" s="147">
        <v>2</v>
      </c>
      <c r="B41" s="41" t="s">
        <v>76</v>
      </c>
      <c r="C41" s="48"/>
      <c r="D41" s="48"/>
      <c r="E41" s="48"/>
      <c r="F41" s="48"/>
      <c r="G41" s="48"/>
      <c r="H41" s="48"/>
      <c r="I41" s="48"/>
      <c r="J41" s="48"/>
      <c r="K41" s="48"/>
      <c r="AG41" s="41" t="s">
        <v>19</v>
      </c>
      <c r="AH41" s="41" t="s">
        <v>76</v>
      </c>
    </row>
    <row r="42" spans="1:34">
      <c r="A42" s="41" t="s">
        <v>72</v>
      </c>
      <c r="B42" s="44" t="s">
        <v>78</v>
      </c>
      <c r="C42" s="48"/>
      <c r="D42" s="48"/>
      <c r="E42" s="48"/>
      <c r="F42" s="48"/>
      <c r="G42" s="48"/>
      <c r="H42" s="48"/>
      <c r="I42" s="48"/>
      <c r="J42" s="48"/>
      <c r="K42" s="48"/>
      <c r="AG42" s="41" t="s">
        <v>77</v>
      </c>
      <c r="AH42" s="44" t="s">
        <v>78</v>
      </c>
    </row>
    <row r="43" spans="1:34">
      <c r="A43" s="147">
        <v>1</v>
      </c>
      <c r="B43" s="49" t="s">
        <v>79</v>
      </c>
      <c r="C43" s="47">
        <f>'2023年'!C43</f>
        <v>15.751349999999999</v>
      </c>
      <c r="D43" s="47">
        <f>'2023年'!D43</f>
        <v>23.6736</v>
      </c>
      <c r="E43" s="47">
        <f>'2023年'!E43</f>
        <v>0</v>
      </c>
      <c r="F43" s="47">
        <f>'2023年'!F43</f>
        <v>0</v>
      </c>
      <c r="G43" s="47">
        <f>'2023年'!G43</f>
        <v>0</v>
      </c>
      <c r="H43" s="47">
        <f>'2023年'!H43</f>
        <v>0</v>
      </c>
      <c r="I43" s="47">
        <f>'2023年'!I43</f>
        <v>0</v>
      </c>
      <c r="J43" s="47">
        <f>'2023年'!J43</f>
        <v>0</v>
      </c>
      <c r="K43" s="48"/>
      <c r="AG43" s="41" t="s">
        <v>17</v>
      </c>
      <c r="AH43" s="41" t="s">
        <v>79</v>
      </c>
    </row>
    <row r="44" spans="1:34">
      <c r="A44" s="147">
        <v>2</v>
      </c>
      <c r="B44" s="49" t="s">
        <v>80</v>
      </c>
      <c r="C44" s="47">
        <f>'2023年'!C44</f>
        <v>2.7652369999999999</v>
      </c>
      <c r="D44" s="47">
        <f>'2023年'!D44</f>
        <v>4.1560320000000006</v>
      </c>
      <c r="E44" s="47">
        <f>'2023年'!E44</f>
        <v>0</v>
      </c>
      <c r="F44" s="47">
        <f>'2023年'!F44</f>
        <v>0</v>
      </c>
      <c r="G44" s="47">
        <f>'2023年'!G44</f>
        <v>0</v>
      </c>
      <c r="H44" s="47">
        <f>'2023年'!H44</f>
        <v>0</v>
      </c>
      <c r="I44" s="47">
        <f>'2023年'!I44</f>
        <v>0</v>
      </c>
      <c r="J44" s="47">
        <f>'2023年'!J44</f>
        <v>0</v>
      </c>
      <c r="K44" s="48"/>
      <c r="AG44" s="41" t="s">
        <v>19</v>
      </c>
      <c r="AH44" s="41" t="s">
        <v>80</v>
      </c>
    </row>
    <row r="45" spans="1:34">
      <c r="A45" s="147">
        <v>3</v>
      </c>
      <c r="B45" s="49" t="s">
        <v>81</v>
      </c>
      <c r="C45" s="47">
        <f>'2023年'!C45</f>
        <v>14.198375151261661</v>
      </c>
      <c r="D45" s="47">
        <f>'2023年'!D45</f>
        <v>21.339545752009073</v>
      </c>
      <c r="E45" s="47">
        <f>'2023年'!E45</f>
        <v>0</v>
      </c>
      <c r="F45" s="47">
        <f>'2023年'!F45</f>
        <v>0</v>
      </c>
      <c r="G45" s="47">
        <f>'2023年'!G45</f>
        <v>0</v>
      </c>
      <c r="H45" s="47">
        <f>'2023年'!H45</f>
        <v>0</v>
      </c>
      <c r="I45" s="47">
        <f>'2023年'!I45</f>
        <v>0</v>
      </c>
      <c r="J45" s="47">
        <f>'2023年'!J45</f>
        <v>0</v>
      </c>
      <c r="K45" s="48"/>
      <c r="AG45" s="41" t="s">
        <v>65</v>
      </c>
      <c r="AH45" s="41" t="s">
        <v>81</v>
      </c>
    </row>
    <row r="46" spans="1:34" s="36" customFormat="1">
      <c r="A46" s="147">
        <v>4</v>
      </c>
      <c r="B46" s="49" t="s">
        <v>82</v>
      </c>
      <c r="C46" s="54" t="e">
        <f>C21/C6</f>
        <v>#DIV/0!</v>
      </c>
      <c r="D46" s="54" t="e">
        <f t="shared" ref="D46:J46" si="30">D21/D6</f>
        <v>#DIV/0!</v>
      </c>
      <c r="E46" s="54" t="e">
        <f t="shared" si="30"/>
        <v>#DIV/0!</v>
      </c>
      <c r="F46" s="54" t="e">
        <f t="shared" si="30"/>
        <v>#DIV/0!</v>
      </c>
      <c r="G46" s="54" t="e">
        <f t="shared" si="30"/>
        <v>#DIV/0!</v>
      </c>
      <c r="H46" s="54" t="e">
        <f t="shared" si="30"/>
        <v>#DIV/0!</v>
      </c>
      <c r="I46" s="54" t="e">
        <f t="shared" si="30"/>
        <v>#DIV/0!</v>
      </c>
      <c r="J46" s="54" t="e">
        <f t="shared" si="30"/>
        <v>#DIV/0!</v>
      </c>
      <c r="K46" s="54"/>
      <c r="AG46" s="49" t="s">
        <v>25</v>
      </c>
      <c r="AH46" s="49" t="s">
        <v>84</v>
      </c>
    </row>
    <row r="47" spans="1:34" s="36" customFormat="1">
      <c r="A47" s="147">
        <v>5</v>
      </c>
      <c r="B47" s="49" t="s">
        <v>84</v>
      </c>
      <c r="C47" s="54">
        <f>'2023年'!C47</f>
        <v>7.4556389999999997</v>
      </c>
      <c r="D47" s="54">
        <f>'2023年'!D47</f>
        <v>11.205504000000001</v>
      </c>
      <c r="E47" s="54">
        <f>'2023年'!E47</f>
        <v>0</v>
      </c>
      <c r="F47" s="54">
        <f>'2023年'!F47</f>
        <v>0</v>
      </c>
      <c r="G47" s="54">
        <f>'2023年'!G47</f>
        <v>0</v>
      </c>
      <c r="H47" s="54">
        <f>'2023年'!H47</f>
        <v>0</v>
      </c>
      <c r="I47" s="54">
        <f>'2023年'!I47</f>
        <v>0</v>
      </c>
      <c r="J47" s="54">
        <f>'2023年'!J47</f>
        <v>0</v>
      </c>
      <c r="K47" s="54"/>
      <c r="AG47" s="49" t="s">
        <v>25</v>
      </c>
      <c r="AH47" s="49" t="s">
        <v>84</v>
      </c>
    </row>
    <row r="48" spans="1:34">
      <c r="A48" s="41" t="s">
        <v>77</v>
      </c>
      <c r="B48" s="44" t="s">
        <v>95</v>
      </c>
      <c r="C48" s="48" t="e">
        <f>C40-C43-C44-C45-C47-C46</f>
        <v>#DIV/0!</v>
      </c>
      <c r="D48" s="48" t="e">
        <f t="shared" ref="D48:J48" si="31">D40-D43-D44-D45-D47-D46</f>
        <v>#DIV/0!</v>
      </c>
      <c r="E48" s="48" t="e">
        <f t="shared" si="31"/>
        <v>#DIV/0!</v>
      </c>
      <c r="F48" s="48" t="e">
        <f t="shared" si="31"/>
        <v>#DIV/0!</v>
      </c>
      <c r="G48" s="48" t="e">
        <f t="shared" si="31"/>
        <v>#DIV/0!</v>
      </c>
      <c r="H48" s="48" t="e">
        <f t="shared" si="31"/>
        <v>#DIV/0!</v>
      </c>
      <c r="I48" s="48" t="e">
        <f t="shared" si="31"/>
        <v>#DIV/0!</v>
      </c>
      <c r="J48" s="48" t="e">
        <f t="shared" si="31"/>
        <v>#DIV/0!</v>
      </c>
      <c r="K48" s="48"/>
      <c r="AG48" s="41" t="s">
        <v>94</v>
      </c>
      <c r="AH48" s="44" t="s">
        <v>95</v>
      </c>
    </row>
    <row r="51" spans="2:16">
      <c r="C51" s="55"/>
      <c r="D51" s="55"/>
      <c r="E51" s="55"/>
      <c r="F51" s="55"/>
      <c r="G51" s="55"/>
      <c r="H51" s="55"/>
      <c r="I51" s="55"/>
      <c r="J51" s="55"/>
    </row>
    <row r="54" spans="2:16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  <c r="O54" s="56"/>
      <c r="P54" s="56"/>
    </row>
    <row r="55" spans="2:16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  <c r="O55" s="56"/>
      <c r="P55" s="56"/>
    </row>
    <row r="56" spans="2:16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  <c r="O56" s="56"/>
      <c r="P56" s="56"/>
    </row>
    <row r="57" spans="2:16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  <c r="O57" s="56"/>
      <c r="P57" s="56"/>
    </row>
    <row r="58" spans="2:16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  <c r="O58" s="56"/>
      <c r="P58" s="56"/>
    </row>
    <row r="59" spans="2:16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  <c r="O59" s="56"/>
      <c r="P59" s="56"/>
    </row>
    <row r="60" spans="2:16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  <c r="O60" s="56"/>
      <c r="P60" s="56"/>
    </row>
    <row r="61" spans="2:16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  <c r="O61" s="56"/>
      <c r="P61" s="56"/>
    </row>
    <row r="62" spans="2:16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  <c r="O62" s="56"/>
      <c r="P62" s="56"/>
    </row>
    <row r="63" spans="2:16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  <c r="O63" s="56"/>
      <c r="P63" s="56"/>
    </row>
    <row r="64" spans="2:16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  <c r="O64" s="56"/>
      <c r="P64" s="56"/>
    </row>
    <row r="65" spans="2:16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  <c r="O65" s="56"/>
      <c r="P65" s="56"/>
    </row>
    <row r="66" spans="2:16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  <c r="O66" s="56"/>
      <c r="P66" s="56"/>
    </row>
    <row r="67" spans="2:16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6"/>
    </row>
    <row r="68" spans="2:16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6"/>
    </row>
    <row r="69" spans="2:16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6"/>
    </row>
    <row r="70" spans="2:16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6"/>
    </row>
    <row r="71" spans="2:16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6"/>
    </row>
    <row r="72" spans="2:16"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6"/>
    </row>
    <row r="73" spans="2:16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6"/>
    </row>
    <row r="74" spans="2:16"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6"/>
    </row>
  </sheetData>
  <mergeCells count="8">
    <mergeCell ref="K3:K5"/>
    <mergeCell ref="C2:K2"/>
    <mergeCell ref="C1:K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7" activePane="bottomRight" state="frozen"/>
      <selection pane="topRight"/>
      <selection pane="bottomLeft"/>
      <selection pane="bottomRight" activeCell="K22" sqref="K22"/>
    </sheetView>
  </sheetViews>
  <sheetFormatPr defaultColWidth="9" defaultRowHeight="16.5"/>
  <cols>
    <col min="1" max="1" width="5.125" style="37" customWidth="1"/>
    <col min="2" max="2" width="17.5" style="37" customWidth="1"/>
    <col min="3" max="10" width="13.25" style="38" customWidth="1"/>
    <col min="11" max="11" width="18.75" style="38" customWidth="1"/>
    <col min="12" max="12" width="12.375" style="37" customWidth="1"/>
    <col min="13" max="13" width="10.125" style="37" customWidth="1"/>
    <col min="14" max="20" width="9" style="37" customWidth="1"/>
    <col min="21" max="37" width="9" style="37"/>
    <col min="38" max="38" width="4.375" style="37" customWidth="1"/>
    <col min="39" max="39" width="13.875" style="37" customWidth="1"/>
    <col min="40" max="16384" width="9" style="37"/>
  </cols>
  <sheetData>
    <row r="1" spans="1:40">
      <c r="A1" s="239" t="s">
        <v>135</v>
      </c>
      <c r="B1" s="239"/>
      <c r="C1" s="243" t="s">
        <v>227</v>
      </c>
      <c r="D1" s="244"/>
      <c r="E1" s="244"/>
      <c r="F1" s="244"/>
      <c r="G1" s="244"/>
      <c r="H1" s="244"/>
      <c r="I1" s="244"/>
      <c r="J1" s="244"/>
      <c r="K1" s="245"/>
    </row>
    <row r="2" spans="1:40">
      <c r="A2" s="239" t="s">
        <v>136</v>
      </c>
      <c r="B2" s="239"/>
      <c r="C2" s="246" t="str">
        <f>'2023年'!C2:K2</f>
        <v>北京北汽李尔汽车系统有限公司保定分公司</v>
      </c>
      <c r="D2" s="246"/>
      <c r="E2" s="246"/>
      <c r="F2" s="246"/>
      <c r="G2" s="246"/>
      <c r="H2" s="246"/>
      <c r="I2" s="246"/>
      <c r="J2" s="246"/>
      <c r="K2" s="246"/>
    </row>
    <row r="3" spans="1:40">
      <c r="A3" s="239" t="s">
        <v>137</v>
      </c>
      <c r="B3" s="239"/>
      <c r="C3" s="148" t="str">
        <f>'2023年'!C3</f>
        <v>B01发泡</v>
      </c>
      <c r="D3" s="148" t="str">
        <f>'2023年'!D3</f>
        <v>V71发泡</v>
      </c>
      <c r="E3" s="148">
        <f>'2023年'!E3</f>
        <v>0</v>
      </c>
      <c r="F3" s="148">
        <f>'2023年'!F3</f>
        <v>0</v>
      </c>
      <c r="G3" s="148">
        <f>'2023年'!G3</f>
        <v>0</v>
      </c>
      <c r="H3" s="148">
        <f>'2023年'!H3</f>
        <v>0</v>
      </c>
      <c r="I3" s="148">
        <f>'2023年'!I3</f>
        <v>0</v>
      </c>
      <c r="J3" s="148">
        <f>'2023年'!J3</f>
        <v>0</v>
      </c>
      <c r="K3" s="240" t="s">
        <v>13</v>
      </c>
    </row>
    <row r="4" spans="1:40">
      <c r="A4" s="239" t="s">
        <v>138</v>
      </c>
      <c r="B4" s="239"/>
      <c r="C4" s="148">
        <f>'2023年'!C4</f>
        <v>0</v>
      </c>
      <c r="D4" s="148">
        <f>'2023年'!D4</f>
        <v>0</v>
      </c>
      <c r="E4" s="148">
        <f>'2023年'!E4</f>
        <v>0</v>
      </c>
      <c r="F4" s="148">
        <f>'2023年'!F4</f>
        <v>0</v>
      </c>
      <c r="G4" s="148">
        <f>'2023年'!G4</f>
        <v>0</v>
      </c>
      <c r="H4" s="148">
        <f>'2023年'!H4</f>
        <v>0</v>
      </c>
      <c r="I4" s="148">
        <f>'2023年'!I4</f>
        <v>0</v>
      </c>
      <c r="J4" s="148">
        <f>'2023年'!J4</f>
        <v>0</v>
      </c>
      <c r="K4" s="241"/>
    </row>
    <row r="5" spans="1:40">
      <c r="A5" s="239" t="s">
        <v>139</v>
      </c>
      <c r="B5" s="239"/>
      <c r="C5" s="40"/>
      <c r="D5" s="40"/>
      <c r="E5" s="40"/>
      <c r="F5" s="40"/>
      <c r="G5" s="40"/>
      <c r="H5" s="40"/>
      <c r="I5" s="40"/>
      <c r="J5" s="40"/>
      <c r="K5" s="242"/>
      <c r="AN5" s="37" t="s">
        <v>14</v>
      </c>
    </row>
    <row r="6" spans="1:40" ht="17.25">
      <c r="A6" s="41" t="s">
        <v>12</v>
      </c>
      <c r="B6" s="42" t="s">
        <v>140</v>
      </c>
      <c r="C6" s="13">
        <f>销量!C12</f>
        <v>0</v>
      </c>
      <c r="D6" s="13">
        <f>销量!D12</f>
        <v>0</v>
      </c>
      <c r="E6" s="13">
        <f>销量!E12</f>
        <v>0</v>
      </c>
      <c r="F6" s="13">
        <f>销量!F12</f>
        <v>0</v>
      </c>
      <c r="G6" s="13">
        <f>销量!G12</f>
        <v>0</v>
      </c>
      <c r="H6" s="13">
        <f>销量!H12</f>
        <v>0</v>
      </c>
      <c r="I6" s="13">
        <f>销量!I12</f>
        <v>0</v>
      </c>
      <c r="J6" s="13">
        <f>销量!J12</f>
        <v>0</v>
      </c>
      <c r="K6" s="43">
        <f>SUM(C6:J6)</f>
        <v>0</v>
      </c>
      <c r="V6" s="42" t="s">
        <v>3</v>
      </c>
      <c r="AL6" s="41" t="s">
        <v>12</v>
      </c>
      <c r="AM6" s="42" t="s">
        <v>3</v>
      </c>
      <c r="AN6" s="37" t="s">
        <v>15</v>
      </c>
    </row>
    <row r="7" spans="1:40">
      <c r="A7" s="147">
        <v>1</v>
      </c>
      <c r="B7" s="42" t="s">
        <v>16</v>
      </c>
      <c r="C7" s="43">
        <f>C6*销量!C8</f>
        <v>0</v>
      </c>
      <c r="D7" s="43">
        <f>D6*销量!D8</f>
        <v>0</v>
      </c>
      <c r="E7" s="43">
        <f>E6*销量!E8</f>
        <v>0</v>
      </c>
      <c r="F7" s="43">
        <f>F6*销量!F8</f>
        <v>0</v>
      </c>
      <c r="G7" s="43">
        <f>G6*销量!G8</f>
        <v>0</v>
      </c>
      <c r="H7" s="43">
        <f>H6*销量!H8</f>
        <v>0</v>
      </c>
      <c r="I7" s="43">
        <f>I6*销量!I8</f>
        <v>0</v>
      </c>
      <c r="J7" s="43">
        <f>J6*销量!J8</f>
        <v>0</v>
      </c>
      <c r="K7" s="43">
        <f t="shared" ref="K7:K22" si="0">SUM(C7:J7)</f>
        <v>0</v>
      </c>
      <c r="L7" s="38"/>
      <c r="V7" s="42" t="s">
        <v>16</v>
      </c>
      <c r="AL7" s="41" t="s">
        <v>17</v>
      </c>
      <c r="AM7" s="42" t="s">
        <v>16</v>
      </c>
      <c r="AN7" s="37" t="s">
        <v>15</v>
      </c>
    </row>
    <row r="8" spans="1:40">
      <c r="A8" s="147">
        <v>2</v>
      </c>
      <c r="B8" s="147" t="s">
        <v>18</v>
      </c>
      <c r="C8" s="43">
        <f>C7*(1-销量!$O$9)</f>
        <v>0</v>
      </c>
      <c r="D8" s="43">
        <f>D7*(1-销量!$O$9)</f>
        <v>0</v>
      </c>
      <c r="E8" s="43">
        <f>E7*(1-销量!$O$9)</f>
        <v>0</v>
      </c>
      <c r="F8" s="43">
        <f>F7*(1-销量!$O$9)</f>
        <v>0</v>
      </c>
      <c r="G8" s="43">
        <f>G7*(1-销量!$O$9)</f>
        <v>0</v>
      </c>
      <c r="H8" s="43">
        <f>H7*(1-销量!$O$9)</f>
        <v>0</v>
      </c>
      <c r="I8" s="43">
        <f>I7*(1-销量!$O$9)</f>
        <v>0</v>
      </c>
      <c r="J8" s="43">
        <f>J7*(1-销量!$O$9)</f>
        <v>0</v>
      </c>
      <c r="K8" s="43">
        <f t="shared" si="0"/>
        <v>0</v>
      </c>
      <c r="L8" s="58"/>
      <c r="V8" s="147" t="s">
        <v>20</v>
      </c>
      <c r="AL8" s="41" t="s">
        <v>19</v>
      </c>
      <c r="AM8" s="147" t="s">
        <v>20</v>
      </c>
      <c r="AN8" s="37" t="s">
        <v>15</v>
      </c>
    </row>
    <row r="9" spans="1:40">
      <c r="A9" s="147">
        <v>3</v>
      </c>
      <c r="B9" s="42" t="s">
        <v>21</v>
      </c>
      <c r="C9" s="43">
        <f>+C7-C8</f>
        <v>0</v>
      </c>
      <c r="D9" s="43">
        <f t="shared" ref="D9:J9" si="1">+D7-D8</f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  <c r="I9" s="43">
        <f t="shared" si="1"/>
        <v>0</v>
      </c>
      <c r="J9" s="43">
        <f t="shared" si="1"/>
        <v>0</v>
      </c>
      <c r="K9" s="43">
        <f t="shared" si="0"/>
        <v>0</v>
      </c>
      <c r="V9" s="42" t="s">
        <v>21</v>
      </c>
      <c r="AL9" s="41" t="s">
        <v>22</v>
      </c>
      <c r="AM9" s="42" t="s">
        <v>21</v>
      </c>
      <c r="AN9" s="37" t="s">
        <v>23</v>
      </c>
    </row>
    <row r="10" spans="1:40">
      <c r="A10" s="147">
        <v>4</v>
      </c>
      <c r="B10" s="41" t="s">
        <v>24</v>
      </c>
      <c r="C10" s="43">
        <f>C6*C33</f>
        <v>0</v>
      </c>
      <c r="D10" s="43">
        <f t="shared" ref="D10:J10" si="2">D6*D33</f>
        <v>0</v>
      </c>
      <c r="E10" s="43">
        <f t="shared" si="2"/>
        <v>0</v>
      </c>
      <c r="F10" s="43">
        <f t="shared" si="2"/>
        <v>0</v>
      </c>
      <c r="G10" s="43">
        <f t="shared" si="2"/>
        <v>0</v>
      </c>
      <c r="H10" s="43">
        <f t="shared" si="2"/>
        <v>0</v>
      </c>
      <c r="I10" s="43">
        <f t="shared" si="2"/>
        <v>0</v>
      </c>
      <c r="J10" s="43">
        <f t="shared" si="2"/>
        <v>0</v>
      </c>
      <c r="K10" s="43">
        <f t="shared" si="0"/>
        <v>0</v>
      </c>
      <c r="V10" s="41" t="s">
        <v>24</v>
      </c>
      <c r="AL10" s="41" t="s">
        <v>25</v>
      </c>
      <c r="AM10" s="41" t="s">
        <v>24</v>
      </c>
      <c r="AN10" s="37" t="s">
        <v>26</v>
      </c>
    </row>
    <row r="11" spans="1:40">
      <c r="A11" s="147">
        <v>5</v>
      </c>
      <c r="B11" s="41" t="s">
        <v>27</v>
      </c>
      <c r="C11" s="43">
        <f>+C6*C36</f>
        <v>0</v>
      </c>
      <c r="D11" s="43">
        <f t="shared" ref="D11:J11" si="3">+D6*D36</f>
        <v>0</v>
      </c>
      <c r="E11" s="43">
        <f t="shared" si="3"/>
        <v>0</v>
      </c>
      <c r="F11" s="43">
        <f t="shared" si="3"/>
        <v>0</v>
      </c>
      <c r="G11" s="43">
        <f t="shared" si="3"/>
        <v>0</v>
      </c>
      <c r="H11" s="43">
        <f t="shared" si="3"/>
        <v>0</v>
      </c>
      <c r="I11" s="43">
        <f t="shared" si="3"/>
        <v>0</v>
      </c>
      <c r="J11" s="43">
        <f t="shared" si="3"/>
        <v>0</v>
      </c>
      <c r="K11" s="43">
        <f t="shared" si="0"/>
        <v>0</v>
      </c>
      <c r="V11" s="41" t="s">
        <v>27</v>
      </c>
      <c r="AL11" s="41" t="s">
        <v>28</v>
      </c>
      <c r="AM11" s="41" t="s">
        <v>27</v>
      </c>
    </row>
    <row r="12" spans="1:40">
      <c r="A12" s="147">
        <v>6</v>
      </c>
      <c r="B12" s="41" t="s">
        <v>29</v>
      </c>
      <c r="C12" s="43">
        <f>+C6*C37</f>
        <v>0</v>
      </c>
      <c r="D12" s="43">
        <f t="shared" ref="D12:J12" si="4">+D6*D37</f>
        <v>0</v>
      </c>
      <c r="E12" s="43">
        <f t="shared" si="4"/>
        <v>0</v>
      </c>
      <c r="F12" s="43">
        <f t="shared" si="4"/>
        <v>0</v>
      </c>
      <c r="G12" s="43">
        <f t="shared" si="4"/>
        <v>0</v>
      </c>
      <c r="H12" s="43">
        <f t="shared" si="4"/>
        <v>0</v>
      </c>
      <c r="I12" s="43">
        <f t="shared" si="4"/>
        <v>0</v>
      </c>
      <c r="J12" s="43">
        <f t="shared" si="4"/>
        <v>0</v>
      </c>
      <c r="K12" s="43">
        <f t="shared" si="0"/>
        <v>0</v>
      </c>
      <c r="V12" s="41" t="s">
        <v>29</v>
      </c>
      <c r="AL12" s="41" t="s">
        <v>30</v>
      </c>
      <c r="AM12" s="41" t="s">
        <v>29</v>
      </c>
    </row>
    <row r="13" spans="1:40">
      <c r="A13" s="147">
        <v>7</v>
      </c>
      <c r="B13" s="41" t="s">
        <v>31</v>
      </c>
      <c r="C13" s="43">
        <f>+C6*C38</f>
        <v>0</v>
      </c>
      <c r="D13" s="43">
        <f t="shared" ref="D13:J13" si="5">+D6*D38</f>
        <v>0</v>
      </c>
      <c r="E13" s="43">
        <f t="shared" si="5"/>
        <v>0</v>
      </c>
      <c r="F13" s="43">
        <f t="shared" si="5"/>
        <v>0</v>
      </c>
      <c r="G13" s="43">
        <f t="shared" si="5"/>
        <v>0</v>
      </c>
      <c r="H13" s="43">
        <f t="shared" si="5"/>
        <v>0</v>
      </c>
      <c r="I13" s="43">
        <f t="shared" si="5"/>
        <v>0</v>
      </c>
      <c r="J13" s="43">
        <f t="shared" si="5"/>
        <v>0</v>
      </c>
      <c r="K13" s="43">
        <f t="shared" si="0"/>
        <v>0</v>
      </c>
      <c r="V13" s="41" t="s">
        <v>31</v>
      </c>
      <c r="AL13" s="41" t="s">
        <v>32</v>
      </c>
      <c r="AM13" s="41" t="s">
        <v>31</v>
      </c>
      <c r="AN13" s="37" t="s">
        <v>15</v>
      </c>
    </row>
    <row r="14" spans="1:40">
      <c r="A14" s="147">
        <v>8</v>
      </c>
      <c r="B14" s="44" t="s">
        <v>33</v>
      </c>
      <c r="C14" s="43">
        <f>SUM(C11:C13)</f>
        <v>0</v>
      </c>
      <c r="D14" s="43">
        <f t="shared" ref="D14:J14" si="6">SUM(D11:D13)</f>
        <v>0</v>
      </c>
      <c r="E14" s="43">
        <f t="shared" si="6"/>
        <v>0</v>
      </c>
      <c r="F14" s="43">
        <f t="shared" si="6"/>
        <v>0</v>
      </c>
      <c r="G14" s="43">
        <f t="shared" si="6"/>
        <v>0</v>
      </c>
      <c r="H14" s="43">
        <f t="shared" si="6"/>
        <v>0</v>
      </c>
      <c r="I14" s="43">
        <f t="shared" si="6"/>
        <v>0</v>
      </c>
      <c r="J14" s="43">
        <f t="shared" si="6"/>
        <v>0</v>
      </c>
      <c r="K14" s="43">
        <f t="shared" si="0"/>
        <v>0</v>
      </c>
      <c r="V14" s="44" t="s">
        <v>33</v>
      </c>
      <c r="AL14" s="41" t="s">
        <v>34</v>
      </c>
      <c r="AM14" s="44" t="s">
        <v>33</v>
      </c>
    </row>
    <row r="15" spans="1:40">
      <c r="A15" s="147">
        <v>9</v>
      </c>
      <c r="B15" s="44" t="s">
        <v>35</v>
      </c>
      <c r="C15" s="43">
        <f>+C9-C10-C14</f>
        <v>0</v>
      </c>
      <c r="D15" s="43">
        <f t="shared" ref="D15:J15" si="7">+D9-D10-D14</f>
        <v>0</v>
      </c>
      <c r="E15" s="43">
        <f t="shared" si="7"/>
        <v>0</v>
      </c>
      <c r="F15" s="43">
        <f t="shared" si="7"/>
        <v>0</v>
      </c>
      <c r="G15" s="43">
        <f t="shared" si="7"/>
        <v>0</v>
      </c>
      <c r="H15" s="43">
        <f t="shared" si="7"/>
        <v>0</v>
      </c>
      <c r="I15" s="43">
        <f t="shared" si="7"/>
        <v>0</v>
      </c>
      <c r="J15" s="43">
        <f t="shared" si="7"/>
        <v>0</v>
      </c>
      <c r="K15" s="43">
        <f t="shared" si="0"/>
        <v>0</v>
      </c>
      <c r="V15" s="44" t="s">
        <v>35</v>
      </c>
      <c r="AL15" s="41" t="s">
        <v>36</v>
      </c>
      <c r="AM15" s="44" t="s">
        <v>35</v>
      </c>
    </row>
    <row r="16" spans="1:40">
      <c r="A16" s="147">
        <v>10</v>
      </c>
      <c r="B16" s="41" t="s">
        <v>37</v>
      </c>
      <c r="C16" s="45" t="e">
        <f>+C15/C9</f>
        <v>#DIV/0!</v>
      </c>
      <c r="D16" s="45" t="e">
        <f t="shared" ref="D16:J16" si="8">+D15/D9</f>
        <v>#DIV/0!</v>
      </c>
      <c r="E16" s="45" t="e">
        <f t="shared" si="8"/>
        <v>#DIV/0!</v>
      </c>
      <c r="F16" s="45" t="e">
        <f t="shared" si="8"/>
        <v>#DIV/0!</v>
      </c>
      <c r="G16" s="45" t="e">
        <f t="shared" si="8"/>
        <v>#DIV/0!</v>
      </c>
      <c r="H16" s="45" t="e">
        <f t="shared" si="8"/>
        <v>#DIV/0!</v>
      </c>
      <c r="I16" s="45" t="e">
        <f t="shared" si="8"/>
        <v>#DIV/0!</v>
      </c>
      <c r="J16" s="45" t="e">
        <f t="shared" si="8"/>
        <v>#DIV/0!</v>
      </c>
      <c r="K16" s="45" t="e">
        <f t="shared" ref="K16" si="9">+K15/K9</f>
        <v>#DIV/0!</v>
      </c>
      <c r="V16" s="41" t="s">
        <v>37</v>
      </c>
      <c r="AL16" s="41" t="s">
        <v>38</v>
      </c>
      <c r="AM16" s="41" t="s">
        <v>37</v>
      </c>
    </row>
    <row r="17" spans="1:40">
      <c r="A17" s="147">
        <v>11</v>
      </c>
      <c r="B17" s="41" t="s">
        <v>39</v>
      </c>
      <c r="C17" s="43" t="e">
        <f>C6*C43+C18</f>
        <v>#DIV/0!</v>
      </c>
      <c r="D17" s="43" t="e">
        <f t="shared" ref="D17:J17" si="10">D6*D43+D18</f>
        <v>#DIV/0!</v>
      </c>
      <c r="E17" s="43" t="e">
        <f t="shared" si="10"/>
        <v>#DIV/0!</v>
      </c>
      <c r="F17" s="43" t="e">
        <f t="shared" si="10"/>
        <v>#DIV/0!</v>
      </c>
      <c r="G17" s="43" t="e">
        <f t="shared" si="10"/>
        <v>#DIV/0!</v>
      </c>
      <c r="H17" s="43" t="e">
        <f t="shared" si="10"/>
        <v>#DIV/0!</v>
      </c>
      <c r="I17" s="43" t="e">
        <f t="shared" si="10"/>
        <v>#DIV/0!</v>
      </c>
      <c r="J17" s="43" t="e">
        <f t="shared" si="10"/>
        <v>#DIV/0!</v>
      </c>
      <c r="K17" s="43" t="e">
        <f t="shared" si="0"/>
        <v>#DIV/0!</v>
      </c>
      <c r="L17" s="58"/>
      <c r="V17" s="41" t="s">
        <v>39</v>
      </c>
      <c r="AL17" s="41" t="s">
        <v>40</v>
      </c>
      <c r="AM17" s="41" t="s">
        <v>39</v>
      </c>
    </row>
    <row r="18" spans="1:40" s="35" customFormat="1">
      <c r="A18" s="147">
        <v>12</v>
      </c>
      <c r="B18" s="46" t="s">
        <v>141</v>
      </c>
      <c r="C18" s="47" t="e">
        <f>$K$18/$K$6*C6</f>
        <v>#DIV/0!</v>
      </c>
      <c r="D18" s="47" t="e">
        <f t="shared" ref="D18:J18" si="11">$K$18/$K$6*D6</f>
        <v>#DIV/0!</v>
      </c>
      <c r="E18" s="47" t="e">
        <f t="shared" si="11"/>
        <v>#DIV/0!</v>
      </c>
      <c r="F18" s="47" t="e">
        <f t="shared" si="11"/>
        <v>#DIV/0!</v>
      </c>
      <c r="G18" s="47" t="e">
        <f t="shared" si="11"/>
        <v>#DIV/0!</v>
      </c>
      <c r="H18" s="47" t="e">
        <f t="shared" si="11"/>
        <v>#DIV/0!</v>
      </c>
      <c r="I18" s="47" t="e">
        <f t="shared" si="11"/>
        <v>#DIV/0!</v>
      </c>
      <c r="J18" s="47" t="e">
        <f t="shared" si="11"/>
        <v>#DIV/0!</v>
      </c>
      <c r="K18" s="47">
        <f>项目投资!D26</f>
        <v>0</v>
      </c>
      <c r="L18" s="59" t="s">
        <v>142</v>
      </c>
      <c r="M18" s="59"/>
      <c r="N18" s="59"/>
    </row>
    <row r="19" spans="1:40">
      <c r="A19" s="147">
        <v>13</v>
      </c>
      <c r="B19" s="41" t="s">
        <v>41</v>
      </c>
      <c r="C19" s="43">
        <f>C6*C44</f>
        <v>0</v>
      </c>
      <c r="D19" s="43">
        <f t="shared" ref="D19:J19" si="12">D6*D44</f>
        <v>0</v>
      </c>
      <c r="E19" s="43">
        <f t="shared" si="12"/>
        <v>0</v>
      </c>
      <c r="F19" s="43">
        <f t="shared" si="12"/>
        <v>0</v>
      </c>
      <c r="G19" s="43">
        <f t="shared" si="12"/>
        <v>0</v>
      </c>
      <c r="H19" s="43">
        <f t="shared" si="12"/>
        <v>0</v>
      </c>
      <c r="I19" s="43">
        <f t="shared" si="12"/>
        <v>0</v>
      </c>
      <c r="J19" s="43">
        <f t="shared" si="12"/>
        <v>0</v>
      </c>
      <c r="K19" s="43">
        <f t="shared" si="0"/>
        <v>0</v>
      </c>
      <c r="L19" s="35"/>
      <c r="V19" s="41" t="s">
        <v>41</v>
      </c>
      <c r="AL19" s="41" t="s">
        <v>42</v>
      </c>
      <c r="AM19" s="41" t="s">
        <v>41</v>
      </c>
      <c r="AN19" s="37" t="s">
        <v>15</v>
      </c>
    </row>
    <row r="20" spans="1:40">
      <c r="A20" s="147">
        <v>14</v>
      </c>
      <c r="B20" s="41" t="s">
        <v>43</v>
      </c>
      <c r="C20" s="43">
        <f>C6*C45</f>
        <v>0</v>
      </c>
      <c r="D20" s="43">
        <f t="shared" ref="D20:J20" si="13">D6*D45</f>
        <v>0</v>
      </c>
      <c r="E20" s="43">
        <f t="shared" si="13"/>
        <v>0</v>
      </c>
      <c r="F20" s="43">
        <f t="shared" si="13"/>
        <v>0</v>
      </c>
      <c r="G20" s="43">
        <f t="shared" si="13"/>
        <v>0</v>
      </c>
      <c r="H20" s="43">
        <f t="shared" si="13"/>
        <v>0</v>
      </c>
      <c r="I20" s="43">
        <f t="shared" si="13"/>
        <v>0</v>
      </c>
      <c r="J20" s="43">
        <f t="shared" si="13"/>
        <v>0</v>
      </c>
      <c r="K20" s="43">
        <f t="shared" si="0"/>
        <v>0</v>
      </c>
      <c r="V20" s="41" t="s">
        <v>43</v>
      </c>
      <c r="AL20" s="41" t="s">
        <v>44</v>
      </c>
      <c r="AM20" s="41" t="s">
        <v>43</v>
      </c>
    </row>
    <row r="21" spans="1:40">
      <c r="A21" s="147">
        <v>15</v>
      </c>
      <c r="B21" s="41" t="s">
        <v>45</v>
      </c>
      <c r="C21" s="48" t="e">
        <f>$K$21/$K$6*C6</f>
        <v>#DIV/0!</v>
      </c>
      <c r="D21" s="48" t="e">
        <f t="shared" ref="D21:J21" si="14">$K$21/$K$6*D6</f>
        <v>#DIV/0!</v>
      </c>
      <c r="E21" s="48" t="e">
        <f t="shared" si="14"/>
        <v>#DIV/0!</v>
      </c>
      <c r="F21" s="48" t="e">
        <f t="shared" si="14"/>
        <v>#DIV/0!</v>
      </c>
      <c r="G21" s="48" t="e">
        <f t="shared" si="14"/>
        <v>#DIV/0!</v>
      </c>
      <c r="H21" s="48" t="e">
        <f t="shared" si="14"/>
        <v>#DIV/0!</v>
      </c>
      <c r="I21" s="48" t="e">
        <f t="shared" si="14"/>
        <v>#DIV/0!</v>
      </c>
      <c r="J21" s="48" t="e">
        <f t="shared" si="14"/>
        <v>#DIV/0!</v>
      </c>
      <c r="K21" s="43">
        <f>项目投资!G27</f>
        <v>0</v>
      </c>
      <c r="V21" s="41" t="s">
        <v>45</v>
      </c>
      <c r="AL21" s="41"/>
      <c r="AM21" s="41"/>
    </row>
    <row r="22" spans="1:40">
      <c r="A22" s="147">
        <v>16</v>
      </c>
      <c r="B22" s="41" t="s">
        <v>46</v>
      </c>
      <c r="C22" s="43">
        <f>C6*C47</f>
        <v>0</v>
      </c>
      <c r="D22" s="43">
        <f t="shared" ref="D22:J22" si="15">D6*D47</f>
        <v>0</v>
      </c>
      <c r="E22" s="43">
        <f t="shared" si="15"/>
        <v>0</v>
      </c>
      <c r="F22" s="43">
        <f t="shared" si="15"/>
        <v>0</v>
      </c>
      <c r="G22" s="43">
        <f t="shared" si="15"/>
        <v>0</v>
      </c>
      <c r="H22" s="43">
        <f t="shared" si="15"/>
        <v>0</v>
      </c>
      <c r="I22" s="43">
        <f t="shared" si="15"/>
        <v>0</v>
      </c>
      <c r="J22" s="43">
        <f t="shared" si="15"/>
        <v>0</v>
      </c>
      <c r="K22" s="43">
        <f t="shared" si="0"/>
        <v>0</v>
      </c>
      <c r="V22" s="41" t="s">
        <v>46</v>
      </c>
      <c r="AL22" s="41" t="s">
        <v>47</v>
      </c>
      <c r="AM22" s="41" t="s">
        <v>46</v>
      </c>
    </row>
    <row r="23" spans="1:40">
      <c r="A23" s="147">
        <v>17</v>
      </c>
      <c r="B23" s="44" t="s">
        <v>48</v>
      </c>
      <c r="C23" s="48" t="e">
        <f>+C22+C21+C20+C19+C17</f>
        <v>#DIV/0!</v>
      </c>
      <c r="D23" s="48" t="e">
        <f t="shared" ref="D23:J23" si="16">+D22+D21+D20+D19+D17</f>
        <v>#DIV/0!</v>
      </c>
      <c r="E23" s="48" t="e">
        <f t="shared" si="16"/>
        <v>#DIV/0!</v>
      </c>
      <c r="F23" s="48" t="e">
        <f t="shared" si="16"/>
        <v>#DIV/0!</v>
      </c>
      <c r="G23" s="48" t="e">
        <f t="shared" si="16"/>
        <v>#DIV/0!</v>
      </c>
      <c r="H23" s="48" t="e">
        <f t="shared" si="16"/>
        <v>#DIV/0!</v>
      </c>
      <c r="I23" s="48" t="e">
        <f t="shared" si="16"/>
        <v>#DIV/0!</v>
      </c>
      <c r="J23" s="48" t="e">
        <f t="shared" si="16"/>
        <v>#DIV/0!</v>
      </c>
      <c r="K23" s="48" t="e">
        <f t="shared" ref="K23" si="17">+K22+K21+K20+K19+K17</f>
        <v>#DIV/0!</v>
      </c>
      <c r="V23" s="44" t="s">
        <v>48</v>
      </c>
      <c r="AL23" s="41" t="s">
        <v>49</v>
      </c>
      <c r="AM23" s="44" t="s">
        <v>48</v>
      </c>
    </row>
    <row r="24" spans="1:40">
      <c r="A24" s="147">
        <v>18</v>
      </c>
      <c r="B24" s="49" t="s">
        <v>50</v>
      </c>
      <c r="C24" s="48" t="e">
        <f>+C15-C23</f>
        <v>#DIV/0!</v>
      </c>
      <c r="D24" s="48" t="e">
        <f t="shared" ref="D24:J24" si="18">+D15-D23</f>
        <v>#DIV/0!</v>
      </c>
      <c r="E24" s="48" t="e">
        <f t="shared" si="18"/>
        <v>#DIV/0!</v>
      </c>
      <c r="F24" s="48" t="e">
        <f t="shared" si="18"/>
        <v>#DIV/0!</v>
      </c>
      <c r="G24" s="48" t="e">
        <f t="shared" si="18"/>
        <v>#DIV/0!</v>
      </c>
      <c r="H24" s="48" t="e">
        <f t="shared" si="18"/>
        <v>#DIV/0!</v>
      </c>
      <c r="I24" s="48" t="e">
        <f t="shared" si="18"/>
        <v>#DIV/0!</v>
      </c>
      <c r="J24" s="48" t="e">
        <f t="shared" si="18"/>
        <v>#DIV/0!</v>
      </c>
      <c r="K24" s="48" t="e">
        <f t="shared" ref="K24" si="19">+K15-K23</f>
        <v>#DIV/0!</v>
      </c>
      <c r="M24" s="60"/>
      <c r="V24" s="41" t="s">
        <v>50</v>
      </c>
      <c r="AL24" s="41" t="s">
        <v>51</v>
      </c>
      <c r="AM24" s="41" t="s">
        <v>50</v>
      </c>
    </row>
    <row r="25" spans="1:40">
      <c r="A25" s="147">
        <v>19</v>
      </c>
      <c r="B25" s="41" t="s">
        <v>228</v>
      </c>
      <c r="C25" s="48" t="e">
        <f>IF(C24&lt;0,0,C24*0.15)</f>
        <v>#DIV/0!</v>
      </c>
      <c r="D25" s="48" t="e">
        <f t="shared" ref="D25:J25" si="20">IF(D24&lt;0,0,D24*0.15)</f>
        <v>#DIV/0!</v>
      </c>
      <c r="E25" s="48" t="e">
        <f t="shared" si="20"/>
        <v>#DIV/0!</v>
      </c>
      <c r="F25" s="48" t="e">
        <f t="shared" si="20"/>
        <v>#DIV/0!</v>
      </c>
      <c r="G25" s="48" t="e">
        <f t="shared" si="20"/>
        <v>#DIV/0!</v>
      </c>
      <c r="H25" s="48" t="e">
        <f t="shared" si="20"/>
        <v>#DIV/0!</v>
      </c>
      <c r="I25" s="48" t="e">
        <f t="shared" si="20"/>
        <v>#DIV/0!</v>
      </c>
      <c r="J25" s="48" t="e">
        <f t="shared" si="20"/>
        <v>#DIV/0!</v>
      </c>
      <c r="K25" s="48" t="e">
        <f>IF(K24&lt;0,0,K24*0.15)</f>
        <v>#DIV/0!</v>
      </c>
      <c r="L25" s="56"/>
      <c r="M25" s="56"/>
      <c r="N25" s="56"/>
      <c r="V25" s="41" t="s">
        <v>52</v>
      </c>
      <c r="AL25" s="41" t="s">
        <v>53</v>
      </c>
      <c r="AM25" s="41" t="s">
        <v>52</v>
      </c>
    </row>
    <row r="26" spans="1:40">
      <c r="A26" s="147">
        <v>20</v>
      </c>
      <c r="B26" s="41" t="s">
        <v>54</v>
      </c>
      <c r="C26" s="48" t="e">
        <f t="shared" ref="C26" si="21">C24-C25</f>
        <v>#DIV/0!</v>
      </c>
      <c r="D26" s="48" t="e">
        <f t="shared" ref="D26:J26" si="22">D24-D25</f>
        <v>#DIV/0!</v>
      </c>
      <c r="E26" s="48" t="e">
        <f t="shared" si="22"/>
        <v>#DIV/0!</v>
      </c>
      <c r="F26" s="48" t="e">
        <f t="shared" si="22"/>
        <v>#DIV/0!</v>
      </c>
      <c r="G26" s="48" t="e">
        <f t="shared" si="22"/>
        <v>#DIV/0!</v>
      </c>
      <c r="H26" s="48" t="e">
        <f t="shared" si="22"/>
        <v>#DIV/0!</v>
      </c>
      <c r="I26" s="48" t="e">
        <f t="shared" si="22"/>
        <v>#DIV/0!</v>
      </c>
      <c r="J26" s="48" t="e">
        <f t="shared" si="22"/>
        <v>#DIV/0!</v>
      </c>
      <c r="K26" s="43" t="e">
        <f>+SUM(C26:J26)</f>
        <v>#DIV/0!</v>
      </c>
      <c r="L26" s="56"/>
      <c r="M26" s="56"/>
      <c r="N26" s="56"/>
      <c r="V26" s="41" t="s">
        <v>54</v>
      </c>
      <c r="AL26" s="41" t="s">
        <v>55</v>
      </c>
      <c r="AM26" s="41" t="s">
        <v>54</v>
      </c>
    </row>
    <row r="27" spans="1:40">
      <c r="A27" s="147">
        <v>21</v>
      </c>
      <c r="B27" s="41" t="s">
        <v>58</v>
      </c>
      <c r="C27" s="50" t="e">
        <f t="shared" ref="C27:K27" si="23">C26/C7</f>
        <v>#DIV/0!</v>
      </c>
      <c r="D27" s="50" t="e">
        <f t="shared" ref="D27:J27" si="24">D26/D7</f>
        <v>#DIV/0!</v>
      </c>
      <c r="E27" s="50" t="e">
        <f t="shared" si="24"/>
        <v>#DIV/0!</v>
      </c>
      <c r="F27" s="50" t="e">
        <f t="shared" si="24"/>
        <v>#DIV/0!</v>
      </c>
      <c r="G27" s="50" t="e">
        <f t="shared" si="24"/>
        <v>#DIV/0!</v>
      </c>
      <c r="H27" s="50" t="e">
        <f t="shared" si="24"/>
        <v>#DIV/0!</v>
      </c>
      <c r="I27" s="50" t="e">
        <f t="shared" si="24"/>
        <v>#DIV/0!</v>
      </c>
      <c r="J27" s="50" t="e">
        <f t="shared" si="24"/>
        <v>#DIV/0!</v>
      </c>
      <c r="K27" s="50" t="e">
        <f t="shared" si="23"/>
        <v>#DIV/0!</v>
      </c>
      <c r="L27" s="56"/>
      <c r="M27" s="56"/>
      <c r="N27" s="56"/>
      <c r="V27" s="41" t="s">
        <v>58</v>
      </c>
      <c r="AL27" s="41" t="s">
        <v>57</v>
      </c>
      <c r="AM27" s="41" t="s">
        <v>58</v>
      </c>
    </row>
    <row r="28" spans="1:40">
      <c r="L28" s="56"/>
      <c r="M28" s="56"/>
      <c r="N28" s="56"/>
      <c r="V28" s="41"/>
    </row>
    <row r="29" spans="1:40">
      <c r="A29" s="37" t="s">
        <v>59</v>
      </c>
      <c r="K29" s="38" t="s">
        <v>143</v>
      </c>
      <c r="L29" s="56"/>
      <c r="M29" s="56"/>
      <c r="N29" s="56"/>
      <c r="V29" s="41"/>
      <c r="AL29" s="37" t="s">
        <v>59</v>
      </c>
    </row>
    <row r="30" spans="1:40">
      <c r="A30" s="41" t="s">
        <v>60</v>
      </c>
      <c r="B30" s="44" t="s">
        <v>61</v>
      </c>
      <c r="C30" s="48"/>
      <c r="D30" s="48"/>
      <c r="E30" s="48"/>
      <c r="F30" s="48"/>
      <c r="G30" s="48"/>
      <c r="H30" s="48"/>
      <c r="I30" s="48"/>
      <c r="J30" s="48"/>
      <c r="K30" s="48"/>
      <c r="L30" s="56"/>
      <c r="M30" s="56"/>
      <c r="N30" s="56"/>
      <c r="P30" s="56"/>
      <c r="V30" s="44" t="s">
        <v>61</v>
      </c>
      <c r="AL30" s="41" t="s">
        <v>62</v>
      </c>
      <c r="AM30" s="44" t="s">
        <v>61</v>
      </c>
    </row>
    <row r="31" spans="1:40">
      <c r="A31" s="147">
        <v>1</v>
      </c>
      <c r="B31" s="46" t="s">
        <v>63</v>
      </c>
      <c r="C31" s="52">
        <f>'2023年'!C31</f>
        <v>350.03</v>
      </c>
      <c r="D31" s="52">
        <f>'2023年'!D31</f>
        <v>526.08000000000004</v>
      </c>
      <c r="E31" s="52">
        <f>'2023年'!E31</f>
        <v>0</v>
      </c>
      <c r="F31" s="52">
        <f>'2023年'!F31</f>
        <v>0</v>
      </c>
      <c r="G31" s="52">
        <f>'2023年'!G31</f>
        <v>0</v>
      </c>
      <c r="H31" s="52">
        <f>'2023年'!H31</f>
        <v>0</v>
      </c>
      <c r="I31" s="52">
        <f>'2023年'!I31</f>
        <v>0</v>
      </c>
      <c r="J31" s="52">
        <f>'2023年'!J31</f>
        <v>0</v>
      </c>
      <c r="K31" s="48"/>
      <c r="L31" s="56"/>
      <c r="M31" s="56"/>
      <c r="N31" s="56"/>
      <c r="P31" s="56"/>
      <c r="V31" s="41" t="s">
        <v>63</v>
      </c>
      <c r="AL31" s="41" t="s">
        <v>17</v>
      </c>
      <c r="AM31" s="41" t="s">
        <v>63</v>
      </c>
    </row>
    <row r="32" spans="1:40">
      <c r="A32" s="147">
        <v>2</v>
      </c>
      <c r="B32" s="41" t="s">
        <v>144</v>
      </c>
      <c r="C32" s="43" t="e">
        <f>C9/C6</f>
        <v>#DIV/0!</v>
      </c>
      <c r="D32" s="43" t="e">
        <f t="shared" ref="D32:J32" si="25">D9/D6</f>
        <v>#DIV/0!</v>
      </c>
      <c r="E32" s="43" t="e">
        <f t="shared" si="25"/>
        <v>#DIV/0!</v>
      </c>
      <c r="F32" s="43" t="e">
        <f t="shared" si="25"/>
        <v>#DIV/0!</v>
      </c>
      <c r="G32" s="43" t="e">
        <f t="shared" si="25"/>
        <v>#DIV/0!</v>
      </c>
      <c r="H32" s="43" t="e">
        <f t="shared" si="25"/>
        <v>#DIV/0!</v>
      </c>
      <c r="I32" s="43" t="e">
        <f t="shared" si="25"/>
        <v>#DIV/0!</v>
      </c>
      <c r="J32" s="43" t="e">
        <f t="shared" si="25"/>
        <v>#DIV/0!</v>
      </c>
      <c r="K32" s="48"/>
      <c r="L32" s="56"/>
      <c r="M32" s="56"/>
      <c r="N32" s="56"/>
      <c r="O32" s="56"/>
      <c r="P32" s="56"/>
      <c r="Q32" s="56"/>
      <c r="R32" s="56"/>
      <c r="AL32" s="41"/>
      <c r="AM32" s="41"/>
    </row>
    <row r="33" spans="1:39">
      <c r="A33" s="147">
        <v>3</v>
      </c>
      <c r="B33" s="46" t="s">
        <v>64</v>
      </c>
      <c r="C33" s="43">
        <f>'2025年'!C33*(1-0.01)</f>
        <v>0</v>
      </c>
      <c r="D33" s="43">
        <f>'2025年'!D33*(1-0.01)</f>
        <v>352.63576556999999</v>
      </c>
      <c r="E33" s="43">
        <f>'2025年'!E33*(1-0.01)</f>
        <v>0</v>
      </c>
      <c r="F33" s="43">
        <f>'2025年'!F33*(1-0.01)</f>
        <v>0</v>
      </c>
      <c r="G33" s="43">
        <f>'2025年'!G33*(1-0.01)</f>
        <v>0</v>
      </c>
      <c r="H33" s="43">
        <f>'2025年'!H33*(1-0.01)</f>
        <v>0</v>
      </c>
      <c r="I33" s="43">
        <f>'2025年'!I33*(1-0.01)</f>
        <v>0</v>
      </c>
      <c r="J33" s="43">
        <f>'2025年'!J33*(1-0.01)</f>
        <v>0</v>
      </c>
      <c r="K33" s="48"/>
      <c r="M33" s="56"/>
      <c r="N33" s="56"/>
      <c r="O33" s="56"/>
      <c r="P33" s="56"/>
      <c r="Q33" s="56"/>
      <c r="R33" s="56"/>
      <c r="V33" s="41" t="s">
        <v>64</v>
      </c>
      <c r="AL33" s="41" t="s">
        <v>19</v>
      </c>
      <c r="AM33" s="41" t="s">
        <v>64</v>
      </c>
    </row>
    <row r="34" spans="1:39" ht="17.25" customHeight="1">
      <c r="A34" s="147">
        <v>4</v>
      </c>
      <c r="B34" s="41" t="s">
        <v>66</v>
      </c>
      <c r="C34" s="53" t="e">
        <f>C32-C33</f>
        <v>#DIV/0!</v>
      </c>
      <c r="D34" s="53" t="e">
        <f t="shared" ref="D34:J34" si="26">D32-D33</f>
        <v>#DIV/0!</v>
      </c>
      <c r="E34" s="53" t="e">
        <f t="shared" si="26"/>
        <v>#DIV/0!</v>
      </c>
      <c r="F34" s="53" t="e">
        <f t="shared" si="26"/>
        <v>#DIV/0!</v>
      </c>
      <c r="G34" s="53" t="e">
        <f t="shared" si="26"/>
        <v>#DIV/0!</v>
      </c>
      <c r="H34" s="53" t="e">
        <f t="shared" si="26"/>
        <v>#DIV/0!</v>
      </c>
      <c r="I34" s="53" t="e">
        <f t="shared" si="26"/>
        <v>#DIV/0!</v>
      </c>
      <c r="J34" s="53" t="e">
        <f t="shared" si="26"/>
        <v>#DIV/0!</v>
      </c>
      <c r="K34" s="48"/>
      <c r="M34" s="56"/>
      <c r="N34" s="56"/>
      <c r="O34" s="56"/>
      <c r="P34" s="56"/>
      <c r="Q34" s="56"/>
      <c r="R34" s="56"/>
      <c r="V34" s="41" t="s">
        <v>66</v>
      </c>
      <c r="AL34" s="41" t="s">
        <v>65</v>
      </c>
      <c r="AM34" s="41" t="s">
        <v>66</v>
      </c>
    </row>
    <row r="35" spans="1:39">
      <c r="A35" s="41" t="s">
        <v>62</v>
      </c>
      <c r="B35" s="44" t="s">
        <v>8</v>
      </c>
      <c r="C35" s="48"/>
      <c r="D35" s="48"/>
      <c r="E35" s="48"/>
      <c r="F35" s="48"/>
      <c r="G35" s="48"/>
      <c r="H35" s="48"/>
      <c r="I35" s="48"/>
      <c r="J35" s="48"/>
      <c r="K35" s="48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44" t="s">
        <v>8</v>
      </c>
      <c r="AL35" s="41" t="s">
        <v>68</v>
      </c>
      <c r="AM35" s="44" t="s">
        <v>8</v>
      </c>
    </row>
    <row r="36" spans="1:39">
      <c r="A36" s="147">
        <v>1</v>
      </c>
      <c r="B36" s="41" t="s">
        <v>69</v>
      </c>
      <c r="C36" s="47">
        <f>'2023年'!C36</f>
        <v>20.350954262285875</v>
      </c>
      <c r="D36" s="47">
        <f>'2023年'!D36</f>
        <v>30.586606914559766</v>
      </c>
      <c r="E36" s="47">
        <f>'2023年'!E36</f>
        <v>0</v>
      </c>
      <c r="F36" s="47">
        <f>'2023年'!F36</f>
        <v>0</v>
      </c>
      <c r="G36" s="47">
        <f>'2023年'!G36</f>
        <v>0</v>
      </c>
      <c r="H36" s="47">
        <f>'2023年'!H36</f>
        <v>0</v>
      </c>
      <c r="I36" s="47">
        <f>'2023年'!I36</f>
        <v>0</v>
      </c>
      <c r="J36" s="47">
        <f>'2023年'!J36</f>
        <v>0</v>
      </c>
      <c r="K36" s="52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41" t="s">
        <v>69</v>
      </c>
      <c r="AL36" s="41" t="s">
        <v>65</v>
      </c>
      <c r="AM36" s="41" t="s">
        <v>69</v>
      </c>
    </row>
    <row r="37" spans="1:39">
      <c r="A37" s="147">
        <v>2</v>
      </c>
      <c r="B37" s="41" t="s">
        <v>70</v>
      </c>
      <c r="C37" s="47">
        <f>'2023年'!C37</f>
        <v>6.3244669626278549</v>
      </c>
      <c r="D37" s="47">
        <f>'2023年'!D37</f>
        <v>9.5054011933241789</v>
      </c>
      <c r="E37" s="47">
        <f>'2023年'!E37</f>
        <v>0</v>
      </c>
      <c r="F37" s="47">
        <f>'2023年'!F37</f>
        <v>0</v>
      </c>
      <c r="G37" s="47">
        <f>'2023年'!G37</f>
        <v>0</v>
      </c>
      <c r="H37" s="47">
        <f>'2023年'!H37</f>
        <v>0</v>
      </c>
      <c r="I37" s="47">
        <f>'2023年'!I37</f>
        <v>0</v>
      </c>
      <c r="J37" s="47">
        <f>'2023年'!J37</f>
        <v>0</v>
      </c>
      <c r="K37" s="52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41" t="s">
        <v>70</v>
      </c>
      <c r="AL37" s="41" t="s">
        <v>22</v>
      </c>
      <c r="AM37" s="41" t="s">
        <v>70</v>
      </c>
    </row>
    <row r="38" spans="1:39">
      <c r="A38" s="147">
        <v>3</v>
      </c>
      <c r="B38" s="41" t="s">
        <v>71</v>
      </c>
      <c r="C38" s="47">
        <f>'2023年'!C38</f>
        <v>34.082000000000001</v>
      </c>
      <c r="D38" s="47">
        <f>'2023年'!D38</f>
        <v>34.082000000000001</v>
      </c>
      <c r="E38" s="47">
        <f>'2023年'!E38</f>
        <v>0</v>
      </c>
      <c r="F38" s="47">
        <f>'2023年'!F38</f>
        <v>0</v>
      </c>
      <c r="G38" s="47">
        <f>'2023年'!G38</f>
        <v>0</v>
      </c>
      <c r="H38" s="47">
        <f>'2023年'!H38</f>
        <v>0</v>
      </c>
      <c r="I38" s="47">
        <f>'2023年'!I38</f>
        <v>0</v>
      </c>
      <c r="J38" s="47">
        <f>'2023年'!J38</f>
        <v>0</v>
      </c>
      <c r="K38" s="52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41" t="s">
        <v>71</v>
      </c>
      <c r="AL38" s="41" t="s">
        <v>28</v>
      </c>
      <c r="AM38" s="41" t="s">
        <v>71</v>
      </c>
    </row>
    <row r="39" spans="1:39">
      <c r="A39" s="41" t="s">
        <v>68</v>
      </c>
      <c r="B39" s="44" t="s">
        <v>73</v>
      </c>
      <c r="C39" s="48"/>
      <c r="D39" s="48"/>
      <c r="E39" s="48"/>
      <c r="F39" s="48"/>
      <c r="G39" s="48"/>
      <c r="H39" s="48"/>
      <c r="I39" s="48"/>
      <c r="J39" s="48"/>
      <c r="K39" s="48"/>
      <c r="V39" s="44" t="s">
        <v>73</v>
      </c>
      <c r="AL39" s="41" t="s">
        <v>72</v>
      </c>
      <c r="AM39" s="44" t="s">
        <v>73</v>
      </c>
    </row>
    <row r="40" spans="1:39">
      <c r="A40" s="147">
        <v>1</v>
      </c>
      <c r="B40" s="41" t="s">
        <v>75</v>
      </c>
      <c r="C40" s="48" t="e">
        <f>C34-C36-C37-C38</f>
        <v>#DIV/0!</v>
      </c>
      <c r="D40" s="48" t="e">
        <f t="shared" ref="D40:J40" si="27">D34-D36-D37-D38</f>
        <v>#DIV/0!</v>
      </c>
      <c r="E40" s="48" t="e">
        <f t="shared" si="27"/>
        <v>#DIV/0!</v>
      </c>
      <c r="F40" s="48" t="e">
        <f t="shared" si="27"/>
        <v>#DIV/0!</v>
      </c>
      <c r="G40" s="48" t="e">
        <f t="shared" si="27"/>
        <v>#DIV/0!</v>
      </c>
      <c r="H40" s="48" t="e">
        <f t="shared" si="27"/>
        <v>#DIV/0!</v>
      </c>
      <c r="I40" s="48" t="e">
        <f t="shared" si="27"/>
        <v>#DIV/0!</v>
      </c>
      <c r="J40" s="48" t="e">
        <f t="shared" si="27"/>
        <v>#DIV/0!</v>
      </c>
      <c r="K40" s="48"/>
      <c r="V40" s="41" t="s">
        <v>75</v>
      </c>
      <c r="AL40" s="41" t="s">
        <v>17</v>
      </c>
      <c r="AM40" s="41" t="s">
        <v>75</v>
      </c>
    </row>
    <row r="41" spans="1:39">
      <c r="A41" s="147">
        <v>2</v>
      </c>
      <c r="B41" s="41" t="s">
        <v>76</v>
      </c>
      <c r="C41" s="48"/>
      <c r="D41" s="48"/>
      <c r="E41" s="48"/>
      <c r="F41" s="48"/>
      <c r="G41" s="48"/>
      <c r="H41" s="48"/>
      <c r="I41" s="48"/>
      <c r="J41" s="48"/>
      <c r="K41" s="48"/>
      <c r="V41" s="41" t="s">
        <v>76</v>
      </c>
      <c r="AL41" s="41" t="s">
        <v>19</v>
      </c>
      <c r="AM41" s="41" t="s">
        <v>76</v>
      </c>
    </row>
    <row r="42" spans="1:39">
      <c r="A42" s="41" t="s">
        <v>72</v>
      </c>
      <c r="B42" s="44" t="s">
        <v>78</v>
      </c>
      <c r="C42" s="48"/>
      <c r="D42" s="48"/>
      <c r="E42" s="48"/>
      <c r="F42" s="48"/>
      <c r="G42" s="48"/>
      <c r="H42" s="48"/>
      <c r="I42" s="48"/>
      <c r="J42" s="48"/>
      <c r="K42" s="48"/>
      <c r="V42" s="44" t="s">
        <v>78</v>
      </c>
      <c r="AL42" s="41" t="s">
        <v>77</v>
      </c>
      <c r="AM42" s="44" t="s">
        <v>78</v>
      </c>
    </row>
    <row r="43" spans="1:39">
      <c r="A43" s="147">
        <v>1</v>
      </c>
      <c r="B43" s="49" t="s">
        <v>79</v>
      </c>
      <c r="C43" s="47">
        <f>'2023年'!C43</f>
        <v>15.751349999999999</v>
      </c>
      <c r="D43" s="47">
        <f>'2023年'!D43</f>
        <v>23.6736</v>
      </c>
      <c r="E43" s="47">
        <f>'2023年'!E43</f>
        <v>0</v>
      </c>
      <c r="F43" s="47">
        <f>'2023年'!F43</f>
        <v>0</v>
      </c>
      <c r="G43" s="47">
        <f>'2023年'!G43</f>
        <v>0</v>
      </c>
      <c r="H43" s="47">
        <f>'2023年'!H43</f>
        <v>0</v>
      </c>
      <c r="I43" s="47">
        <f>'2023年'!I43</f>
        <v>0</v>
      </c>
      <c r="J43" s="47">
        <f>'2023年'!J43</f>
        <v>0</v>
      </c>
      <c r="K43" s="48"/>
      <c r="V43" s="41" t="s">
        <v>79</v>
      </c>
      <c r="AL43" s="41" t="s">
        <v>17</v>
      </c>
      <c r="AM43" s="41" t="s">
        <v>79</v>
      </c>
    </row>
    <row r="44" spans="1:39">
      <c r="A44" s="147">
        <v>2</v>
      </c>
      <c r="B44" s="49" t="s">
        <v>80</v>
      </c>
      <c r="C44" s="47">
        <f>'2023年'!C44</f>
        <v>2.7652369999999999</v>
      </c>
      <c r="D44" s="47">
        <f>'2023年'!D44</f>
        <v>4.1560320000000006</v>
      </c>
      <c r="E44" s="47">
        <f>'2023年'!E44</f>
        <v>0</v>
      </c>
      <c r="F44" s="47">
        <f>'2023年'!F44</f>
        <v>0</v>
      </c>
      <c r="G44" s="47">
        <f>'2023年'!G44</f>
        <v>0</v>
      </c>
      <c r="H44" s="47">
        <f>'2023年'!H44</f>
        <v>0</v>
      </c>
      <c r="I44" s="47">
        <f>'2023年'!I44</f>
        <v>0</v>
      </c>
      <c r="J44" s="47">
        <f>'2023年'!J44</f>
        <v>0</v>
      </c>
      <c r="K44" s="48"/>
      <c r="V44" s="41" t="s">
        <v>80</v>
      </c>
      <c r="AL44" s="41" t="s">
        <v>19</v>
      </c>
      <c r="AM44" s="41" t="s">
        <v>80</v>
      </c>
    </row>
    <row r="45" spans="1:39">
      <c r="A45" s="147">
        <v>3</v>
      </c>
      <c r="B45" s="49" t="s">
        <v>81</v>
      </c>
      <c r="C45" s="47">
        <f>'2023年'!C45</f>
        <v>14.198375151261661</v>
      </c>
      <c r="D45" s="47">
        <f>'2023年'!D45</f>
        <v>21.339545752009073</v>
      </c>
      <c r="E45" s="47">
        <f>'2023年'!E45</f>
        <v>0</v>
      </c>
      <c r="F45" s="47">
        <f>'2023年'!F45</f>
        <v>0</v>
      </c>
      <c r="G45" s="47">
        <f>'2023年'!G45</f>
        <v>0</v>
      </c>
      <c r="H45" s="47">
        <f>'2023年'!H45</f>
        <v>0</v>
      </c>
      <c r="I45" s="47">
        <f>'2023年'!I45</f>
        <v>0</v>
      </c>
      <c r="J45" s="47">
        <f>'2023年'!J45</f>
        <v>0</v>
      </c>
      <c r="K45" s="48"/>
      <c r="V45" s="41" t="s">
        <v>81</v>
      </c>
      <c r="AL45" s="41" t="s">
        <v>65</v>
      </c>
      <c r="AM45" s="41" t="s">
        <v>81</v>
      </c>
    </row>
    <row r="46" spans="1:39" s="36" customFormat="1">
      <c r="A46" s="147">
        <v>4</v>
      </c>
      <c r="B46" s="49" t="s">
        <v>82</v>
      </c>
      <c r="C46" s="54" t="e">
        <f>C21/C6</f>
        <v>#DIV/0!</v>
      </c>
      <c r="D46" s="54" t="e">
        <f t="shared" ref="D46:J46" si="28">D21/D6</f>
        <v>#DIV/0!</v>
      </c>
      <c r="E46" s="54" t="e">
        <f t="shared" si="28"/>
        <v>#DIV/0!</v>
      </c>
      <c r="F46" s="54" t="e">
        <f t="shared" si="28"/>
        <v>#DIV/0!</v>
      </c>
      <c r="G46" s="54" t="e">
        <f t="shared" si="28"/>
        <v>#DIV/0!</v>
      </c>
      <c r="H46" s="54" t="e">
        <f t="shared" si="28"/>
        <v>#DIV/0!</v>
      </c>
      <c r="I46" s="54" t="e">
        <f t="shared" si="28"/>
        <v>#DIV/0!</v>
      </c>
      <c r="J46" s="54" t="e">
        <f t="shared" si="28"/>
        <v>#DIV/0!</v>
      </c>
      <c r="K46" s="54"/>
      <c r="V46" s="49" t="s">
        <v>84</v>
      </c>
      <c r="AL46" s="49" t="s">
        <v>25</v>
      </c>
      <c r="AM46" s="49" t="s">
        <v>84</v>
      </c>
    </row>
    <row r="47" spans="1:39" s="36" customFormat="1">
      <c r="A47" s="147">
        <v>5</v>
      </c>
      <c r="B47" s="49" t="s">
        <v>84</v>
      </c>
      <c r="C47" s="54">
        <f>'2023年'!C47</f>
        <v>7.4556389999999997</v>
      </c>
      <c r="D47" s="54">
        <f>'2023年'!D47</f>
        <v>11.205504000000001</v>
      </c>
      <c r="E47" s="54">
        <f>'2023年'!E47</f>
        <v>0</v>
      </c>
      <c r="F47" s="54">
        <f>'2023年'!F47</f>
        <v>0</v>
      </c>
      <c r="G47" s="54">
        <f>'2023年'!G47</f>
        <v>0</v>
      </c>
      <c r="H47" s="54">
        <f>'2023年'!H47</f>
        <v>0</v>
      </c>
      <c r="I47" s="54">
        <f>'2023年'!I47</f>
        <v>0</v>
      </c>
      <c r="J47" s="54">
        <f>'2023年'!J47</f>
        <v>0</v>
      </c>
      <c r="K47" s="54"/>
      <c r="V47" s="49" t="s">
        <v>84</v>
      </c>
      <c r="AL47" s="49" t="s">
        <v>25</v>
      </c>
      <c r="AM47" s="49" t="s">
        <v>84</v>
      </c>
    </row>
    <row r="48" spans="1:39">
      <c r="A48" s="41" t="s">
        <v>77</v>
      </c>
      <c r="B48" s="44" t="s">
        <v>95</v>
      </c>
      <c r="C48" s="48" t="e">
        <f>C40-C43-C44-C45-C47-C46</f>
        <v>#DIV/0!</v>
      </c>
      <c r="D48" s="48" t="e">
        <f t="shared" ref="D48:J48" si="29">D40-D43-D44-D45-D47-D46</f>
        <v>#DIV/0!</v>
      </c>
      <c r="E48" s="48" t="e">
        <f t="shared" si="29"/>
        <v>#DIV/0!</v>
      </c>
      <c r="F48" s="48" t="e">
        <f t="shared" si="29"/>
        <v>#DIV/0!</v>
      </c>
      <c r="G48" s="48" t="e">
        <f t="shared" si="29"/>
        <v>#DIV/0!</v>
      </c>
      <c r="H48" s="48" t="e">
        <f t="shared" si="29"/>
        <v>#DIV/0!</v>
      </c>
      <c r="I48" s="48" t="e">
        <f t="shared" si="29"/>
        <v>#DIV/0!</v>
      </c>
      <c r="J48" s="48" t="e">
        <f t="shared" si="29"/>
        <v>#DIV/0!</v>
      </c>
      <c r="K48" s="48"/>
      <c r="V48" s="44" t="s">
        <v>95</v>
      </c>
      <c r="AL48" s="41" t="s">
        <v>94</v>
      </c>
      <c r="AM48" s="44" t="s">
        <v>95</v>
      </c>
    </row>
    <row r="51" spans="2:16">
      <c r="C51" s="55"/>
      <c r="D51" s="55"/>
      <c r="E51" s="55"/>
      <c r="F51" s="55"/>
      <c r="G51" s="55"/>
      <c r="H51" s="55"/>
      <c r="I51" s="55"/>
      <c r="J51" s="55"/>
    </row>
    <row r="54" spans="2:16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  <c r="O54" s="56"/>
      <c r="P54" s="56"/>
    </row>
    <row r="55" spans="2:16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  <c r="O55" s="56"/>
      <c r="P55" s="56"/>
    </row>
    <row r="56" spans="2:16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  <c r="O56" s="56"/>
      <c r="P56" s="56"/>
    </row>
    <row r="57" spans="2:16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  <c r="O57" s="56"/>
      <c r="P57" s="56"/>
    </row>
    <row r="58" spans="2:16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  <c r="O58" s="56"/>
      <c r="P58" s="56"/>
    </row>
    <row r="59" spans="2:16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  <c r="O59" s="56"/>
      <c r="P59" s="56"/>
    </row>
    <row r="60" spans="2:16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  <c r="O60" s="56"/>
      <c r="P60" s="56"/>
    </row>
    <row r="61" spans="2:16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  <c r="O61" s="56"/>
      <c r="P61" s="56"/>
    </row>
    <row r="62" spans="2:16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  <c r="O62" s="56"/>
      <c r="P62" s="56"/>
    </row>
    <row r="63" spans="2:16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  <c r="O63" s="56"/>
      <c r="P63" s="56"/>
    </row>
    <row r="64" spans="2:16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  <c r="O64" s="56"/>
      <c r="P64" s="56"/>
    </row>
    <row r="65" spans="2:16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  <c r="O65" s="56"/>
      <c r="P65" s="56"/>
    </row>
    <row r="66" spans="2:16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  <c r="O66" s="56"/>
      <c r="P66" s="56"/>
    </row>
    <row r="67" spans="2:16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6"/>
    </row>
    <row r="68" spans="2:16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6"/>
    </row>
    <row r="69" spans="2:16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6"/>
    </row>
    <row r="70" spans="2:16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6"/>
    </row>
    <row r="71" spans="2:16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6"/>
    </row>
    <row r="72" spans="2:16"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6"/>
    </row>
    <row r="73" spans="2:16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6"/>
    </row>
    <row r="74" spans="2:16"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6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4" activePane="bottomRight" state="frozen"/>
      <selection pane="topRight"/>
      <selection pane="bottomLeft"/>
      <selection pane="bottomRight" activeCell="K22" sqref="K22"/>
    </sheetView>
  </sheetViews>
  <sheetFormatPr defaultColWidth="9" defaultRowHeight="16.5"/>
  <cols>
    <col min="1" max="1" width="5.125" style="37" customWidth="1"/>
    <col min="2" max="2" width="17.5" style="37" customWidth="1"/>
    <col min="3" max="10" width="13.25" style="38" customWidth="1"/>
    <col min="11" max="11" width="18.75" style="38" customWidth="1"/>
    <col min="12" max="12" width="12.375" style="37" customWidth="1"/>
    <col min="13" max="13" width="10.125" style="37" customWidth="1"/>
    <col min="14" max="20" width="9" style="37" customWidth="1"/>
    <col min="21" max="37" width="9" style="37"/>
    <col min="38" max="38" width="4.375" style="37" customWidth="1"/>
    <col min="39" max="39" width="13.875" style="37" customWidth="1"/>
    <col min="40" max="16384" width="9" style="37"/>
  </cols>
  <sheetData>
    <row r="1" spans="1:40">
      <c r="A1" s="239" t="s">
        <v>135</v>
      </c>
      <c r="B1" s="239"/>
      <c r="C1" s="243" t="s">
        <v>232</v>
      </c>
      <c r="D1" s="244"/>
      <c r="E1" s="244"/>
      <c r="F1" s="244"/>
      <c r="G1" s="244"/>
      <c r="H1" s="244"/>
      <c r="I1" s="244"/>
      <c r="J1" s="244"/>
      <c r="K1" s="245"/>
    </row>
    <row r="2" spans="1:40">
      <c r="A2" s="239" t="s">
        <v>136</v>
      </c>
      <c r="B2" s="239"/>
      <c r="C2" s="246" t="str">
        <f>'2023年'!C2:K2</f>
        <v>北京北汽李尔汽车系统有限公司保定分公司</v>
      </c>
      <c r="D2" s="246"/>
      <c r="E2" s="246"/>
      <c r="F2" s="246"/>
      <c r="G2" s="246"/>
      <c r="H2" s="246"/>
      <c r="I2" s="246"/>
      <c r="J2" s="246"/>
      <c r="K2" s="246"/>
    </row>
    <row r="3" spans="1:40">
      <c r="A3" s="239" t="s">
        <v>137</v>
      </c>
      <c r="B3" s="239"/>
      <c r="C3" s="148" t="str">
        <f>'2023年'!C3</f>
        <v>B01发泡</v>
      </c>
      <c r="D3" s="148" t="str">
        <f>'2023年'!D3</f>
        <v>V71发泡</v>
      </c>
      <c r="E3" s="148">
        <f>'2023年'!E3</f>
        <v>0</v>
      </c>
      <c r="F3" s="148">
        <f>'2023年'!F3</f>
        <v>0</v>
      </c>
      <c r="G3" s="148">
        <f>'2023年'!G3</f>
        <v>0</v>
      </c>
      <c r="H3" s="148">
        <f>'2023年'!H3</f>
        <v>0</v>
      </c>
      <c r="I3" s="148">
        <f>'2023年'!I3</f>
        <v>0</v>
      </c>
      <c r="J3" s="148">
        <f>'2023年'!J3</f>
        <v>0</v>
      </c>
      <c r="K3" s="240" t="s">
        <v>13</v>
      </c>
    </row>
    <row r="4" spans="1:40">
      <c r="A4" s="239" t="s">
        <v>138</v>
      </c>
      <c r="B4" s="239"/>
      <c r="C4" s="148">
        <f>'2023年'!C4</f>
        <v>0</v>
      </c>
      <c r="D4" s="148">
        <f>'2023年'!D4</f>
        <v>0</v>
      </c>
      <c r="E4" s="148">
        <f>'2023年'!E4</f>
        <v>0</v>
      </c>
      <c r="F4" s="148">
        <f>'2023年'!F4</f>
        <v>0</v>
      </c>
      <c r="G4" s="148">
        <f>'2023年'!G4</f>
        <v>0</v>
      </c>
      <c r="H4" s="148">
        <f>'2023年'!H4</f>
        <v>0</v>
      </c>
      <c r="I4" s="148">
        <f>'2023年'!I4</f>
        <v>0</v>
      </c>
      <c r="J4" s="148">
        <f>'2023年'!J4</f>
        <v>0</v>
      </c>
      <c r="K4" s="241"/>
    </row>
    <row r="5" spans="1:40">
      <c r="A5" s="239" t="s">
        <v>139</v>
      </c>
      <c r="B5" s="239"/>
      <c r="C5" s="40"/>
      <c r="D5" s="40"/>
      <c r="E5" s="40"/>
      <c r="F5" s="40"/>
      <c r="G5" s="40"/>
      <c r="H5" s="40"/>
      <c r="I5" s="40"/>
      <c r="J5" s="40"/>
      <c r="K5" s="242"/>
      <c r="AN5" s="37" t="s">
        <v>14</v>
      </c>
    </row>
    <row r="6" spans="1:40" ht="17.25">
      <c r="A6" s="41" t="s">
        <v>12</v>
      </c>
      <c r="B6" s="42" t="s">
        <v>140</v>
      </c>
      <c r="C6" s="13">
        <f>销量!C13</f>
        <v>0</v>
      </c>
      <c r="D6" s="13">
        <f>销量!D13</f>
        <v>0</v>
      </c>
      <c r="E6" s="13">
        <f>销量!E13</f>
        <v>0</v>
      </c>
      <c r="F6" s="13">
        <f>销量!F13</f>
        <v>0</v>
      </c>
      <c r="G6" s="13">
        <f>销量!G13</f>
        <v>0</v>
      </c>
      <c r="H6" s="13">
        <f>销量!H13</f>
        <v>0</v>
      </c>
      <c r="I6" s="13">
        <f>销量!I13</f>
        <v>0</v>
      </c>
      <c r="J6" s="13">
        <f>销量!J13</f>
        <v>0</v>
      </c>
      <c r="K6" s="43">
        <f t="shared" ref="K6:K15" si="0">SUM(C6:J6)</f>
        <v>0</v>
      </c>
      <c r="V6" s="42" t="s">
        <v>3</v>
      </c>
      <c r="AL6" s="41" t="s">
        <v>12</v>
      </c>
      <c r="AM6" s="42" t="s">
        <v>3</v>
      </c>
      <c r="AN6" s="37" t="s">
        <v>15</v>
      </c>
    </row>
    <row r="7" spans="1:40">
      <c r="A7" s="147">
        <v>1</v>
      </c>
      <c r="B7" s="42" t="s">
        <v>16</v>
      </c>
      <c r="C7" s="43">
        <f>C6*销量!C8</f>
        <v>0</v>
      </c>
      <c r="D7" s="43">
        <f>D6*销量!D8</f>
        <v>0</v>
      </c>
      <c r="E7" s="43">
        <f>E6*销量!E8</f>
        <v>0</v>
      </c>
      <c r="F7" s="43">
        <f>F6*销量!F8</f>
        <v>0</v>
      </c>
      <c r="G7" s="43">
        <f>G6*销量!G8</f>
        <v>0</v>
      </c>
      <c r="H7" s="43">
        <f>H6*销量!H8</f>
        <v>0</v>
      </c>
      <c r="I7" s="43">
        <f>I6*销量!I8</f>
        <v>0</v>
      </c>
      <c r="J7" s="43">
        <f>J6*销量!J8</f>
        <v>0</v>
      </c>
      <c r="K7" s="43">
        <f t="shared" si="0"/>
        <v>0</v>
      </c>
      <c r="L7" s="38"/>
      <c r="V7" s="42" t="s">
        <v>16</v>
      </c>
      <c r="AL7" s="41" t="s">
        <v>17</v>
      </c>
      <c r="AM7" s="42" t="s">
        <v>16</v>
      </c>
      <c r="AN7" s="37" t="s">
        <v>15</v>
      </c>
    </row>
    <row r="8" spans="1:40">
      <c r="A8" s="147">
        <v>2</v>
      </c>
      <c r="B8" s="147" t="s">
        <v>18</v>
      </c>
      <c r="C8" s="43">
        <f>C7*(1-销量!$O$10)</f>
        <v>0</v>
      </c>
      <c r="D8" s="43">
        <f>D7*(1-销量!$O$10)</f>
        <v>0</v>
      </c>
      <c r="E8" s="43">
        <f>E7*(1-销量!$O$10)</f>
        <v>0</v>
      </c>
      <c r="F8" s="43">
        <f>F7*(1-销量!$O$10)</f>
        <v>0</v>
      </c>
      <c r="G8" s="43">
        <f>G7*(1-销量!$O$10)</f>
        <v>0</v>
      </c>
      <c r="H8" s="43">
        <f>H7*(1-销量!$O$10)</f>
        <v>0</v>
      </c>
      <c r="I8" s="43">
        <f>I7*(1-销量!$O$10)</f>
        <v>0</v>
      </c>
      <c r="J8" s="43">
        <f>J7*(1-销量!$O$10)</f>
        <v>0</v>
      </c>
      <c r="K8" s="43">
        <f t="shared" si="0"/>
        <v>0</v>
      </c>
      <c r="L8" s="58"/>
      <c r="V8" s="147" t="s">
        <v>20</v>
      </c>
      <c r="AL8" s="41" t="s">
        <v>19</v>
      </c>
      <c r="AM8" s="147" t="s">
        <v>20</v>
      </c>
      <c r="AN8" s="37" t="s">
        <v>15</v>
      </c>
    </row>
    <row r="9" spans="1:40">
      <c r="A9" s="147">
        <v>3</v>
      </c>
      <c r="B9" s="42" t="s">
        <v>21</v>
      </c>
      <c r="C9" s="43">
        <f>+C7-C8</f>
        <v>0</v>
      </c>
      <c r="D9" s="43">
        <f t="shared" ref="D9:J9" si="1">+D7-D8</f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  <c r="I9" s="43">
        <f t="shared" si="1"/>
        <v>0</v>
      </c>
      <c r="J9" s="43">
        <f t="shared" si="1"/>
        <v>0</v>
      </c>
      <c r="K9" s="43">
        <f t="shared" si="0"/>
        <v>0</v>
      </c>
      <c r="V9" s="42" t="s">
        <v>21</v>
      </c>
      <c r="AL9" s="41" t="s">
        <v>22</v>
      </c>
      <c r="AM9" s="42" t="s">
        <v>21</v>
      </c>
      <c r="AN9" s="37" t="s">
        <v>23</v>
      </c>
    </row>
    <row r="10" spans="1:40">
      <c r="A10" s="147">
        <v>4</v>
      </c>
      <c r="B10" s="41" t="s">
        <v>24</v>
      </c>
      <c r="C10" s="43">
        <f>C6*C33</f>
        <v>0</v>
      </c>
      <c r="D10" s="43">
        <f t="shared" ref="D10:J10" si="2">D6*D33</f>
        <v>0</v>
      </c>
      <c r="E10" s="43">
        <f t="shared" si="2"/>
        <v>0</v>
      </c>
      <c r="F10" s="43">
        <f t="shared" si="2"/>
        <v>0</v>
      </c>
      <c r="G10" s="43">
        <f t="shared" si="2"/>
        <v>0</v>
      </c>
      <c r="H10" s="43">
        <f t="shared" si="2"/>
        <v>0</v>
      </c>
      <c r="I10" s="43">
        <f t="shared" si="2"/>
        <v>0</v>
      </c>
      <c r="J10" s="43">
        <f t="shared" si="2"/>
        <v>0</v>
      </c>
      <c r="K10" s="43">
        <f t="shared" si="0"/>
        <v>0</v>
      </c>
      <c r="V10" s="41" t="s">
        <v>24</v>
      </c>
      <c r="AL10" s="41" t="s">
        <v>25</v>
      </c>
      <c r="AM10" s="41" t="s">
        <v>24</v>
      </c>
      <c r="AN10" s="37" t="s">
        <v>26</v>
      </c>
    </row>
    <row r="11" spans="1:40">
      <c r="A11" s="147">
        <v>5</v>
      </c>
      <c r="B11" s="41" t="s">
        <v>27</v>
      </c>
      <c r="C11" s="43">
        <f>+C6*C36</f>
        <v>0</v>
      </c>
      <c r="D11" s="43">
        <f t="shared" ref="D11:J11" si="3">+D6*D36</f>
        <v>0</v>
      </c>
      <c r="E11" s="43">
        <f t="shared" si="3"/>
        <v>0</v>
      </c>
      <c r="F11" s="43">
        <f t="shared" si="3"/>
        <v>0</v>
      </c>
      <c r="G11" s="43">
        <f t="shared" si="3"/>
        <v>0</v>
      </c>
      <c r="H11" s="43">
        <f t="shared" si="3"/>
        <v>0</v>
      </c>
      <c r="I11" s="43">
        <f t="shared" si="3"/>
        <v>0</v>
      </c>
      <c r="J11" s="43">
        <f t="shared" si="3"/>
        <v>0</v>
      </c>
      <c r="K11" s="43">
        <f t="shared" si="0"/>
        <v>0</v>
      </c>
      <c r="V11" s="41" t="s">
        <v>27</v>
      </c>
      <c r="AL11" s="41" t="s">
        <v>28</v>
      </c>
      <c r="AM11" s="41" t="s">
        <v>27</v>
      </c>
    </row>
    <row r="12" spans="1:40">
      <c r="A12" s="147">
        <v>6</v>
      </c>
      <c r="B12" s="41" t="s">
        <v>29</v>
      </c>
      <c r="C12" s="43">
        <f>+C6*C37</f>
        <v>0</v>
      </c>
      <c r="D12" s="43">
        <f t="shared" ref="D12:J12" si="4">+D6*D37</f>
        <v>0</v>
      </c>
      <c r="E12" s="43">
        <f t="shared" si="4"/>
        <v>0</v>
      </c>
      <c r="F12" s="43">
        <f t="shared" si="4"/>
        <v>0</v>
      </c>
      <c r="G12" s="43">
        <f t="shared" si="4"/>
        <v>0</v>
      </c>
      <c r="H12" s="43">
        <f t="shared" si="4"/>
        <v>0</v>
      </c>
      <c r="I12" s="43">
        <f t="shared" si="4"/>
        <v>0</v>
      </c>
      <c r="J12" s="43">
        <f t="shared" si="4"/>
        <v>0</v>
      </c>
      <c r="K12" s="43">
        <f t="shared" si="0"/>
        <v>0</v>
      </c>
      <c r="V12" s="41" t="s">
        <v>29</v>
      </c>
      <c r="AL12" s="41" t="s">
        <v>30</v>
      </c>
      <c r="AM12" s="41" t="s">
        <v>29</v>
      </c>
    </row>
    <row r="13" spans="1:40">
      <c r="A13" s="147">
        <v>7</v>
      </c>
      <c r="B13" s="41" t="s">
        <v>31</v>
      </c>
      <c r="C13" s="43">
        <f>+C6*C38</f>
        <v>0</v>
      </c>
      <c r="D13" s="43">
        <f t="shared" ref="D13:J13" si="5">+D6*D38</f>
        <v>0</v>
      </c>
      <c r="E13" s="43">
        <f t="shared" si="5"/>
        <v>0</v>
      </c>
      <c r="F13" s="43">
        <f t="shared" si="5"/>
        <v>0</v>
      </c>
      <c r="G13" s="43">
        <f t="shared" si="5"/>
        <v>0</v>
      </c>
      <c r="H13" s="43">
        <f t="shared" si="5"/>
        <v>0</v>
      </c>
      <c r="I13" s="43">
        <f t="shared" si="5"/>
        <v>0</v>
      </c>
      <c r="J13" s="43">
        <f t="shared" si="5"/>
        <v>0</v>
      </c>
      <c r="K13" s="43">
        <f t="shared" si="0"/>
        <v>0</v>
      </c>
      <c r="V13" s="41" t="s">
        <v>31</v>
      </c>
      <c r="AL13" s="41" t="s">
        <v>32</v>
      </c>
      <c r="AM13" s="41" t="s">
        <v>31</v>
      </c>
      <c r="AN13" s="37" t="s">
        <v>15</v>
      </c>
    </row>
    <row r="14" spans="1:40">
      <c r="A14" s="147">
        <v>8</v>
      </c>
      <c r="B14" s="44" t="s">
        <v>33</v>
      </c>
      <c r="C14" s="43">
        <f>SUM(C11:C13)</f>
        <v>0</v>
      </c>
      <c r="D14" s="43">
        <f t="shared" ref="D14:J14" si="6">SUM(D11:D13)</f>
        <v>0</v>
      </c>
      <c r="E14" s="43">
        <f t="shared" si="6"/>
        <v>0</v>
      </c>
      <c r="F14" s="43">
        <f t="shared" si="6"/>
        <v>0</v>
      </c>
      <c r="G14" s="43">
        <f t="shared" si="6"/>
        <v>0</v>
      </c>
      <c r="H14" s="43">
        <f t="shared" si="6"/>
        <v>0</v>
      </c>
      <c r="I14" s="43">
        <f t="shared" si="6"/>
        <v>0</v>
      </c>
      <c r="J14" s="43">
        <f t="shared" si="6"/>
        <v>0</v>
      </c>
      <c r="K14" s="43">
        <f t="shared" si="0"/>
        <v>0</v>
      </c>
      <c r="V14" s="44" t="s">
        <v>33</v>
      </c>
      <c r="AL14" s="41" t="s">
        <v>34</v>
      </c>
      <c r="AM14" s="44" t="s">
        <v>33</v>
      </c>
    </row>
    <row r="15" spans="1:40">
      <c r="A15" s="147">
        <v>9</v>
      </c>
      <c r="B15" s="44" t="s">
        <v>35</v>
      </c>
      <c r="C15" s="43">
        <f>+C9-C10-C14</f>
        <v>0</v>
      </c>
      <c r="D15" s="43">
        <f t="shared" ref="D15:J15" si="7">+D9-D10-D14</f>
        <v>0</v>
      </c>
      <c r="E15" s="43">
        <f t="shared" si="7"/>
        <v>0</v>
      </c>
      <c r="F15" s="43">
        <f t="shared" si="7"/>
        <v>0</v>
      </c>
      <c r="G15" s="43">
        <f t="shared" si="7"/>
        <v>0</v>
      </c>
      <c r="H15" s="43">
        <f t="shared" si="7"/>
        <v>0</v>
      </c>
      <c r="I15" s="43">
        <f t="shared" si="7"/>
        <v>0</v>
      </c>
      <c r="J15" s="43">
        <f t="shared" si="7"/>
        <v>0</v>
      </c>
      <c r="K15" s="43">
        <f t="shared" si="0"/>
        <v>0</v>
      </c>
      <c r="V15" s="44" t="s">
        <v>35</v>
      </c>
      <c r="AL15" s="41" t="s">
        <v>36</v>
      </c>
      <c r="AM15" s="44" t="s">
        <v>35</v>
      </c>
    </row>
    <row r="16" spans="1:40">
      <c r="A16" s="147">
        <v>10</v>
      </c>
      <c r="B16" s="41" t="s">
        <v>37</v>
      </c>
      <c r="C16" s="45" t="e">
        <f>+C15/C9</f>
        <v>#DIV/0!</v>
      </c>
      <c r="D16" s="45" t="e">
        <f t="shared" ref="D16:J16" si="8">+D15/D9</f>
        <v>#DIV/0!</v>
      </c>
      <c r="E16" s="45" t="e">
        <f t="shared" si="8"/>
        <v>#DIV/0!</v>
      </c>
      <c r="F16" s="45" t="e">
        <f t="shared" si="8"/>
        <v>#DIV/0!</v>
      </c>
      <c r="G16" s="45" t="e">
        <f t="shared" si="8"/>
        <v>#DIV/0!</v>
      </c>
      <c r="H16" s="45" t="e">
        <f t="shared" si="8"/>
        <v>#DIV/0!</v>
      </c>
      <c r="I16" s="45" t="e">
        <f t="shared" si="8"/>
        <v>#DIV/0!</v>
      </c>
      <c r="J16" s="45" t="e">
        <f t="shared" si="8"/>
        <v>#DIV/0!</v>
      </c>
      <c r="K16" s="45" t="e">
        <f t="shared" ref="K16" si="9">+K15/K9</f>
        <v>#DIV/0!</v>
      </c>
      <c r="V16" s="41" t="s">
        <v>37</v>
      </c>
      <c r="AL16" s="41" t="s">
        <v>38</v>
      </c>
      <c r="AM16" s="41" t="s">
        <v>37</v>
      </c>
    </row>
    <row r="17" spans="1:40">
      <c r="A17" s="147">
        <v>11</v>
      </c>
      <c r="B17" s="41" t="s">
        <v>39</v>
      </c>
      <c r="C17" s="43" t="e">
        <f>C6*C43+C18</f>
        <v>#DIV/0!</v>
      </c>
      <c r="D17" s="43" t="e">
        <f t="shared" ref="D17:J17" si="10">D6*D43+D18</f>
        <v>#DIV/0!</v>
      </c>
      <c r="E17" s="43" t="e">
        <f t="shared" si="10"/>
        <v>#DIV/0!</v>
      </c>
      <c r="F17" s="43" t="e">
        <f t="shared" si="10"/>
        <v>#DIV/0!</v>
      </c>
      <c r="G17" s="43" t="e">
        <f t="shared" si="10"/>
        <v>#DIV/0!</v>
      </c>
      <c r="H17" s="43" t="e">
        <f t="shared" si="10"/>
        <v>#DIV/0!</v>
      </c>
      <c r="I17" s="43" t="e">
        <f t="shared" si="10"/>
        <v>#DIV/0!</v>
      </c>
      <c r="J17" s="43" t="e">
        <f t="shared" si="10"/>
        <v>#DIV/0!</v>
      </c>
      <c r="K17" s="43" t="e">
        <f>SUM(C17:J17)</f>
        <v>#DIV/0!</v>
      </c>
      <c r="L17" s="58"/>
      <c r="V17" s="41" t="s">
        <v>39</v>
      </c>
      <c r="AL17" s="41" t="s">
        <v>40</v>
      </c>
      <c r="AM17" s="41" t="s">
        <v>39</v>
      </c>
    </row>
    <row r="18" spans="1:40" s="35" customFormat="1">
      <c r="A18" s="147">
        <v>12</v>
      </c>
      <c r="B18" s="46" t="s">
        <v>141</v>
      </c>
      <c r="C18" s="47" t="e">
        <f>$K$18/$K$6*C6</f>
        <v>#DIV/0!</v>
      </c>
      <c r="D18" s="47" t="e">
        <f t="shared" ref="D18:J18" si="11">$K$18/$K$6*D6</f>
        <v>#DIV/0!</v>
      </c>
      <c r="E18" s="47" t="e">
        <f t="shared" si="11"/>
        <v>#DIV/0!</v>
      </c>
      <c r="F18" s="47" t="e">
        <f t="shared" si="11"/>
        <v>#DIV/0!</v>
      </c>
      <c r="G18" s="47" t="e">
        <f t="shared" si="11"/>
        <v>#DIV/0!</v>
      </c>
      <c r="H18" s="47" t="e">
        <f t="shared" si="11"/>
        <v>#DIV/0!</v>
      </c>
      <c r="I18" s="47" t="e">
        <f t="shared" si="11"/>
        <v>#DIV/0!</v>
      </c>
      <c r="J18" s="47" t="e">
        <f t="shared" si="11"/>
        <v>#DIV/0!</v>
      </c>
      <c r="K18" s="47">
        <f>项目投资!D26</f>
        <v>0</v>
      </c>
      <c r="L18" s="59" t="s">
        <v>142</v>
      </c>
      <c r="M18" s="59"/>
      <c r="N18" s="59"/>
    </row>
    <row r="19" spans="1:40">
      <c r="A19" s="147">
        <v>13</v>
      </c>
      <c r="B19" s="41" t="s">
        <v>41</v>
      </c>
      <c r="C19" s="43">
        <f>C6*C44</f>
        <v>0</v>
      </c>
      <c r="D19" s="43">
        <f t="shared" ref="D19:J19" si="12">D6*D44</f>
        <v>0</v>
      </c>
      <c r="E19" s="43">
        <f t="shared" si="12"/>
        <v>0</v>
      </c>
      <c r="F19" s="43">
        <f t="shared" si="12"/>
        <v>0</v>
      </c>
      <c r="G19" s="43">
        <f t="shared" si="12"/>
        <v>0</v>
      </c>
      <c r="H19" s="43">
        <f t="shared" si="12"/>
        <v>0</v>
      </c>
      <c r="I19" s="43">
        <f t="shared" si="12"/>
        <v>0</v>
      </c>
      <c r="J19" s="43">
        <f t="shared" si="12"/>
        <v>0</v>
      </c>
      <c r="K19" s="43">
        <f>SUM(C19:J19)</f>
        <v>0</v>
      </c>
      <c r="L19" s="35"/>
      <c r="V19" s="41" t="s">
        <v>41</v>
      </c>
      <c r="AL19" s="41" t="s">
        <v>42</v>
      </c>
      <c r="AM19" s="41" t="s">
        <v>41</v>
      </c>
      <c r="AN19" s="37" t="s">
        <v>15</v>
      </c>
    </row>
    <row r="20" spans="1:40">
      <c r="A20" s="147">
        <v>14</v>
      </c>
      <c r="B20" s="41" t="s">
        <v>43</v>
      </c>
      <c r="C20" s="43">
        <f>C6*C45</f>
        <v>0</v>
      </c>
      <c r="D20" s="43">
        <f t="shared" ref="D20:J20" si="13">D6*D45</f>
        <v>0</v>
      </c>
      <c r="E20" s="43">
        <f t="shared" si="13"/>
        <v>0</v>
      </c>
      <c r="F20" s="43">
        <f t="shared" si="13"/>
        <v>0</v>
      </c>
      <c r="G20" s="43">
        <f t="shared" si="13"/>
        <v>0</v>
      </c>
      <c r="H20" s="43">
        <f t="shared" si="13"/>
        <v>0</v>
      </c>
      <c r="I20" s="43">
        <f t="shared" si="13"/>
        <v>0</v>
      </c>
      <c r="J20" s="43">
        <f t="shared" si="13"/>
        <v>0</v>
      </c>
      <c r="K20" s="43">
        <f>SUM(C20:J20)</f>
        <v>0</v>
      </c>
      <c r="V20" s="41" t="s">
        <v>43</v>
      </c>
      <c r="AL20" s="41" t="s">
        <v>44</v>
      </c>
      <c r="AM20" s="41" t="s">
        <v>43</v>
      </c>
    </row>
    <row r="21" spans="1:40">
      <c r="A21" s="147">
        <v>15</v>
      </c>
      <c r="B21" s="41" t="s">
        <v>45</v>
      </c>
      <c r="C21" s="48" t="e">
        <f>$K$21/$K$6*C6</f>
        <v>#DIV/0!</v>
      </c>
      <c r="D21" s="48" t="e">
        <f t="shared" ref="D21:J21" si="14">$K$21/$K$6*D6</f>
        <v>#DIV/0!</v>
      </c>
      <c r="E21" s="48" t="e">
        <f t="shared" si="14"/>
        <v>#DIV/0!</v>
      </c>
      <c r="F21" s="48" t="e">
        <f t="shared" si="14"/>
        <v>#DIV/0!</v>
      </c>
      <c r="G21" s="48" t="e">
        <f t="shared" si="14"/>
        <v>#DIV/0!</v>
      </c>
      <c r="H21" s="48" t="e">
        <f t="shared" si="14"/>
        <v>#DIV/0!</v>
      </c>
      <c r="I21" s="48" t="e">
        <f t="shared" si="14"/>
        <v>#DIV/0!</v>
      </c>
      <c r="J21" s="48" t="e">
        <f t="shared" si="14"/>
        <v>#DIV/0!</v>
      </c>
      <c r="K21" s="43">
        <f>项目投资!H27</f>
        <v>0</v>
      </c>
      <c r="V21" s="41" t="s">
        <v>45</v>
      </c>
      <c r="AL21" s="41"/>
      <c r="AM21" s="41"/>
    </row>
    <row r="22" spans="1:40">
      <c r="A22" s="147">
        <v>16</v>
      </c>
      <c r="B22" s="41" t="s">
        <v>46</v>
      </c>
      <c r="C22" s="43">
        <f>C6*C47</f>
        <v>0</v>
      </c>
      <c r="D22" s="43">
        <f t="shared" ref="D22:J22" si="15">D6*D47</f>
        <v>0</v>
      </c>
      <c r="E22" s="43">
        <f t="shared" si="15"/>
        <v>0</v>
      </c>
      <c r="F22" s="43">
        <f t="shared" si="15"/>
        <v>0</v>
      </c>
      <c r="G22" s="43">
        <f t="shared" si="15"/>
        <v>0</v>
      </c>
      <c r="H22" s="43">
        <f t="shared" si="15"/>
        <v>0</v>
      </c>
      <c r="I22" s="43">
        <f t="shared" si="15"/>
        <v>0</v>
      </c>
      <c r="J22" s="43">
        <f t="shared" si="15"/>
        <v>0</v>
      </c>
      <c r="K22" s="43">
        <f>SUM(C22:J22)</f>
        <v>0</v>
      </c>
      <c r="V22" s="41" t="s">
        <v>46</v>
      </c>
      <c r="AL22" s="41" t="s">
        <v>47</v>
      </c>
      <c r="AM22" s="41" t="s">
        <v>46</v>
      </c>
    </row>
    <row r="23" spans="1:40">
      <c r="A23" s="147">
        <v>17</v>
      </c>
      <c r="B23" s="44" t="s">
        <v>48</v>
      </c>
      <c r="C23" s="48" t="e">
        <f>+C22+C21+C20+C19+C17</f>
        <v>#DIV/0!</v>
      </c>
      <c r="D23" s="48" t="e">
        <f t="shared" ref="D23:J23" si="16">+D22+D21+D20+D19+D17</f>
        <v>#DIV/0!</v>
      </c>
      <c r="E23" s="48" t="e">
        <f t="shared" si="16"/>
        <v>#DIV/0!</v>
      </c>
      <c r="F23" s="48" t="e">
        <f t="shared" si="16"/>
        <v>#DIV/0!</v>
      </c>
      <c r="G23" s="48" t="e">
        <f t="shared" si="16"/>
        <v>#DIV/0!</v>
      </c>
      <c r="H23" s="48" t="e">
        <f t="shared" si="16"/>
        <v>#DIV/0!</v>
      </c>
      <c r="I23" s="48" t="e">
        <f t="shared" si="16"/>
        <v>#DIV/0!</v>
      </c>
      <c r="J23" s="48" t="e">
        <f t="shared" si="16"/>
        <v>#DIV/0!</v>
      </c>
      <c r="K23" s="48" t="e">
        <f t="shared" ref="K23" si="17">+K22+K21+K20+K19+K17</f>
        <v>#DIV/0!</v>
      </c>
      <c r="V23" s="44" t="s">
        <v>48</v>
      </c>
      <c r="AL23" s="41" t="s">
        <v>49</v>
      </c>
      <c r="AM23" s="44" t="s">
        <v>48</v>
      </c>
    </row>
    <row r="24" spans="1:40">
      <c r="A24" s="147">
        <v>18</v>
      </c>
      <c r="B24" s="49" t="s">
        <v>50</v>
      </c>
      <c r="C24" s="48" t="e">
        <f>+C15-C23</f>
        <v>#DIV/0!</v>
      </c>
      <c r="D24" s="48" t="e">
        <f t="shared" ref="D24:J24" si="18">+D15-D23</f>
        <v>#DIV/0!</v>
      </c>
      <c r="E24" s="48" t="e">
        <f t="shared" si="18"/>
        <v>#DIV/0!</v>
      </c>
      <c r="F24" s="48" t="e">
        <f t="shared" si="18"/>
        <v>#DIV/0!</v>
      </c>
      <c r="G24" s="48" t="e">
        <f t="shared" si="18"/>
        <v>#DIV/0!</v>
      </c>
      <c r="H24" s="48" t="e">
        <f t="shared" si="18"/>
        <v>#DIV/0!</v>
      </c>
      <c r="I24" s="48" t="e">
        <f t="shared" si="18"/>
        <v>#DIV/0!</v>
      </c>
      <c r="J24" s="48" t="e">
        <f t="shared" si="18"/>
        <v>#DIV/0!</v>
      </c>
      <c r="K24" s="48" t="e">
        <f t="shared" ref="K24" si="19">+K15-K23</f>
        <v>#DIV/0!</v>
      </c>
      <c r="M24" s="60"/>
      <c r="V24" s="41" t="s">
        <v>50</v>
      </c>
      <c r="AL24" s="41" t="s">
        <v>51</v>
      </c>
      <c r="AM24" s="41" t="s">
        <v>50</v>
      </c>
    </row>
    <row r="25" spans="1:40">
      <c r="A25" s="147">
        <v>19</v>
      </c>
      <c r="B25" s="41" t="s">
        <v>230</v>
      </c>
      <c r="C25" s="48" t="e">
        <f>IF(C24&lt;0,0,C24*0.15)</f>
        <v>#DIV/0!</v>
      </c>
      <c r="D25" s="48" t="e">
        <f t="shared" ref="D25:J25" si="20">IF(D24&lt;0,0,D24*0.15)</f>
        <v>#DIV/0!</v>
      </c>
      <c r="E25" s="48" t="e">
        <f t="shared" si="20"/>
        <v>#DIV/0!</v>
      </c>
      <c r="F25" s="48" t="e">
        <f t="shared" si="20"/>
        <v>#DIV/0!</v>
      </c>
      <c r="G25" s="48" t="e">
        <f t="shared" si="20"/>
        <v>#DIV/0!</v>
      </c>
      <c r="H25" s="48" t="e">
        <f t="shared" si="20"/>
        <v>#DIV/0!</v>
      </c>
      <c r="I25" s="48" t="e">
        <f t="shared" si="20"/>
        <v>#DIV/0!</v>
      </c>
      <c r="J25" s="48" t="e">
        <f t="shared" si="20"/>
        <v>#DIV/0!</v>
      </c>
      <c r="K25" s="48" t="e">
        <f>IF(K24&lt;0,0,K24*0.15)</f>
        <v>#DIV/0!</v>
      </c>
      <c r="L25" s="56"/>
      <c r="M25" s="56"/>
      <c r="N25" s="56"/>
      <c r="V25" s="41" t="s">
        <v>52</v>
      </c>
      <c r="AL25" s="41" t="s">
        <v>53</v>
      </c>
      <c r="AM25" s="41" t="s">
        <v>52</v>
      </c>
    </row>
    <row r="26" spans="1:40">
      <c r="A26" s="147">
        <v>20</v>
      </c>
      <c r="B26" s="41" t="s">
        <v>54</v>
      </c>
      <c r="C26" s="48" t="e">
        <f t="shared" ref="C26" si="21">C24-C25</f>
        <v>#DIV/0!</v>
      </c>
      <c r="D26" s="48" t="e">
        <f t="shared" ref="D26:J26" si="22">D24-D25</f>
        <v>#DIV/0!</v>
      </c>
      <c r="E26" s="48" t="e">
        <f t="shared" si="22"/>
        <v>#DIV/0!</v>
      </c>
      <c r="F26" s="48" t="e">
        <f t="shared" si="22"/>
        <v>#DIV/0!</v>
      </c>
      <c r="G26" s="48" t="e">
        <f t="shared" si="22"/>
        <v>#DIV/0!</v>
      </c>
      <c r="H26" s="48" t="e">
        <f t="shared" si="22"/>
        <v>#DIV/0!</v>
      </c>
      <c r="I26" s="48" t="e">
        <f t="shared" si="22"/>
        <v>#DIV/0!</v>
      </c>
      <c r="J26" s="48" t="e">
        <f t="shared" si="22"/>
        <v>#DIV/0!</v>
      </c>
      <c r="K26" s="43" t="e">
        <f>K24-K25</f>
        <v>#DIV/0!</v>
      </c>
      <c r="L26" s="165"/>
      <c r="M26" s="56"/>
      <c r="N26" s="56"/>
      <c r="V26" s="41" t="s">
        <v>54</v>
      </c>
      <c r="AL26" s="41" t="s">
        <v>55</v>
      </c>
      <c r="AM26" s="41" t="s">
        <v>54</v>
      </c>
    </row>
    <row r="27" spans="1:40">
      <c r="A27" s="147">
        <v>21</v>
      </c>
      <c r="B27" s="41" t="s">
        <v>58</v>
      </c>
      <c r="C27" s="50" t="e">
        <f t="shared" ref="C27:K27" si="23">C26/C7</f>
        <v>#DIV/0!</v>
      </c>
      <c r="D27" s="50" t="e">
        <f t="shared" ref="D27:J27" si="24">D26/D7</f>
        <v>#DIV/0!</v>
      </c>
      <c r="E27" s="50" t="e">
        <f t="shared" si="24"/>
        <v>#DIV/0!</v>
      </c>
      <c r="F27" s="50" t="e">
        <f t="shared" si="24"/>
        <v>#DIV/0!</v>
      </c>
      <c r="G27" s="50" t="e">
        <f t="shared" si="24"/>
        <v>#DIV/0!</v>
      </c>
      <c r="H27" s="50" t="e">
        <f t="shared" si="24"/>
        <v>#DIV/0!</v>
      </c>
      <c r="I27" s="50" t="e">
        <f t="shared" si="24"/>
        <v>#DIV/0!</v>
      </c>
      <c r="J27" s="50" t="e">
        <f t="shared" si="24"/>
        <v>#DIV/0!</v>
      </c>
      <c r="K27" s="50" t="e">
        <f t="shared" si="23"/>
        <v>#DIV/0!</v>
      </c>
      <c r="L27" s="163"/>
      <c r="M27" s="56"/>
      <c r="N27" s="56"/>
      <c r="V27" s="41" t="s">
        <v>58</v>
      </c>
      <c r="AL27" s="41" t="s">
        <v>57</v>
      </c>
      <c r="AM27" s="41" t="s">
        <v>58</v>
      </c>
    </row>
    <row r="28" spans="1:40">
      <c r="L28" s="56"/>
      <c r="M28" s="56"/>
      <c r="N28" s="56"/>
      <c r="V28" s="41"/>
    </row>
    <row r="29" spans="1:40">
      <c r="A29" s="37" t="s">
        <v>59</v>
      </c>
      <c r="K29" s="38" t="s">
        <v>143</v>
      </c>
      <c r="L29" s="56"/>
      <c r="M29" s="56"/>
      <c r="N29" s="56"/>
      <c r="V29" s="41"/>
      <c r="AL29" s="37" t="s">
        <v>59</v>
      </c>
    </row>
    <row r="30" spans="1:40">
      <c r="A30" s="41" t="s">
        <v>60</v>
      </c>
      <c r="B30" s="44" t="s">
        <v>61</v>
      </c>
      <c r="C30" s="48"/>
      <c r="D30" s="48"/>
      <c r="E30" s="48"/>
      <c r="F30" s="48"/>
      <c r="G30" s="48"/>
      <c r="H30" s="48"/>
      <c r="I30" s="48"/>
      <c r="J30" s="48"/>
      <c r="K30" s="48"/>
      <c r="L30" s="56"/>
      <c r="M30" s="56"/>
      <c r="N30" s="56"/>
      <c r="P30" s="56"/>
      <c r="V30" s="44" t="s">
        <v>61</v>
      </c>
      <c r="AL30" s="41" t="s">
        <v>62</v>
      </c>
      <c r="AM30" s="44" t="s">
        <v>61</v>
      </c>
    </row>
    <row r="31" spans="1:40">
      <c r="A31" s="147">
        <v>1</v>
      </c>
      <c r="B31" s="46" t="s">
        <v>63</v>
      </c>
      <c r="C31" s="52">
        <f>'2023年'!C31</f>
        <v>350.03</v>
      </c>
      <c r="D31" s="52">
        <f>'2023年'!D31</f>
        <v>526.08000000000004</v>
      </c>
      <c r="E31" s="52">
        <f>'2023年'!E31</f>
        <v>0</v>
      </c>
      <c r="F31" s="52">
        <f>'2023年'!F31</f>
        <v>0</v>
      </c>
      <c r="G31" s="52">
        <f>'2023年'!G31</f>
        <v>0</v>
      </c>
      <c r="H31" s="52">
        <f>'2023年'!H31</f>
        <v>0</v>
      </c>
      <c r="I31" s="52">
        <f>'2023年'!I31</f>
        <v>0</v>
      </c>
      <c r="J31" s="52">
        <f>'2023年'!J31</f>
        <v>0</v>
      </c>
      <c r="K31" s="48"/>
      <c r="L31" s="56"/>
      <c r="M31" s="56"/>
      <c r="N31" s="56"/>
      <c r="P31" s="56"/>
      <c r="V31" s="41" t="s">
        <v>63</v>
      </c>
      <c r="AL31" s="41" t="s">
        <v>17</v>
      </c>
      <c r="AM31" s="41" t="s">
        <v>63</v>
      </c>
    </row>
    <row r="32" spans="1:40">
      <c r="A32" s="147">
        <v>2</v>
      </c>
      <c r="B32" s="41" t="s">
        <v>144</v>
      </c>
      <c r="C32" s="43" t="e">
        <f>C9/C6</f>
        <v>#DIV/0!</v>
      </c>
      <c r="D32" s="43" t="e">
        <f t="shared" ref="D32:J32" si="25">D9/D6</f>
        <v>#DIV/0!</v>
      </c>
      <c r="E32" s="43" t="e">
        <f t="shared" si="25"/>
        <v>#DIV/0!</v>
      </c>
      <c r="F32" s="43" t="e">
        <f t="shared" si="25"/>
        <v>#DIV/0!</v>
      </c>
      <c r="G32" s="43" t="e">
        <f t="shared" si="25"/>
        <v>#DIV/0!</v>
      </c>
      <c r="H32" s="43" t="e">
        <f t="shared" si="25"/>
        <v>#DIV/0!</v>
      </c>
      <c r="I32" s="43" t="e">
        <f t="shared" si="25"/>
        <v>#DIV/0!</v>
      </c>
      <c r="J32" s="43" t="e">
        <f t="shared" si="25"/>
        <v>#DIV/0!</v>
      </c>
      <c r="K32" s="48"/>
      <c r="L32" s="56"/>
      <c r="M32" s="56"/>
      <c r="N32" s="56"/>
      <c r="O32" s="56"/>
      <c r="P32" s="56"/>
      <c r="Q32" s="56"/>
      <c r="R32" s="56"/>
      <c r="AL32" s="41"/>
      <c r="AM32" s="41"/>
    </row>
    <row r="33" spans="1:39">
      <c r="A33" s="147">
        <v>3</v>
      </c>
      <c r="B33" s="46" t="s">
        <v>64</v>
      </c>
      <c r="C33" s="43">
        <f>'2026年'!C33*(1-0.01)</f>
        <v>0</v>
      </c>
      <c r="D33" s="43">
        <f>'2026年'!D33*(1-0.01)</f>
        <v>349.10940791429999</v>
      </c>
      <c r="E33" s="43">
        <f>'2026年'!E33*(1-0.01)</f>
        <v>0</v>
      </c>
      <c r="F33" s="43">
        <f>'2026年'!F33*(1-0.01)</f>
        <v>0</v>
      </c>
      <c r="G33" s="43">
        <f>'2026年'!G33*(1-0.01)</f>
        <v>0</v>
      </c>
      <c r="H33" s="43">
        <f>'2026年'!H33*(1-0.01)</f>
        <v>0</v>
      </c>
      <c r="I33" s="43">
        <f>'2026年'!I33*(1-0.01)</f>
        <v>0</v>
      </c>
      <c r="J33" s="43">
        <f>'2026年'!J33*(1-0.01)</f>
        <v>0</v>
      </c>
      <c r="K33" s="48"/>
      <c r="M33" s="56"/>
      <c r="N33" s="56"/>
      <c r="O33" s="56"/>
      <c r="P33" s="56"/>
      <c r="Q33" s="56"/>
      <c r="R33" s="56"/>
      <c r="V33" s="41" t="s">
        <v>64</v>
      </c>
      <c r="AL33" s="41" t="s">
        <v>19</v>
      </c>
      <c r="AM33" s="41" t="s">
        <v>64</v>
      </c>
    </row>
    <row r="34" spans="1:39" ht="17.25" customHeight="1">
      <c r="A34" s="147">
        <v>4</v>
      </c>
      <c r="B34" s="41" t="s">
        <v>66</v>
      </c>
      <c r="C34" s="53" t="e">
        <f>C32-C33</f>
        <v>#DIV/0!</v>
      </c>
      <c r="D34" s="53" t="e">
        <f t="shared" ref="D34:J34" si="26">D32-D33</f>
        <v>#DIV/0!</v>
      </c>
      <c r="E34" s="53" t="e">
        <f t="shared" si="26"/>
        <v>#DIV/0!</v>
      </c>
      <c r="F34" s="53" t="e">
        <f t="shared" si="26"/>
        <v>#DIV/0!</v>
      </c>
      <c r="G34" s="53" t="e">
        <f t="shared" si="26"/>
        <v>#DIV/0!</v>
      </c>
      <c r="H34" s="53" t="e">
        <f t="shared" si="26"/>
        <v>#DIV/0!</v>
      </c>
      <c r="I34" s="53" t="e">
        <f t="shared" si="26"/>
        <v>#DIV/0!</v>
      </c>
      <c r="J34" s="53" t="e">
        <f t="shared" si="26"/>
        <v>#DIV/0!</v>
      </c>
      <c r="K34" s="48"/>
      <c r="M34" s="56"/>
      <c r="N34" s="56"/>
      <c r="O34" s="56"/>
      <c r="P34" s="56"/>
      <c r="Q34" s="56"/>
      <c r="R34" s="56"/>
      <c r="V34" s="41" t="s">
        <v>66</v>
      </c>
      <c r="AL34" s="41" t="s">
        <v>65</v>
      </c>
      <c r="AM34" s="41" t="s">
        <v>66</v>
      </c>
    </row>
    <row r="35" spans="1:39">
      <c r="A35" s="41" t="s">
        <v>62</v>
      </c>
      <c r="B35" s="44" t="s">
        <v>8</v>
      </c>
      <c r="C35" s="48"/>
      <c r="D35" s="48"/>
      <c r="E35" s="48"/>
      <c r="F35" s="48"/>
      <c r="G35" s="48"/>
      <c r="H35" s="48"/>
      <c r="I35" s="48"/>
      <c r="J35" s="48"/>
      <c r="K35" s="48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44" t="s">
        <v>8</v>
      </c>
      <c r="AL35" s="41" t="s">
        <v>68</v>
      </c>
      <c r="AM35" s="44" t="s">
        <v>8</v>
      </c>
    </row>
    <row r="36" spans="1:39">
      <c r="A36" s="147">
        <v>1</v>
      </c>
      <c r="B36" s="41" t="s">
        <v>69</v>
      </c>
      <c r="C36" s="47">
        <f>'2023年'!C36</f>
        <v>20.350954262285875</v>
      </c>
      <c r="D36" s="47">
        <f>'2023年'!D36</f>
        <v>30.586606914559766</v>
      </c>
      <c r="E36" s="47">
        <f>'2023年'!E36</f>
        <v>0</v>
      </c>
      <c r="F36" s="47">
        <f>'2023年'!F36</f>
        <v>0</v>
      </c>
      <c r="G36" s="47">
        <f>'2023年'!G36</f>
        <v>0</v>
      </c>
      <c r="H36" s="47">
        <f>'2023年'!H36</f>
        <v>0</v>
      </c>
      <c r="I36" s="47">
        <f>'2023年'!I36</f>
        <v>0</v>
      </c>
      <c r="J36" s="47">
        <f>'2023年'!J36</f>
        <v>0</v>
      </c>
      <c r="K36" s="52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41" t="s">
        <v>69</v>
      </c>
      <c r="AL36" s="41" t="s">
        <v>65</v>
      </c>
      <c r="AM36" s="41" t="s">
        <v>69</v>
      </c>
    </row>
    <row r="37" spans="1:39">
      <c r="A37" s="147">
        <v>2</v>
      </c>
      <c r="B37" s="41" t="s">
        <v>70</v>
      </c>
      <c r="C37" s="47">
        <f>'2023年'!C37</f>
        <v>6.3244669626278549</v>
      </c>
      <c r="D37" s="47">
        <f>'2023年'!D37</f>
        <v>9.5054011933241789</v>
      </c>
      <c r="E37" s="47">
        <f>'2023年'!E37</f>
        <v>0</v>
      </c>
      <c r="F37" s="47">
        <f>'2023年'!F37</f>
        <v>0</v>
      </c>
      <c r="G37" s="47">
        <f>'2023年'!G37</f>
        <v>0</v>
      </c>
      <c r="H37" s="47">
        <f>'2023年'!H37</f>
        <v>0</v>
      </c>
      <c r="I37" s="47">
        <f>'2023年'!I37</f>
        <v>0</v>
      </c>
      <c r="J37" s="47">
        <f>'2023年'!J37</f>
        <v>0</v>
      </c>
      <c r="K37" s="52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41" t="s">
        <v>70</v>
      </c>
      <c r="AL37" s="41" t="s">
        <v>22</v>
      </c>
      <c r="AM37" s="41" t="s">
        <v>70</v>
      </c>
    </row>
    <row r="38" spans="1:39">
      <c r="A38" s="147">
        <v>3</v>
      </c>
      <c r="B38" s="41" t="s">
        <v>71</v>
      </c>
      <c r="C38" s="47">
        <f>'2023年'!C38</f>
        <v>34.082000000000001</v>
      </c>
      <c r="D38" s="47">
        <f>'2023年'!D38</f>
        <v>34.082000000000001</v>
      </c>
      <c r="E38" s="47">
        <f>'2023年'!E38</f>
        <v>0</v>
      </c>
      <c r="F38" s="47">
        <f>'2023年'!F38</f>
        <v>0</v>
      </c>
      <c r="G38" s="47">
        <f>'2023年'!G38</f>
        <v>0</v>
      </c>
      <c r="H38" s="47">
        <f>'2023年'!H38</f>
        <v>0</v>
      </c>
      <c r="I38" s="47">
        <f>'2023年'!I38</f>
        <v>0</v>
      </c>
      <c r="J38" s="47">
        <f>'2023年'!J38</f>
        <v>0</v>
      </c>
      <c r="K38" s="52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41" t="s">
        <v>71</v>
      </c>
      <c r="AL38" s="41" t="s">
        <v>28</v>
      </c>
      <c r="AM38" s="41" t="s">
        <v>71</v>
      </c>
    </row>
    <row r="39" spans="1:39">
      <c r="A39" s="41" t="s">
        <v>68</v>
      </c>
      <c r="B39" s="44" t="s">
        <v>73</v>
      </c>
      <c r="C39" s="48"/>
      <c r="D39" s="48"/>
      <c r="E39" s="48"/>
      <c r="F39" s="48"/>
      <c r="G39" s="48"/>
      <c r="H39" s="48"/>
      <c r="I39" s="48"/>
      <c r="J39" s="48"/>
      <c r="K39" s="48"/>
      <c r="V39" s="44" t="s">
        <v>73</v>
      </c>
      <c r="AL39" s="41" t="s">
        <v>72</v>
      </c>
      <c r="AM39" s="44" t="s">
        <v>73</v>
      </c>
    </row>
    <row r="40" spans="1:39">
      <c r="A40" s="147">
        <v>1</v>
      </c>
      <c r="B40" s="41" t="s">
        <v>75</v>
      </c>
      <c r="C40" s="48" t="e">
        <f>C34-C36-C37-C38</f>
        <v>#DIV/0!</v>
      </c>
      <c r="D40" s="48" t="e">
        <f t="shared" ref="D40:J40" si="27">D34-D36-D37-D38</f>
        <v>#DIV/0!</v>
      </c>
      <c r="E40" s="48" t="e">
        <f t="shared" si="27"/>
        <v>#DIV/0!</v>
      </c>
      <c r="F40" s="48" t="e">
        <f t="shared" si="27"/>
        <v>#DIV/0!</v>
      </c>
      <c r="G40" s="48" t="e">
        <f t="shared" si="27"/>
        <v>#DIV/0!</v>
      </c>
      <c r="H40" s="48" t="e">
        <f t="shared" si="27"/>
        <v>#DIV/0!</v>
      </c>
      <c r="I40" s="48" t="e">
        <f t="shared" si="27"/>
        <v>#DIV/0!</v>
      </c>
      <c r="J40" s="48" t="e">
        <f t="shared" si="27"/>
        <v>#DIV/0!</v>
      </c>
      <c r="K40" s="48"/>
      <c r="V40" s="41" t="s">
        <v>75</v>
      </c>
      <c r="AL40" s="41" t="s">
        <v>17</v>
      </c>
      <c r="AM40" s="41" t="s">
        <v>75</v>
      </c>
    </row>
    <row r="41" spans="1:39">
      <c r="A41" s="147">
        <v>2</v>
      </c>
      <c r="B41" s="41" t="s">
        <v>76</v>
      </c>
      <c r="C41" s="48"/>
      <c r="D41" s="48"/>
      <c r="E41" s="48"/>
      <c r="F41" s="48"/>
      <c r="G41" s="48"/>
      <c r="H41" s="48"/>
      <c r="I41" s="48"/>
      <c r="J41" s="48"/>
      <c r="K41" s="48"/>
      <c r="V41" s="41" t="s">
        <v>76</v>
      </c>
      <c r="AL41" s="41" t="s">
        <v>19</v>
      </c>
      <c r="AM41" s="41" t="s">
        <v>76</v>
      </c>
    </row>
    <row r="42" spans="1:39">
      <c r="A42" s="41" t="s">
        <v>72</v>
      </c>
      <c r="B42" s="44" t="s">
        <v>78</v>
      </c>
      <c r="C42" s="48"/>
      <c r="D42" s="48"/>
      <c r="E42" s="48"/>
      <c r="F42" s="48"/>
      <c r="G42" s="48"/>
      <c r="H42" s="48"/>
      <c r="I42" s="48"/>
      <c r="J42" s="48"/>
      <c r="K42" s="48"/>
      <c r="V42" s="44" t="s">
        <v>78</v>
      </c>
      <c r="AL42" s="41" t="s">
        <v>77</v>
      </c>
      <c r="AM42" s="44" t="s">
        <v>78</v>
      </c>
    </row>
    <row r="43" spans="1:39">
      <c r="A43" s="147">
        <v>1</v>
      </c>
      <c r="B43" s="49" t="s">
        <v>79</v>
      </c>
      <c r="C43" s="47">
        <f>'2023年'!C43</f>
        <v>15.751349999999999</v>
      </c>
      <c r="D43" s="47">
        <f>'2023年'!D43</f>
        <v>23.6736</v>
      </c>
      <c r="E43" s="47">
        <f>'2023年'!E43</f>
        <v>0</v>
      </c>
      <c r="F43" s="47">
        <f>'2023年'!F43</f>
        <v>0</v>
      </c>
      <c r="G43" s="47">
        <f>'2023年'!G43</f>
        <v>0</v>
      </c>
      <c r="H43" s="47">
        <f>'2023年'!H43</f>
        <v>0</v>
      </c>
      <c r="I43" s="47">
        <f>'2023年'!I43</f>
        <v>0</v>
      </c>
      <c r="J43" s="47">
        <f>'2023年'!J43</f>
        <v>0</v>
      </c>
      <c r="K43" s="48"/>
      <c r="V43" s="41" t="s">
        <v>79</v>
      </c>
      <c r="AL43" s="41" t="s">
        <v>17</v>
      </c>
      <c r="AM43" s="41" t="s">
        <v>79</v>
      </c>
    </row>
    <row r="44" spans="1:39">
      <c r="A44" s="147">
        <v>2</v>
      </c>
      <c r="B44" s="49" t="s">
        <v>80</v>
      </c>
      <c r="C44" s="47">
        <f>'2023年'!C44</f>
        <v>2.7652369999999999</v>
      </c>
      <c r="D44" s="47">
        <f>'2023年'!D44</f>
        <v>4.1560320000000006</v>
      </c>
      <c r="E44" s="47">
        <f>'2023年'!E44</f>
        <v>0</v>
      </c>
      <c r="F44" s="47">
        <f>'2023年'!F44</f>
        <v>0</v>
      </c>
      <c r="G44" s="47">
        <f>'2023年'!G44</f>
        <v>0</v>
      </c>
      <c r="H44" s="47">
        <f>'2023年'!H44</f>
        <v>0</v>
      </c>
      <c r="I44" s="47">
        <f>'2023年'!I44</f>
        <v>0</v>
      </c>
      <c r="J44" s="47">
        <f>'2023年'!J44</f>
        <v>0</v>
      </c>
      <c r="K44" s="48"/>
      <c r="V44" s="41" t="s">
        <v>80</v>
      </c>
      <c r="AL44" s="41" t="s">
        <v>19</v>
      </c>
      <c r="AM44" s="41" t="s">
        <v>80</v>
      </c>
    </row>
    <row r="45" spans="1:39">
      <c r="A45" s="147">
        <v>3</v>
      </c>
      <c r="B45" s="49" t="s">
        <v>81</v>
      </c>
      <c r="C45" s="47">
        <f>'2023年'!C45</f>
        <v>14.198375151261661</v>
      </c>
      <c r="D45" s="47">
        <f>'2023年'!D45</f>
        <v>21.339545752009073</v>
      </c>
      <c r="E45" s="47">
        <f>'2023年'!E45</f>
        <v>0</v>
      </c>
      <c r="F45" s="47">
        <f>'2023年'!F45</f>
        <v>0</v>
      </c>
      <c r="G45" s="47">
        <f>'2023年'!G45</f>
        <v>0</v>
      </c>
      <c r="H45" s="47">
        <f>'2023年'!H45</f>
        <v>0</v>
      </c>
      <c r="I45" s="47">
        <f>'2023年'!I45</f>
        <v>0</v>
      </c>
      <c r="J45" s="47">
        <f>'2023年'!J45</f>
        <v>0</v>
      </c>
      <c r="K45" s="48"/>
      <c r="V45" s="41" t="s">
        <v>81</v>
      </c>
      <c r="AL45" s="41" t="s">
        <v>65</v>
      </c>
      <c r="AM45" s="41" t="s">
        <v>81</v>
      </c>
    </row>
    <row r="46" spans="1:39" s="36" customFormat="1">
      <c r="A46" s="147">
        <v>4</v>
      </c>
      <c r="B46" s="49" t="s">
        <v>82</v>
      </c>
      <c r="C46" s="54" t="e">
        <f>C21/C6</f>
        <v>#DIV/0!</v>
      </c>
      <c r="D46" s="54" t="e">
        <f t="shared" ref="D46:J46" si="28">D21/D6</f>
        <v>#DIV/0!</v>
      </c>
      <c r="E46" s="54" t="e">
        <f t="shared" si="28"/>
        <v>#DIV/0!</v>
      </c>
      <c r="F46" s="54" t="e">
        <f t="shared" si="28"/>
        <v>#DIV/0!</v>
      </c>
      <c r="G46" s="54" t="e">
        <f t="shared" si="28"/>
        <v>#DIV/0!</v>
      </c>
      <c r="H46" s="54" t="e">
        <f t="shared" si="28"/>
        <v>#DIV/0!</v>
      </c>
      <c r="I46" s="54" t="e">
        <f t="shared" si="28"/>
        <v>#DIV/0!</v>
      </c>
      <c r="J46" s="54" t="e">
        <f t="shared" si="28"/>
        <v>#DIV/0!</v>
      </c>
      <c r="K46" s="54"/>
      <c r="V46" s="49" t="s">
        <v>84</v>
      </c>
      <c r="AL46" s="49" t="s">
        <v>25</v>
      </c>
      <c r="AM46" s="49" t="s">
        <v>84</v>
      </c>
    </row>
    <row r="47" spans="1:39" s="36" customFormat="1">
      <c r="A47" s="147">
        <v>5</v>
      </c>
      <c r="B47" s="49" t="s">
        <v>84</v>
      </c>
      <c r="C47" s="54">
        <f>'2023年'!C47</f>
        <v>7.4556389999999997</v>
      </c>
      <c r="D47" s="54">
        <f>'2023年'!D47</f>
        <v>11.205504000000001</v>
      </c>
      <c r="E47" s="54">
        <f>'2023年'!E47</f>
        <v>0</v>
      </c>
      <c r="F47" s="54">
        <f>'2023年'!F47</f>
        <v>0</v>
      </c>
      <c r="G47" s="54">
        <f>'2023年'!G47</f>
        <v>0</v>
      </c>
      <c r="H47" s="54">
        <f>'2023年'!H47</f>
        <v>0</v>
      </c>
      <c r="I47" s="54">
        <f>'2023年'!I47</f>
        <v>0</v>
      </c>
      <c r="J47" s="54">
        <f>'2023年'!J47</f>
        <v>0</v>
      </c>
      <c r="K47" s="54"/>
      <c r="V47" s="49" t="s">
        <v>84</v>
      </c>
      <c r="AL47" s="49" t="s">
        <v>25</v>
      </c>
      <c r="AM47" s="49" t="s">
        <v>84</v>
      </c>
    </row>
    <row r="48" spans="1:39">
      <c r="A48" s="41" t="s">
        <v>77</v>
      </c>
      <c r="B48" s="44" t="s">
        <v>95</v>
      </c>
      <c r="C48" s="48" t="e">
        <f>C40-C43-C44-C45-C47-C46</f>
        <v>#DIV/0!</v>
      </c>
      <c r="D48" s="48" t="e">
        <f t="shared" ref="D48:J48" si="29">D40-D43-D44-D45-D47-D46</f>
        <v>#DIV/0!</v>
      </c>
      <c r="E48" s="48" t="e">
        <f t="shared" si="29"/>
        <v>#DIV/0!</v>
      </c>
      <c r="F48" s="48" t="e">
        <f t="shared" si="29"/>
        <v>#DIV/0!</v>
      </c>
      <c r="G48" s="48" t="e">
        <f t="shared" si="29"/>
        <v>#DIV/0!</v>
      </c>
      <c r="H48" s="48" t="e">
        <f t="shared" si="29"/>
        <v>#DIV/0!</v>
      </c>
      <c r="I48" s="48" t="e">
        <f t="shared" si="29"/>
        <v>#DIV/0!</v>
      </c>
      <c r="J48" s="48" t="e">
        <f t="shared" si="29"/>
        <v>#DIV/0!</v>
      </c>
      <c r="K48" s="48"/>
      <c r="V48" s="44" t="s">
        <v>95</v>
      </c>
      <c r="AL48" s="41" t="s">
        <v>94</v>
      </c>
      <c r="AM48" s="44" t="s">
        <v>95</v>
      </c>
    </row>
    <row r="51" spans="2:16">
      <c r="C51" s="55"/>
      <c r="D51" s="55"/>
      <c r="E51" s="55"/>
      <c r="F51" s="55"/>
      <c r="G51" s="55"/>
      <c r="H51" s="55"/>
      <c r="I51" s="55"/>
      <c r="J51" s="55"/>
    </row>
    <row r="54" spans="2:16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  <c r="O54" s="56"/>
      <c r="P54" s="56"/>
    </row>
    <row r="55" spans="2:16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  <c r="O55" s="56"/>
      <c r="P55" s="56"/>
    </row>
    <row r="56" spans="2:16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  <c r="O56" s="56"/>
      <c r="P56" s="56"/>
    </row>
    <row r="57" spans="2:16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  <c r="O57" s="56"/>
      <c r="P57" s="56"/>
    </row>
    <row r="58" spans="2:16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  <c r="O58" s="56"/>
      <c r="P58" s="56"/>
    </row>
    <row r="59" spans="2:16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  <c r="O59" s="56"/>
      <c r="P59" s="56"/>
    </row>
    <row r="60" spans="2:16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  <c r="O60" s="56"/>
      <c r="P60" s="56"/>
    </row>
    <row r="61" spans="2:16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  <c r="O61" s="56"/>
      <c r="P61" s="56"/>
    </row>
    <row r="62" spans="2:16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  <c r="O62" s="56"/>
      <c r="P62" s="56"/>
    </row>
    <row r="63" spans="2:16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  <c r="O63" s="56"/>
      <c r="P63" s="56"/>
    </row>
    <row r="64" spans="2:16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  <c r="O64" s="56"/>
      <c r="P64" s="56"/>
    </row>
    <row r="65" spans="2:16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  <c r="O65" s="56"/>
      <c r="P65" s="56"/>
    </row>
    <row r="66" spans="2:16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  <c r="O66" s="56"/>
      <c r="P66" s="56"/>
    </row>
    <row r="67" spans="2:16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6"/>
    </row>
    <row r="68" spans="2:16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6"/>
    </row>
    <row r="69" spans="2:16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6"/>
    </row>
    <row r="70" spans="2:16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6"/>
    </row>
    <row r="71" spans="2:16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6"/>
    </row>
    <row r="72" spans="2:16"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6"/>
    </row>
    <row r="73" spans="2:16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6"/>
    </row>
    <row r="74" spans="2:16"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6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3" activePane="bottomRight" state="frozen"/>
      <selection pane="topRight"/>
      <selection pane="bottomLeft"/>
      <selection pane="bottomRight" activeCell="B17" sqref="B17"/>
    </sheetView>
  </sheetViews>
  <sheetFormatPr defaultColWidth="9" defaultRowHeight="13.5"/>
  <cols>
    <col min="1" max="1" width="20.625" customWidth="1"/>
    <col min="2" max="2" width="14.25" style="15" customWidth="1"/>
    <col min="3" max="3" width="13.125" customWidth="1"/>
    <col min="4" max="6" width="14.5" customWidth="1"/>
    <col min="7" max="7" width="19.375" bestFit="1" customWidth="1"/>
    <col min="8" max="8" width="14.875" customWidth="1"/>
    <col min="9" max="9" width="24.75" customWidth="1"/>
    <col min="10" max="10" width="14.125" customWidth="1"/>
  </cols>
  <sheetData>
    <row r="1" spans="1:10" ht="20.25">
      <c r="A1" s="260" t="s">
        <v>145</v>
      </c>
      <c r="B1" s="260"/>
      <c r="C1" s="260"/>
      <c r="E1" s="261" t="s">
        <v>278</v>
      </c>
      <c r="F1" s="262"/>
      <c r="G1" s="262"/>
      <c r="H1" s="263"/>
      <c r="J1" s="174"/>
    </row>
    <row r="2" spans="1:10" ht="23.45" customHeight="1">
      <c r="A2" s="16" t="s">
        <v>1</v>
      </c>
      <c r="B2" s="17" t="s">
        <v>146</v>
      </c>
      <c r="C2" s="18" t="s">
        <v>147</v>
      </c>
      <c r="E2" s="1" t="s">
        <v>148</v>
      </c>
      <c r="F2" s="1" t="s">
        <v>1</v>
      </c>
      <c r="G2" s="19" t="s">
        <v>149</v>
      </c>
      <c r="H2" s="1" t="s">
        <v>147</v>
      </c>
      <c r="J2" s="171"/>
    </row>
    <row r="3" spans="1:10" ht="15.75" customHeight="1">
      <c r="A3" s="20" t="s">
        <v>150</v>
      </c>
      <c r="B3" s="21"/>
      <c r="C3" s="22"/>
      <c r="E3" s="253" t="s">
        <v>151</v>
      </c>
      <c r="F3" s="2" t="s">
        <v>152</v>
      </c>
      <c r="G3" s="23"/>
      <c r="H3" s="2"/>
      <c r="J3" s="259"/>
    </row>
    <row r="4" spans="1:10" ht="15.75" customHeight="1">
      <c r="A4" s="20" t="s">
        <v>153</v>
      </c>
      <c r="B4" s="21"/>
      <c r="C4" s="24"/>
      <c r="E4" s="254"/>
      <c r="F4" s="2" t="s">
        <v>154</v>
      </c>
      <c r="G4" s="23"/>
      <c r="H4" s="2"/>
      <c r="J4" s="259"/>
    </row>
    <row r="5" spans="1:10" ht="15.75" customHeight="1">
      <c r="A5" s="20" t="s">
        <v>155</v>
      </c>
      <c r="B5" s="25">
        <f>SUM(G3:G4)</f>
        <v>0</v>
      </c>
      <c r="C5" s="22"/>
      <c r="E5" s="255" t="s">
        <v>156</v>
      </c>
      <c r="F5" s="26" t="s">
        <v>157</v>
      </c>
      <c r="G5" s="158"/>
      <c r="H5" s="168"/>
      <c r="I5" s="173"/>
      <c r="J5" s="172"/>
    </row>
    <row r="6" spans="1:10" ht="15.75" customHeight="1">
      <c r="A6" s="20" t="s">
        <v>158</v>
      </c>
      <c r="B6" s="21"/>
      <c r="C6" s="22"/>
      <c r="E6" s="256"/>
      <c r="F6" s="26" t="s">
        <v>159</v>
      </c>
      <c r="G6" s="158"/>
      <c r="H6" s="169"/>
      <c r="I6" s="176"/>
      <c r="J6" s="172"/>
    </row>
    <row r="7" spans="1:10" ht="15.75" customHeight="1">
      <c r="A7" s="27" t="s">
        <v>160</v>
      </c>
      <c r="B7" s="25">
        <f>SUM(B3:B6)</f>
        <v>0</v>
      </c>
      <c r="C7" s="22"/>
      <c r="E7" s="256"/>
      <c r="F7" s="26" t="s">
        <v>161</v>
      </c>
      <c r="G7" s="158"/>
      <c r="H7" s="169"/>
      <c r="J7" s="172"/>
    </row>
    <row r="8" spans="1:10" ht="15.75" customHeight="1">
      <c r="A8" s="28" t="s">
        <v>162</v>
      </c>
      <c r="B8" s="25">
        <f>SUM(G5:G12)</f>
        <v>0</v>
      </c>
      <c r="C8" s="29"/>
      <c r="E8" s="256"/>
      <c r="F8" s="26" t="s">
        <v>163</v>
      </c>
      <c r="G8" s="158"/>
      <c r="H8" s="169"/>
      <c r="J8" s="172"/>
    </row>
    <row r="9" spans="1:10" ht="15.75" customHeight="1">
      <c r="A9" s="20" t="s">
        <v>164</v>
      </c>
      <c r="B9" s="25">
        <f>SUM(G13:G21)</f>
        <v>0</v>
      </c>
      <c r="C9" s="22"/>
      <c r="E9" s="256"/>
      <c r="F9" s="2" t="s">
        <v>165</v>
      </c>
      <c r="G9" s="158"/>
      <c r="H9" s="170"/>
      <c r="J9" s="172"/>
    </row>
    <row r="10" spans="1:10" ht="15.75" customHeight="1">
      <c r="A10" s="24" t="s">
        <v>13</v>
      </c>
      <c r="B10" s="25">
        <f>B7+B8+B9</f>
        <v>0</v>
      </c>
      <c r="C10" s="22"/>
      <c r="E10" s="256"/>
      <c r="F10" s="2" t="s">
        <v>166</v>
      </c>
      <c r="G10" s="158"/>
      <c r="H10" s="169"/>
      <c r="J10" s="172"/>
    </row>
    <row r="11" spans="1:10" ht="15.75" customHeight="1">
      <c r="E11" s="256"/>
      <c r="F11" s="2" t="s">
        <v>167</v>
      </c>
      <c r="G11" s="158"/>
      <c r="H11" s="169"/>
      <c r="J11" s="172"/>
    </row>
    <row r="12" spans="1:10" ht="15.75" customHeight="1">
      <c r="E12" s="257"/>
      <c r="F12" s="2" t="s">
        <v>168</v>
      </c>
      <c r="G12" s="158"/>
      <c r="H12" s="169"/>
      <c r="J12" s="172"/>
    </row>
    <row r="13" spans="1:10" ht="15.75" customHeight="1">
      <c r="E13" s="253" t="s">
        <v>45</v>
      </c>
      <c r="F13" s="2" t="s">
        <v>169</v>
      </c>
      <c r="G13" s="158"/>
      <c r="H13" s="170"/>
      <c r="J13" s="259"/>
    </row>
    <row r="14" spans="1:10" ht="15.75" customHeight="1">
      <c r="E14" s="254"/>
      <c r="F14" s="2" t="s">
        <v>170</v>
      </c>
      <c r="G14" s="158"/>
      <c r="H14" s="169" t="s">
        <v>259</v>
      </c>
      <c r="J14" s="259"/>
    </row>
    <row r="15" spans="1:10" ht="15.75" customHeight="1">
      <c r="E15" s="254"/>
      <c r="F15" s="2" t="s">
        <v>171</v>
      </c>
      <c r="G15" s="158"/>
      <c r="H15" s="169"/>
      <c r="J15" s="259"/>
    </row>
    <row r="16" spans="1:10" ht="15.75" customHeight="1">
      <c r="E16" s="254"/>
      <c r="F16" s="2" t="s">
        <v>172</v>
      </c>
      <c r="G16" s="158"/>
      <c r="H16" s="169"/>
      <c r="J16" s="259"/>
    </row>
    <row r="17" spans="1:10" ht="15.75" customHeight="1">
      <c r="E17" s="254"/>
      <c r="F17" s="2" t="s">
        <v>173</v>
      </c>
      <c r="G17" s="158"/>
      <c r="H17" s="169"/>
      <c r="J17" s="259"/>
    </row>
    <row r="18" spans="1:10" ht="15.75" customHeight="1">
      <c r="E18" s="254"/>
      <c r="F18" s="2" t="s">
        <v>174</v>
      </c>
      <c r="G18" s="158"/>
      <c r="H18" s="169"/>
      <c r="J18" s="259"/>
    </row>
    <row r="19" spans="1:10" ht="15.75" customHeight="1">
      <c r="A19" s="300" t="s">
        <v>276</v>
      </c>
      <c r="B19" s="300"/>
      <c r="E19" s="254"/>
      <c r="F19" s="2" t="s">
        <v>175</v>
      </c>
      <c r="G19" s="158"/>
      <c r="H19" s="169"/>
      <c r="J19" s="259"/>
    </row>
    <row r="20" spans="1:10" ht="15.75" customHeight="1">
      <c r="A20" s="300"/>
      <c r="B20" s="300"/>
      <c r="E20" s="254"/>
      <c r="F20" s="2" t="s">
        <v>176</v>
      </c>
      <c r="G20" s="158"/>
      <c r="H20" s="169"/>
      <c r="J20" s="259"/>
    </row>
    <row r="21" spans="1:10" ht="15.75" customHeight="1">
      <c r="A21" s="300"/>
      <c r="B21" s="300"/>
      <c r="E21" s="258"/>
      <c r="F21" s="2" t="s">
        <v>123</v>
      </c>
      <c r="G21" s="158"/>
      <c r="H21" s="169"/>
      <c r="J21" s="259"/>
    </row>
    <row r="22" spans="1:10" ht="15.75" customHeight="1">
      <c r="E22" s="1" t="s">
        <v>13</v>
      </c>
      <c r="F22" s="2"/>
      <c r="G22" s="19">
        <f>SUM(G3:G21)</f>
        <v>0</v>
      </c>
      <c r="H22" s="2"/>
      <c r="J22" s="259"/>
    </row>
    <row r="23" spans="1:10" ht="30.75" customHeight="1">
      <c r="E23" s="264" t="s">
        <v>177</v>
      </c>
      <c r="F23" s="264"/>
      <c r="G23" s="264"/>
      <c r="H23" s="264"/>
    </row>
    <row r="24" spans="1:10">
      <c r="E24" s="227" t="s">
        <v>260</v>
      </c>
    </row>
    <row r="25" spans="1:10" ht="17.25">
      <c r="A25" s="11" t="s">
        <v>1</v>
      </c>
      <c r="B25" s="11" t="s">
        <v>146</v>
      </c>
      <c r="C25" s="11" t="s">
        <v>178</v>
      </c>
      <c r="D25" s="159" t="s">
        <v>235</v>
      </c>
      <c r="E25" s="184" t="s">
        <v>180</v>
      </c>
      <c r="F25" s="184" t="s">
        <v>181</v>
      </c>
      <c r="G25" s="184" t="s">
        <v>225</v>
      </c>
      <c r="H25" s="184" t="s">
        <v>236</v>
      </c>
      <c r="I25" s="12" t="s">
        <v>13</v>
      </c>
      <c r="J25" s="33" t="s">
        <v>182</v>
      </c>
    </row>
    <row r="26" spans="1:10" ht="16.5">
      <c r="A26" s="30" t="s">
        <v>141</v>
      </c>
      <c r="B26" s="31">
        <f>(B5+B8)*10000</f>
        <v>0</v>
      </c>
      <c r="C26" s="32">
        <v>0.05</v>
      </c>
      <c r="D26" s="8">
        <f>B26*(1-C26)/5</f>
        <v>0</v>
      </c>
      <c r="E26" s="8">
        <f t="shared" ref="E26:F26" si="0">D26</f>
        <v>0</v>
      </c>
      <c r="F26" s="8">
        <f t="shared" si="0"/>
        <v>0</v>
      </c>
      <c r="G26" s="8">
        <f t="shared" ref="G26" si="1">F26</f>
        <v>0</v>
      </c>
      <c r="H26" s="8">
        <f t="shared" ref="H26" si="2">G26</f>
        <v>0</v>
      </c>
      <c r="I26" s="8">
        <f>SUM(D26:H26)</f>
        <v>0</v>
      </c>
      <c r="J26" s="8">
        <f>B26*0.05</f>
        <v>0</v>
      </c>
    </row>
    <row r="27" spans="1:10" ht="16.5">
      <c r="A27" s="30" t="s">
        <v>183</v>
      </c>
      <c r="B27" s="31">
        <f>B9*10000</f>
        <v>0</v>
      </c>
      <c r="C27" s="8"/>
      <c r="D27" s="8"/>
      <c r="E27" s="8">
        <f>B27</f>
        <v>0</v>
      </c>
      <c r="F27" s="8"/>
      <c r="G27" s="8"/>
      <c r="H27" s="8"/>
      <c r="I27" s="8">
        <f>SUM(D27:H27)</f>
        <v>0</v>
      </c>
      <c r="J27" s="8"/>
    </row>
    <row r="28" spans="1:10" ht="16.5">
      <c r="A28" s="250" t="s">
        <v>103</v>
      </c>
      <c r="B28" s="251"/>
      <c r="C28" s="252"/>
      <c r="D28" s="8">
        <f>SUM(D26:D27)</f>
        <v>0</v>
      </c>
      <c r="E28" s="8">
        <f t="shared" ref="E28:H28" si="3">SUM(E26:E27)</f>
        <v>0</v>
      </c>
      <c r="F28" s="8">
        <f t="shared" si="3"/>
        <v>0</v>
      </c>
      <c r="G28" s="8">
        <f t="shared" si="3"/>
        <v>0</v>
      </c>
      <c r="H28" s="8">
        <f t="shared" si="3"/>
        <v>0</v>
      </c>
      <c r="I28" s="34"/>
      <c r="J28" s="34"/>
    </row>
    <row r="40" spans="9:9">
      <c r="I40" s="175"/>
    </row>
    <row r="41" spans="9:9" ht="37.5" customHeight="1"/>
  </sheetData>
  <mergeCells count="10">
    <mergeCell ref="A1:C1"/>
    <mergeCell ref="E1:H1"/>
    <mergeCell ref="E23:H23"/>
    <mergeCell ref="A19:B21"/>
    <mergeCell ref="A28:C28"/>
    <mergeCell ref="E3:E4"/>
    <mergeCell ref="E5:E12"/>
    <mergeCell ref="E13:E21"/>
    <mergeCell ref="J3:J4"/>
    <mergeCell ref="J13:J22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2023-02-06T07:18:45Z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