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放" sheetId="3" r:id="rId1"/>
    <sheet name="KSO_Salary_Config" sheetId="4" state="veryHidden" r:id="rId2"/>
  </sheets>
  <externalReferences>
    <externalReference r:id="rId4"/>
  </externalReferences>
  <definedNames>
    <definedName name="_xlnm._FilterDatabase" localSheetId="0" hidden="1">发放!$A$1:$BB$63</definedName>
    <definedName name="_xlnm.Print_Area" localSheetId="0">发放!$A$1:$BB$54</definedName>
    <definedName name="_xlnm.Print_Titles" localSheetId="0">发放!$1:$3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</authors>
  <commentList>
    <comment ref="A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补22年1-6月</t>
        </r>
      </text>
    </comment>
    <comment ref="U2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补扣12月个税</t>
        </r>
      </text>
    </comment>
    <comment ref="U4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1天外勤餐</t>
        </r>
      </text>
    </comment>
    <comment ref="U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4天外勤餐</t>
        </r>
      </text>
    </comment>
    <comment ref="U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补发12月工龄工资</t>
        </r>
      </text>
    </comment>
    <comment ref="AI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1月医疗保险</t>
        </r>
      </text>
    </comment>
  </commentList>
</comments>
</file>

<file path=xl/sharedStrings.xml><?xml version="1.0" encoding="utf-8"?>
<sst xmlns="http://schemas.openxmlformats.org/spreadsheetml/2006/main" count="535" uniqueCount="372">
  <si>
    <t>成都光华智能汽车部件有限公司2023年1月工资明细表</t>
  </si>
  <si>
    <t>序号</t>
  </si>
  <si>
    <t>姓名</t>
  </si>
  <si>
    <t>部门</t>
  </si>
  <si>
    <t>岗位</t>
  </si>
  <si>
    <t>身份证号码</t>
  </si>
  <si>
    <t>工资卡号（中行）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</si>
  <si>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</si>
  <si>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</si>
  <si>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</si>
  <si>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</si>
  <si>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</si>
  <si>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</si>
  <si>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</si>
  <si>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</si>
  <si>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</si>
  <si>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</si>
  <si>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</si>
  <si>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</si>
  <si>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</si>
  <si>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</si>
  <si>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</si>
  <si>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</si>
  <si>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</si>
  <si>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</si>
  <si>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</si>
  <si>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</si>
  <si>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</si>
  <si>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</si>
  <si>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</si>
  <si>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</si>
  <si>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</si>
  <si>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</si>
  <si>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</si>
  <si>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</si>
  <si>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12月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</si>
  <si>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</si>
  <si>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</si>
  <si>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</si>
  <si>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</si>
  <si>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</si>
  <si>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</si>
  <si>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</si>
  <si>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</si>
  <si>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</si>
  <si>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</si>
  <si>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</si>
  <si>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1.2月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</si>
  <si>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</si>
  <si>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</si>
  <si>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</si>
  <si>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</si>
  <si>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</si>
  <si>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</si>
  <si>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周继菊</t>
  </si>
  <si>
    <t>综合</t>
  </si>
  <si>
    <t>科长</t>
  </si>
  <si>
    <t>间接</t>
  </si>
  <si>
    <t>科级</t>
  </si>
  <si>
    <t>513401198901276424</t>
  </si>
  <si>
    <t>6216693100007496686</t>
  </si>
  <si>
    <t>彭远清</t>
  </si>
  <si>
    <t>保洁（兼职）</t>
  </si>
  <si>
    <t>二线</t>
  </si>
  <si>
    <t>51011219750808072X</t>
  </si>
  <si>
    <t>6217563100017328890</t>
  </si>
  <si>
    <t>综合管理科小计</t>
  </si>
  <si>
    <t>杨辉</t>
  </si>
  <si>
    <t>财务</t>
  </si>
  <si>
    <t>511025198308102623</t>
  </si>
  <si>
    <t>6217903100032985160</t>
  </si>
  <si>
    <t>陈文君</t>
  </si>
  <si>
    <t>销售</t>
  </si>
  <si>
    <t>销售内勤</t>
  </si>
  <si>
    <t>511324199404276003</t>
  </si>
  <si>
    <t>6215683100023258072</t>
  </si>
  <si>
    <t>财务管理科小计</t>
  </si>
  <si>
    <t>付炳瑞</t>
  </si>
  <si>
    <t>销售经理</t>
  </si>
  <si>
    <t>132902197809014971</t>
  </si>
  <si>
    <t>6217991000000577630</t>
  </si>
  <si>
    <t>1月起调往成都</t>
  </si>
  <si>
    <t>销售服务科小计</t>
  </si>
  <si>
    <t>曾超</t>
  </si>
  <si>
    <t>生产运营</t>
  </si>
  <si>
    <t>511025198611141414</t>
  </si>
  <si>
    <t>6217903100009286469</t>
  </si>
  <si>
    <t>方兰</t>
  </si>
  <si>
    <t>操作工</t>
  </si>
  <si>
    <t>直接</t>
  </si>
  <si>
    <t>一线</t>
  </si>
  <si>
    <t>510112198109290361</t>
  </si>
  <si>
    <t>6216613100015122214</t>
  </si>
  <si>
    <t>肖全英</t>
  </si>
  <si>
    <t>总装班长</t>
  </si>
  <si>
    <t>511011199001072825</t>
  </si>
  <si>
    <t>6217853100025205808</t>
  </si>
  <si>
    <t>李绍碧</t>
  </si>
  <si>
    <t>512223197410152162</t>
  </si>
  <si>
    <t>6217583100007227116</t>
  </si>
  <si>
    <t>陈平丽</t>
  </si>
  <si>
    <t>终检</t>
  </si>
  <si>
    <t>510112198006092426</t>
  </si>
  <si>
    <t>6217583100027918298</t>
  </si>
  <si>
    <t>文丽</t>
  </si>
  <si>
    <t>510122198108266426</t>
  </si>
  <si>
    <t>6217583100009114882</t>
  </si>
  <si>
    <t>陈义</t>
  </si>
  <si>
    <t>工段长</t>
  </si>
  <si>
    <t>510112198007100782</t>
  </si>
  <si>
    <t>6216613100009115661</t>
  </si>
  <si>
    <t>1月起升车间主任</t>
  </si>
  <si>
    <t>刘芳</t>
  </si>
  <si>
    <t>510321198707044889</t>
  </si>
  <si>
    <t>6216603100007178390</t>
  </si>
  <si>
    <t>邓春梅</t>
  </si>
  <si>
    <t>510722198003221064</t>
  </si>
  <si>
    <t>6217853100026106187</t>
  </si>
  <si>
    <t>周春梅</t>
  </si>
  <si>
    <t>6217853100026124990</t>
  </si>
  <si>
    <t>叶美群</t>
  </si>
  <si>
    <t>6217853100026218347</t>
  </si>
  <si>
    <t>干达莉</t>
  </si>
  <si>
    <t>上料工</t>
  </si>
  <si>
    <t>511027197608020943</t>
  </si>
  <si>
    <t>6216693100007295401</t>
  </si>
  <si>
    <t>方华</t>
  </si>
  <si>
    <t>510112197903290321</t>
  </si>
  <si>
    <t>6215683100021585336</t>
  </si>
  <si>
    <t>刘光琼</t>
  </si>
  <si>
    <t>510112197703172443</t>
  </si>
  <si>
    <t>6013823100103680062</t>
  </si>
  <si>
    <t>杨晓英</t>
  </si>
  <si>
    <t>510321198111193680</t>
  </si>
  <si>
    <t>6215683100021590955</t>
  </si>
  <si>
    <t>汪德桂</t>
  </si>
  <si>
    <t>513902198602072927</t>
  </si>
  <si>
    <t>6215683100030530919</t>
  </si>
  <si>
    <t>陈辉</t>
  </si>
  <si>
    <t>维修电工</t>
  </si>
  <si>
    <t>510623197809204817</t>
  </si>
  <si>
    <t>6216693100007594191</t>
  </si>
  <si>
    <t>李飞</t>
  </si>
  <si>
    <t>副科长</t>
  </si>
  <si>
    <t>511028199004058022</t>
  </si>
  <si>
    <t>6216603100005890343</t>
  </si>
  <si>
    <t>易小利</t>
  </si>
  <si>
    <t>配料工</t>
  </si>
  <si>
    <t>522122198910025287</t>
  </si>
  <si>
    <t>6217853100017450263</t>
  </si>
  <si>
    <t>事假2天</t>
  </si>
  <si>
    <t>廖世金</t>
  </si>
  <si>
    <t>6215683100021417175</t>
  </si>
  <si>
    <t>郭林凤</t>
  </si>
  <si>
    <t>采购</t>
  </si>
  <si>
    <t>632801198810060589</t>
  </si>
  <si>
    <t>6215683100023267917</t>
  </si>
  <si>
    <t>付山春</t>
  </si>
  <si>
    <t>物料筹措</t>
  </si>
  <si>
    <t>510112198611164643</t>
  </si>
  <si>
    <t xml:space="preserve"> 6215683100030517148 </t>
  </si>
  <si>
    <t>袁美中</t>
  </si>
  <si>
    <t>排序工</t>
  </si>
  <si>
    <t>510211197311109057</t>
  </si>
  <si>
    <t>6215683100020246138</t>
  </si>
  <si>
    <t>钟红梅</t>
  </si>
  <si>
    <t>库管员</t>
  </si>
  <si>
    <t>51102719820305770X</t>
  </si>
  <si>
    <t>6217583100008042498</t>
  </si>
  <si>
    <t>付丽</t>
  </si>
  <si>
    <t>510112198810254668</t>
  </si>
  <si>
    <t>6215683100034558718</t>
  </si>
  <si>
    <t>蔡刚</t>
  </si>
  <si>
    <t>装配工</t>
  </si>
  <si>
    <t>511027197703196875</t>
  </si>
  <si>
    <t>6216603100003927535</t>
  </si>
  <si>
    <t>许传义</t>
  </si>
  <si>
    <t>372822197401086159</t>
  </si>
  <si>
    <t>6215683100034558734</t>
  </si>
  <si>
    <t>1月6日离职，出勤25.5小时</t>
  </si>
  <si>
    <t>生产运营科小计</t>
  </si>
  <si>
    <t>谭文波</t>
  </si>
  <si>
    <t>技术质量</t>
  </si>
  <si>
    <t>510622198204014517</t>
  </si>
  <si>
    <t>6216603100007119121</t>
  </si>
  <si>
    <t>张菊香</t>
  </si>
  <si>
    <t>SQE</t>
  </si>
  <si>
    <t>510921198605014024</t>
  </si>
  <si>
    <t>6217903100033605163</t>
  </si>
  <si>
    <t>车月</t>
  </si>
  <si>
    <t>质量工程师</t>
  </si>
  <si>
    <t>510183199310080032</t>
  </si>
  <si>
    <t>6217903100027512045</t>
  </si>
  <si>
    <t>陈梦菲</t>
  </si>
  <si>
    <t>现场服务（兼职）</t>
  </si>
  <si>
    <t>510112199405270722</t>
  </si>
  <si>
    <t>6217853100025378134</t>
  </si>
  <si>
    <t/>
  </si>
  <si>
    <t>任威利</t>
  </si>
  <si>
    <t>来料检</t>
  </si>
  <si>
    <t>513022198903283548</t>
  </si>
  <si>
    <t>6215683100019282433</t>
  </si>
  <si>
    <t>汪薛敏</t>
  </si>
  <si>
    <t>513902198504171745</t>
  </si>
  <si>
    <t>6216693100008670628</t>
  </si>
  <si>
    <t>孙林</t>
  </si>
  <si>
    <t>511923199801306348</t>
  </si>
  <si>
    <t>6215683100026473637</t>
  </si>
  <si>
    <t>王道慧</t>
  </si>
  <si>
    <t>返修</t>
  </si>
  <si>
    <t>510112199112013028</t>
  </si>
  <si>
    <t>6215683100017136466</t>
  </si>
  <si>
    <t>周兰</t>
  </si>
  <si>
    <t>巡检</t>
  </si>
  <si>
    <t>513029197406014945</t>
  </si>
  <si>
    <t>6216693100007542026</t>
  </si>
  <si>
    <t>1月11日离职，出勤32小时</t>
  </si>
  <si>
    <t>技术质量科小计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</si>
  <si>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</si>
  <si>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</si>
  <si>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</si>
  <si>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$A$3</t>
  </si>
  <si>
    <t>$B$3</t>
  </si>
  <si>
    <t>$C$3</t>
  </si>
  <si>
    <t>$D$3</t>
  </si>
  <si>
    <t>$E$3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</si>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</sst>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9">
    <font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0"/>
      <color rgb="FFFF0000"/>
      <name val="宋体"/>
      <charset val="134"/>
    </font>
    <font>
      <sz val="11"/>
      <name val="宋体"/>
      <charset val="134"/>
      <scheme val="minor"/>
    </font>
    <font>
      <sz val="11"/>
      <color indexed="62"/>
      <name val="宋体"/>
      <charset val="134"/>
    </font>
    <font>
      <sz val="11"/>
      <name val="宋体"/>
      <charset val="134"/>
    </font>
    <font>
      <sz val="10"/>
      <name val="楷体_GB2312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26" applyNumberFormat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9" borderId="27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Fill="0" applyAlignment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13" borderId="30" applyNumberFormat="0" applyAlignment="0" applyProtection="0">
      <alignment vertical="center"/>
    </xf>
    <xf numFmtId="0" fontId="0" fillId="0" borderId="0" applyFill="0" applyAlignment="0">
      <alignment vertical="center"/>
    </xf>
    <xf numFmtId="0" fontId="28" fillId="13" borderId="26" applyNumberFormat="0" applyAlignment="0" applyProtection="0">
      <alignment vertical="center"/>
    </xf>
    <xf numFmtId="0" fontId="29" fillId="14" borderId="31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31" fillId="0" borderId="33" applyNumberFormat="0" applyFill="0" applyAlignment="0" applyProtection="0">
      <alignment vertical="center"/>
    </xf>
    <xf numFmtId="0" fontId="0" fillId="0" borderId="0" applyFill="0" applyAlignment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5" fillId="19" borderId="0" applyNumberFormat="0" applyBorder="0" applyAlignment="0" applyProtection="0">
      <alignment vertical="center"/>
    </xf>
    <xf numFmtId="0" fontId="0" fillId="0" borderId="0" applyAlignment="0"/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0" borderId="0" applyFill="0" applyAlignment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8" fillId="34" borderId="0" applyNumberFormat="0" applyBorder="0" applyAlignment="0" applyProtection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34" fillId="0" borderId="0" applyFill="0" applyAlignment="0">
      <alignment vertical="center"/>
    </xf>
    <xf numFmtId="0" fontId="35" fillId="0" borderId="0"/>
    <xf numFmtId="0" fontId="36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  <xf numFmtId="0" fontId="14" fillId="0" borderId="0" applyFill="0" applyAlignment="0">
      <alignment vertical="center"/>
    </xf>
  </cellStyleXfs>
  <cellXfs count="111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49" fontId="2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7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49" fontId="2" fillId="0" borderId="13" xfId="0" applyNumberFormat="1" applyFont="1" applyFill="1" applyBorder="1" applyAlignment="1">
      <alignment horizontal="center" vertical="center" shrinkToFit="1"/>
    </xf>
    <xf numFmtId="176" fontId="2" fillId="0" borderId="13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8" fillId="0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176" fontId="7" fillId="0" borderId="5" xfId="0" applyNumberFormat="1" applyFont="1" applyFill="1" applyBorder="1" applyAlignment="1">
      <alignment horizontal="center" vertical="center" shrinkToFit="1"/>
    </xf>
    <xf numFmtId="176" fontId="6" fillId="0" borderId="0" xfId="0" applyNumberFormat="1" applyFont="1" applyFill="1" applyAlignment="1">
      <alignment horizontal="center" vertical="center" shrinkToFit="1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5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176" fontId="3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176" fontId="10" fillId="0" borderId="5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176" fontId="6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4" fillId="0" borderId="0" xfId="0" applyFont="1" applyBorder="1" applyAlignment="1"/>
    <xf numFmtId="176" fontId="2" fillId="0" borderId="0" xfId="0" applyNumberFormat="1" applyFont="1" applyFill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11" fillId="3" borderId="17" xfId="42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177" fontId="6" fillId="0" borderId="6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shrinkToFit="1"/>
    </xf>
    <xf numFmtId="2" fontId="11" fillId="0" borderId="5" xfId="42" applyNumberFormat="1" applyFont="1" applyBorder="1" applyAlignment="1">
      <alignment horizontal="center" vertical="center" wrapText="1"/>
    </xf>
    <xf numFmtId="2" fontId="11" fillId="0" borderId="5" xfId="42" applyNumberFormat="1" applyFont="1" applyFill="1" applyBorder="1" applyAlignment="1">
      <alignment horizontal="center" vertical="center" wrapText="1"/>
    </xf>
    <xf numFmtId="2" fontId="12" fillId="0" borderId="17" xfId="42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shrinkToFit="1"/>
    </xf>
    <xf numFmtId="2" fontId="11" fillId="0" borderId="17" xfId="42" applyNumberFormat="1" applyFont="1" applyFill="1" applyBorder="1" applyAlignment="1">
      <alignment horizontal="center" vertical="center" wrapText="1"/>
    </xf>
    <xf numFmtId="2" fontId="12" fillId="2" borderId="17" xfId="42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2" fontId="11" fillId="0" borderId="17" xfId="42" applyNumberFormat="1" applyFont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center" vertical="center" wrapText="1"/>
    </xf>
    <xf numFmtId="0" fontId="11" fillId="2" borderId="17" xfId="42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176" fontId="13" fillId="0" borderId="17" xfId="0" applyNumberFormat="1" applyFont="1" applyFill="1" applyBorder="1" applyAlignment="1">
      <alignment horizontal="center" vertical="center" shrinkToFit="1"/>
    </xf>
    <xf numFmtId="176" fontId="2" fillId="0" borderId="5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shrinkToFit="1"/>
    </xf>
    <xf numFmtId="176" fontId="13" fillId="0" borderId="6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shrinkToFit="1"/>
    </xf>
    <xf numFmtId="0" fontId="7" fillId="0" borderId="22" xfId="0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shrinkToFit="1"/>
    </xf>
    <xf numFmtId="176" fontId="13" fillId="0" borderId="24" xfId="0" applyNumberFormat="1" applyFont="1" applyFill="1" applyBorder="1" applyAlignment="1">
      <alignment horizontal="center" vertical="center" shrinkToFit="1"/>
    </xf>
    <xf numFmtId="176" fontId="13" fillId="0" borderId="22" xfId="0" applyNumberFormat="1" applyFont="1" applyFill="1" applyBorder="1" applyAlignment="1">
      <alignment horizontal="center" vertical="center" wrapText="1" shrinkToFit="1"/>
    </xf>
    <xf numFmtId="0" fontId="6" fillId="0" borderId="22" xfId="0" applyFont="1" applyFill="1" applyBorder="1" applyAlignment="1">
      <alignment horizontal="center" vertical="center" shrinkToFit="1"/>
    </xf>
    <xf numFmtId="176" fontId="13" fillId="0" borderId="5" xfId="0" applyNumberFormat="1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 shrinkToFit="1"/>
    </xf>
    <xf numFmtId="49" fontId="6" fillId="0" borderId="5" xfId="0" applyNumberFormat="1" applyFont="1" applyFill="1" applyBorder="1" applyAlignment="1" quotePrefix="1">
      <alignment horizontal="center" vertical="center" shrinkToFit="1"/>
    </xf>
  </cellXfs>
  <cellStyles count="77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常规_发放" xfId="42"/>
    <cellStyle name="强调文字颜色 1" xfId="43" builtinId="29"/>
    <cellStyle name="20% - 强调文字颜色 1" xfId="44" builtinId="30"/>
    <cellStyle name="40% - 强调文字颜色 1" xfId="45" builtinId="31"/>
    <cellStyle name="60% - 着色 1" xfId="46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60% - 着色 3" xfId="51"/>
    <cellStyle name="20% - 强调文字颜色 4" xfId="52" builtinId="42"/>
    <cellStyle name="40% - 强调文字颜色 4" xfId="53" builtinId="43"/>
    <cellStyle name="20% - 着色 1" xfId="54"/>
    <cellStyle name="强调文字颜色 5" xfId="55" builtinId="45"/>
    <cellStyle name="40% - 强调文字颜色 5" xfId="56" builtinId="47"/>
    <cellStyle name="20% - 着色 2" xfId="57"/>
    <cellStyle name="60% - 强调文字颜色 5" xfId="58" builtinId="48"/>
    <cellStyle name="强调文字颜色 6" xfId="59" builtinId="49"/>
    <cellStyle name="40% - 强调文字颜色 6" xfId="60" builtinId="51"/>
    <cellStyle name="20% - 着色 3" xfId="61"/>
    <cellStyle name="60% - 强调文字颜色 6" xfId="62" builtinId="5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1150;&#20844;\&#20154;&#36164;\&#33457;&#21517;&#20876;\&#21592;&#24037;&#33457;&#21517;&#20876;-8.17&#26356;&#26032;(3)(1)(4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在职汇总"/>
      <sheetName val="综合管理科"/>
      <sheetName val="高管"/>
      <sheetName val="财务科"/>
      <sheetName val="技术质量科"/>
      <sheetName val="生产管理科"/>
      <sheetName val="生产制造科-总装"/>
      <sheetName val="生产制造科-注塑"/>
      <sheetName val="设备管理科"/>
      <sheetName val="离职人员名单"/>
      <sheetName val="应聘登记表"/>
    </sheetNames>
    <sheetDataSet>
      <sheetData sheetId="0" refreshError="1">
        <row r="3">
          <cell r="E3" t="str">
            <v>孙振明</v>
          </cell>
          <cell r="F3" t="str">
            <v>男</v>
          </cell>
        </row>
        <row r="4">
          <cell r="E4" t="str">
            <v>李开富</v>
          </cell>
          <cell r="F4" t="str">
            <v>男</v>
          </cell>
          <cell r="G4" t="str">
            <v>370830198301205256</v>
          </cell>
        </row>
        <row r="5">
          <cell r="E5" t="str">
            <v>白成梅</v>
          </cell>
          <cell r="F5" t="str">
            <v>女</v>
          </cell>
          <cell r="G5" t="str">
            <v>510112198107270025</v>
          </cell>
        </row>
        <row r="6">
          <cell r="E6" t="str">
            <v>李 飞</v>
          </cell>
          <cell r="F6" t="str">
            <v>女</v>
          </cell>
          <cell r="G6" t="str">
            <v>511028199004058022</v>
          </cell>
        </row>
        <row r="7">
          <cell r="E7" t="str">
            <v>瞿小强</v>
          </cell>
          <cell r="F7" t="str">
            <v>男</v>
          </cell>
          <cell r="G7" t="str">
            <v>51112119780714329X</v>
          </cell>
        </row>
        <row r="8">
          <cell r="E8" t="str">
            <v>方 兰</v>
          </cell>
          <cell r="F8" t="str">
            <v>女</v>
          </cell>
          <cell r="G8" t="str">
            <v>510112198109290361</v>
          </cell>
        </row>
        <row r="9">
          <cell r="E9" t="str">
            <v>张菊香</v>
          </cell>
          <cell r="F9" t="str">
            <v>女</v>
          </cell>
          <cell r="G9" t="str">
            <v>510921198605014024</v>
          </cell>
        </row>
        <row r="10">
          <cell r="E10" t="str">
            <v>曾 超</v>
          </cell>
          <cell r="F10" t="str">
            <v>男</v>
          </cell>
          <cell r="G10" t="str">
            <v>511025198611141414</v>
          </cell>
        </row>
        <row r="11">
          <cell r="E11" t="str">
            <v>杨晓霞</v>
          </cell>
          <cell r="F11" t="str">
            <v>女</v>
          </cell>
          <cell r="G11" t="str">
            <v>420300197510101749</v>
          </cell>
        </row>
        <row r="12">
          <cell r="E12" t="str">
            <v>朱小军</v>
          </cell>
          <cell r="F12" t="str">
            <v>男</v>
          </cell>
          <cell r="G12" t="str">
            <v>510823199104081191</v>
          </cell>
        </row>
        <row r="13">
          <cell r="E13" t="str">
            <v>叶 红</v>
          </cell>
          <cell r="F13" t="str">
            <v>女</v>
          </cell>
          <cell r="G13" t="str">
            <v>510112198708142424</v>
          </cell>
        </row>
        <row r="14">
          <cell r="E14" t="str">
            <v>任威利</v>
          </cell>
          <cell r="F14" t="str">
            <v>女</v>
          </cell>
          <cell r="G14" t="str">
            <v>513022198903283548</v>
          </cell>
        </row>
        <row r="15">
          <cell r="E15" t="str">
            <v>钟家齐</v>
          </cell>
          <cell r="F15" t="str">
            <v>男</v>
          </cell>
          <cell r="G15" t="str">
            <v>51092219830108197X</v>
          </cell>
        </row>
        <row r="16">
          <cell r="E16" t="str">
            <v>蒋晓维</v>
          </cell>
          <cell r="F16" t="str">
            <v>男</v>
          </cell>
          <cell r="G16" t="str">
            <v>512924197703176197</v>
          </cell>
        </row>
        <row r="17">
          <cell r="E17" t="str">
            <v>肖全英</v>
          </cell>
          <cell r="F17" t="str">
            <v>女</v>
          </cell>
          <cell r="G17" t="str">
            <v>511011199001072825</v>
          </cell>
        </row>
        <row r="18">
          <cell r="E18" t="str">
            <v>李绍碧</v>
          </cell>
          <cell r="F18" t="str">
            <v>女</v>
          </cell>
          <cell r="G18" t="str">
            <v>512223197410152162</v>
          </cell>
        </row>
        <row r="19">
          <cell r="E19" t="str">
            <v>陈平丽</v>
          </cell>
          <cell r="F19" t="str">
            <v>女</v>
          </cell>
          <cell r="G19" t="str">
            <v>510112198006092426</v>
          </cell>
        </row>
        <row r="20">
          <cell r="E20" t="str">
            <v>易小利</v>
          </cell>
          <cell r="F20" t="str">
            <v>女</v>
          </cell>
          <cell r="G20" t="str">
            <v>522122198910025287</v>
          </cell>
        </row>
        <row r="21">
          <cell r="E21" t="str">
            <v>文 丽</v>
          </cell>
          <cell r="F21" t="str">
            <v>女</v>
          </cell>
          <cell r="G21" t="str">
            <v>510122198108266426</v>
          </cell>
        </row>
        <row r="22">
          <cell r="E22" t="str">
            <v>姚 飞</v>
          </cell>
          <cell r="F22" t="str">
            <v>男</v>
          </cell>
          <cell r="G22" t="str">
            <v>510322198905094314</v>
          </cell>
        </row>
        <row r="23">
          <cell r="E23" t="str">
            <v>谭文波</v>
          </cell>
          <cell r="F23" t="str">
            <v>男</v>
          </cell>
          <cell r="G23" t="str">
            <v>510622198204014517</v>
          </cell>
        </row>
        <row r="24">
          <cell r="E24" t="str">
            <v>郑友谊</v>
          </cell>
          <cell r="F24" t="str">
            <v>男</v>
          </cell>
          <cell r="G24" t="str">
            <v>513021197601286910</v>
          </cell>
        </row>
        <row r="25">
          <cell r="E25" t="str">
            <v>任小利</v>
          </cell>
          <cell r="F25" t="str">
            <v>女</v>
          </cell>
          <cell r="G25" t="str">
            <v>513021198902044223</v>
          </cell>
        </row>
        <row r="26">
          <cell r="E26" t="str">
            <v>陈义</v>
          </cell>
          <cell r="F26" t="str">
            <v>女</v>
          </cell>
          <cell r="G26" t="str">
            <v>510112198007100782</v>
          </cell>
        </row>
        <row r="27">
          <cell r="E27" t="str">
            <v>彭巧丽</v>
          </cell>
          <cell r="F27" t="str">
            <v>女</v>
          </cell>
          <cell r="G27" t="str">
            <v>652701197807214528</v>
          </cell>
        </row>
        <row r="28">
          <cell r="E28" t="str">
            <v>李娇龙</v>
          </cell>
          <cell r="F28" t="str">
            <v>女</v>
          </cell>
          <cell r="G28" t="str">
            <v>513902198609292180</v>
          </cell>
        </row>
        <row r="29">
          <cell r="E29" t="str">
            <v>曹海军</v>
          </cell>
          <cell r="F29" t="str">
            <v>男</v>
          </cell>
          <cell r="G29" t="str">
            <v>510823199109031337</v>
          </cell>
        </row>
        <row r="30">
          <cell r="E30" t="str">
            <v>汪胜</v>
          </cell>
          <cell r="F30" t="str">
            <v>男</v>
          </cell>
          <cell r="G30" t="str">
            <v>513901198801267130</v>
          </cell>
        </row>
        <row r="31">
          <cell r="E31" t="str">
            <v>刘芳</v>
          </cell>
          <cell r="F31" t="str">
            <v>女</v>
          </cell>
          <cell r="G31" t="str">
            <v>510321198707044889</v>
          </cell>
        </row>
        <row r="32">
          <cell r="E32" t="str">
            <v>秦文杰</v>
          </cell>
          <cell r="F32" t="str">
            <v>男</v>
          </cell>
          <cell r="G32" t="str">
            <v>510112199304011836</v>
          </cell>
        </row>
        <row r="33">
          <cell r="E33" t="str">
            <v>杨超</v>
          </cell>
          <cell r="F33" t="str">
            <v>女</v>
          </cell>
          <cell r="G33" t="str">
            <v>510112198712273945</v>
          </cell>
        </row>
        <row r="34">
          <cell r="E34" t="str">
            <v>彭燕</v>
          </cell>
          <cell r="F34" t="str">
            <v>女</v>
          </cell>
          <cell r="G34" t="str">
            <v>510113198505287427</v>
          </cell>
        </row>
        <row r="35">
          <cell r="E35" t="str">
            <v>袁美中</v>
          </cell>
          <cell r="F35" t="str">
            <v>男</v>
          </cell>
          <cell r="G35" t="str">
            <v>510211197311109057</v>
          </cell>
        </row>
        <row r="36">
          <cell r="E36" t="str">
            <v>邱月</v>
          </cell>
          <cell r="F36" t="str">
            <v>女</v>
          </cell>
          <cell r="G36" t="str">
            <v>51011219951017242X</v>
          </cell>
        </row>
        <row r="37">
          <cell r="E37" t="str">
            <v>廖运娣</v>
          </cell>
          <cell r="F37" t="str">
            <v>女</v>
          </cell>
          <cell r="G37" t="str">
            <v>360726198901238623</v>
          </cell>
        </row>
        <row r="38">
          <cell r="E38" t="str">
            <v>康燕</v>
          </cell>
          <cell r="F38" t="str">
            <v>女</v>
          </cell>
          <cell r="G38" t="str">
            <v>511023198203070466</v>
          </cell>
        </row>
        <row r="39">
          <cell r="E39" t="str">
            <v>邓春梅</v>
          </cell>
          <cell r="F39" t="str">
            <v>女</v>
          </cell>
          <cell r="G39" t="str">
            <v>510722198003221064</v>
          </cell>
        </row>
        <row r="40">
          <cell r="E40" t="str">
            <v>刘亮</v>
          </cell>
          <cell r="F40" t="str">
            <v>女</v>
          </cell>
          <cell r="G40" t="str">
            <v>510902199308112643</v>
          </cell>
        </row>
        <row r="41">
          <cell r="E41" t="str">
            <v>李强</v>
          </cell>
          <cell r="F41" t="str">
            <v>男</v>
          </cell>
          <cell r="G41" t="str">
            <v>510122197610076236</v>
          </cell>
        </row>
        <row r="42">
          <cell r="E42" t="str">
            <v>周春梅</v>
          </cell>
          <cell r="F42" t="str">
            <v>女</v>
          </cell>
          <cell r="G42" t="str">
            <v>510112197612194823</v>
          </cell>
        </row>
        <row r="43">
          <cell r="E43" t="str">
            <v>江盛强</v>
          </cell>
          <cell r="F43" t="str">
            <v>男</v>
          </cell>
          <cell r="G43" t="str">
            <v>510112199103125618</v>
          </cell>
        </row>
        <row r="44">
          <cell r="E44" t="str">
            <v>杨叔容</v>
          </cell>
          <cell r="F44" t="str">
            <v>女</v>
          </cell>
          <cell r="G44" t="str">
            <v>513621198210152701</v>
          </cell>
        </row>
        <row r="45">
          <cell r="E45" t="str">
            <v>曾莉</v>
          </cell>
          <cell r="F45" t="str">
            <v>女</v>
          </cell>
          <cell r="G45" t="str">
            <v>510112198910151228</v>
          </cell>
        </row>
        <row r="46">
          <cell r="E46" t="str">
            <v>王宇</v>
          </cell>
          <cell r="F46" t="str">
            <v>男</v>
          </cell>
          <cell r="G46" t="str">
            <v>511123199302131471</v>
          </cell>
        </row>
        <row r="47">
          <cell r="E47" t="str">
            <v>罗世凤</v>
          </cell>
          <cell r="F47" t="str">
            <v>女</v>
          </cell>
          <cell r="G47" t="str">
            <v>510112197906120723</v>
          </cell>
        </row>
        <row r="48">
          <cell r="E48" t="str">
            <v>赵曼莉</v>
          </cell>
          <cell r="F48" t="str">
            <v>女</v>
          </cell>
          <cell r="G48" t="str">
            <v>513024197804092568</v>
          </cell>
        </row>
        <row r="49">
          <cell r="E49" t="str">
            <v>赵平</v>
          </cell>
          <cell r="F49" t="str">
            <v>女</v>
          </cell>
          <cell r="G49" t="str">
            <v>510112197906205620</v>
          </cell>
        </row>
        <row r="50">
          <cell r="E50" t="str">
            <v>张昌玉</v>
          </cell>
          <cell r="F50" t="str">
            <v>女</v>
          </cell>
          <cell r="G50" t="str">
            <v>510112198410230923</v>
          </cell>
        </row>
        <row r="51">
          <cell r="E51" t="str">
            <v>林燕</v>
          </cell>
          <cell r="F51" t="str">
            <v>女</v>
          </cell>
          <cell r="G51" t="str">
            <v>510112199310215421</v>
          </cell>
        </row>
        <row r="52">
          <cell r="E52" t="str">
            <v>王高平</v>
          </cell>
          <cell r="F52" t="str">
            <v>男</v>
          </cell>
          <cell r="G52" t="str">
            <v>510683198705180313</v>
          </cell>
        </row>
        <row r="53">
          <cell r="E53" t="str">
            <v>吴稠</v>
          </cell>
          <cell r="F53" t="str">
            <v>女</v>
          </cell>
          <cell r="G53" t="str">
            <v>51060219940404682X</v>
          </cell>
        </row>
        <row r="54">
          <cell r="E54" t="str">
            <v>廖世金</v>
          </cell>
          <cell r="F54" t="str">
            <v>男</v>
          </cell>
          <cell r="G54" t="str">
            <v>512501197303147219</v>
          </cell>
        </row>
        <row r="55">
          <cell r="E55" t="str">
            <v>郑善均</v>
          </cell>
          <cell r="F55" t="str">
            <v>男</v>
          </cell>
          <cell r="G55" t="str">
            <v>510722197601241431</v>
          </cell>
        </row>
        <row r="56">
          <cell r="E56" t="str">
            <v>王芳</v>
          </cell>
          <cell r="F56" t="str">
            <v>女</v>
          </cell>
          <cell r="G56" t="str">
            <v>513122197903284824</v>
          </cell>
        </row>
        <row r="57">
          <cell r="E57" t="str">
            <v>江萍</v>
          </cell>
          <cell r="F57" t="str">
            <v>女</v>
          </cell>
          <cell r="G57" t="str">
            <v>533422198701071120</v>
          </cell>
        </row>
        <row r="58">
          <cell r="E58" t="str">
            <v>钟正权</v>
          </cell>
          <cell r="F58" t="str">
            <v>男</v>
          </cell>
          <cell r="G58" t="str">
            <v>511223198001183375</v>
          </cell>
        </row>
        <row r="59">
          <cell r="E59" t="str">
            <v>熊丽华</v>
          </cell>
          <cell r="F59" t="str">
            <v>女</v>
          </cell>
          <cell r="G59" t="str">
            <v>510112198111050025</v>
          </cell>
        </row>
        <row r="60">
          <cell r="E60" t="str">
            <v>邹思兰</v>
          </cell>
          <cell r="F60" t="str">
            <v>女</v>
          </cell>
          <cell r="G60" t="str">
            <v>510902198408144103</v>
          </cell>
        </row>
        <row r="61">
          <cell r="E61" t="str">
            <v>彭彦莉</v>
          </cell>
          <cell r="F61" t="str">
            <v>女</v>
          </cell>
          <cell r="G61" t="str">
            <v>510108198408261822</v>
          </cell>
        </row>
        <row r="62">
          <cell r="E62" t="str">
            <v>李兵</v>
          </cell>
          <cell r="F62" t="str">
            <v>男</v>
          </cell>
          <cell r="G62" t="str">
            <v>510821197812259112</v>
          </cell>
        </row>
        <row r="63">
          <cell r="E63" t="str">
            <v>李维虎</v>
          </cell>
          <cell r="F63" t="str">
            <v>男</v>
          </cell>
          <cell r="G63" t="str">
            <v>510112199012280719</v>
          </cell>
        </row>
        <row r="64">
          <cell r="E64" t="str">
            <v>叶美群</v>
          </cell>
          <cell r="F64" t="str">
            <v>女</v>
          </cell>
          <cell r="G64" t="str">
            <v>510122197903022362</v>
          </cell>
        </row>
        <row r="65">
          <cell r="E65" t="str">
            <v>邓小琴</v>
          </cell>
          <cell r="F65" t="str">
            <v>女</v>
          </cell>
          <cell r="G65" t="str">
            <v>513902198710277700</v>
          </cell>
        </row>
        <row r="66">
          <cell r="E66" t="str">
            <v>王敏</v>
          </cell>
          <cell r="F66" t="str">
            <v>女</v>
          </cell>
          <cell r="G66" t="str">
            <v>511011199311285885</v>
          </cell>
        </row>
        <row r="67">
          <cell r="E67" t="str">
            <v>段蓉华</v>
          </cell>
          <cell r="F67" t="str">
            <v>女</v>
          </cell>
          <cell r="G67" t="str">
            <v>512902197502263421</v>
          </cell>
        </row>
        <row r="68">
          <cell r="E68" t="str">
            <v>杨永红</v>
          </cell>
          <cell r="F68" t="str">
            <v>女</v>
          </cell>
          <cell r="G68" t="str">
            <v>52213119850712584X</v>
          </cell>
        </row>
        <row r="69">
          <cell r="E69" t="str">
            <v>郑拾军</v>
          </cell>
          <cell r="F69" t="str">
            <v>男</v>
          </cell>
          <cell r="G69" t="str">
            <v>410421197409010514</v>
          </cell>
        </row>
        <row r="70">
          <cell r="E70" t="str">
            <v>曹霞</v>
          </cell>
          <cell r="F70" t="str">
            <v>女</v>
          </cell>
          <cell r="G70" t="str">
            <v>511027197708240046</v>
          </cell>
        </row>
        <row r="71">
          <cell r="E71" t="str">
            <v>郑翠容</v>
          </cell>
          <cell r="F71" t="str">
            <v>女</v>
          </cell>
          <cell r="G71" t="str">
            <v>510725198402106820</v>
          </cell>
        </row>
        <row r="72">
          <cell r="E72" t="str">
            <v>林宏丽</v>
          </cell>
          <cell r="F72" t="str">
            <v>女</v>
          </cell>
          <cell r="G72" t="str">
            <v>510121198810118822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76"/>
  <sheetViews>
    <sheetView tabSelected="1" zoomScale="115" zoomScaleNormal="115" topLeftCell="I1" workbookViewId="0">
      <pane ySplit="3" topLeftCell="A4" activePane="bottomLeft" state="frozen"/>
      <selection/>
      <selection pane="bottomLeft" activeCell="BD12" sqref="BD12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6.5" hidden="1" customWidth="1"/>
    <col min="7" max="7" width="17" style="8" customWidth="1"/>
    <col min="8" max="8" width="19.375" style="8" customWidth="1"/>
    <col min="9" max="9" width="1.75" hidden="1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customWidth="1"/>
    <col min="16" max="16" width="5.25" customWidth="1"/>
    <col min="17" max="17" width="5.75" hidden="1" customWidth="1"/>
    <col min="18" max="18" width="6.75" style="7" customWidth="1"/>
    <col min="19" max="19" width="6" style="7" customWidth="1"/>
    <col min="20" max="20" width="6.375" customWidth="1"/>
    <col min="21" max="21" width="7.875" style="7" customWidth="1"/>
    <col min="22" max="22" width="9.5" style="9" customWidth="1"/>
    <col min="23" max="29" width="9.5" style="9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" customWidth="1"/>
    <col min="36" max="49" width="9.625" style="9" hidden="1" customWidth="1"/>
    <col min="50" max="50" width="6.625" style="9" hidden="1" customWidth="1"/>
    <col min="51" max="51" width="7.5" customWidth="1"/>
    <col min="52" max="52" width="6.375" customWidth="1"/>
    <col min="53" max="53" width="11.125" style="9" customWidth="1"/>
    <col min="54" max="54" width="18.25" customWidth="1"/>
  </cols>
  <sheetData>
    <row r="1" s="2" customFormat="1" ht="41.1" customHeight="1" spans="1:5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50"/>
      <c r="S1" s="50"/>
      <c r="T1" s="10"/>
      <c r="U1" s="5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</row>
    <row r="2" s="3" customFormat="1" ht="22" customHeight="1" spans="1:54">
      <c r="A2" s="11" t="s">
        <v>1</v>
      </c>
      <c r="B2" s="12" t="s">
        <v>2</v>
      </c>
      <c r="C2" s="13" t="s">
        <v>3</v>
      </c>
      <c r="D2" s="13" t="s">
        <v>4</v>
      </c>
      <c r="E2" s="13"/>
      <c r="F2" s="13"/>
      <c r="G2" s="14" t="s">
        <v>5</v>
      </c>
      <c r="H2" s="14" t="s">
        <v>6</v>
      </c>
      <c r="I2" s="13" t="s">
        <v>7</v>
      </c>
      <c r="J2" s="12" t="s">
        <v>8</v>
      </c>
      <c r="K2" s="12" t="s">
        <v>9</v>
      </c>
      <c r="L2" s="41" t="s">
        <v>10</v>
      </c>
      <c r="M2" s="12" t="s">
        <v>11</v>
      </c>
      <c r="N2" s="13" t="s">
        <v>12</v>
      </c>
      <c r="O2" s="13" t="s">
        <v>13</v>
      </c>
      <c r="P2" s="12" t="s">
        <v>14</v>
      </c>
      <c r="Q2" s="12" t="s">
        <v>15</v>
      </c>
      <c r="R2" s="51" t="s">
        <v>16</v>
      </c>
      <c r="S2" s="51" t="s">
        <v>17</v>
      </c>
      <c r="T2" s="13" t="s">
        <v>18</v>
      </c>
      <c r="U2" s="51" t="s">
        <v>19</v>
      </c>
      <c r="V2" s="12" t="s">
        <v>20</v>
      </c>
      <c r="W2" s="52" t="s">
        <v>21</v>
      </c>
      <c r="X2" s="53"/>
      <c r="Y2" s="53"/>
      <c r="Z2" s="53"/>
      <c r="AA2" s="53"/>
      <c r="AB2" s="53"/>
      <c r="AC2" s="66"/>
      <c r="AD2" s="12" t="s">
        <v>22</v>
      </c>
      <c r="AE2" s="12"/>
      <c r="AF2" s="12"/>
      <c r="AG2" s="12"/>
      <c r="AH2" s="12"/>
      <c r="AI2" s="12"/>
      <c r="AJ2" s="69" t="s">
        <v>23</v>
      </c>
      <c r="AK2" s="69" t="s">
        <v>24</v>
      </c>
      <c r="AL2" s="69" t="s">
        <v>25</v>
      </c>
      <c r="AM2" s="70" t="s">
        <v>26</v>
      </c>
      <c r="AN2" s="71"/>
      <c r="AO2" s="71"/>
      <c r="AP2" s="71"/>
      <c r="AQ2" s="81"/>
      <c r="AR2" s="82" t="s">
        <v>27</v>
      </c>
      <c r="AS2" s="82" t="s">
        <v>28</v>
      </c>
      <c r="AT2" s="82" t="s">
        <v>29</v>
      </c>
      <c r="AU2" s="82"/>
      <c r="AV2" s="82" t="s">
        <v>30</v>
      </c>
      <c r="AW2" s="69" t="s">
        <v>31</v>
      </c>
      <c r="AX2" s="69" t="s">
        <v>32</v>
      </c>
      <c r="AY2" s="87" t="s">
        <v>33</v>
      </c>
      <c r="AZ2" s="12" t="s">
        <v>34</v>
      </c>
      <c r="BA2" s="12" t="s">
        <v>35</v>
      </c>
      <c r="BB2" s="88" t="s">
        <v>36</v>
      </c>
    </row>
    <row r="3" s="3" customFormat="1" ht="30" customHeight="1" spans="1:54">
      <c r="A3" s="15"/>
      <c r="B3" s="16"/>
      <c r="C3" s="17"/>
      <c r="D3" s="17"/>
      <c r="E3" s="17" t="s">
        <v>37</v>
      </c>
      <c r="F3" s="17" t="s">
        <v>38</v>
      </c>
      <c r="G3" s="18"/>
      <c r="H3" s="18"/>
      <c r="I3" s="17"/>
      <c r="J3" s="16"/>
      <c r="K3" s="16"/>
      <c r="L3" s="42"/>
      <c r="M3" s="16"/>
      <c r="N3" s="17"/>
      <c r="O3" s="17"/>
      <c r="P3" s="16"/>
      <c r="Q3" s="16"/>
      <c r="R3" s="54"/>
      <c r="S3" s="54"/>
      <c r="T3" s="17"/>
      <c r="U3" s="54"/>
      <c r="V3" s="16"/>
      <c r="W3" s="16" t="s">
        <v>39</v>
      </c>
      <c r="X3" s="16" t="s">
        <v>40</v>
      </c>
      <c r="Y3" s="16" t="s">
        <v>41</v>
      </c>
      <c r="Z3" s="16" t="s">
        <v>42</v>
      </c>
      <c r="AA3" s="16" t="s">
        <v>43</v>
      </c>
      <c r="AB3" s="16" t="s">
        <v>44</v>
      </c>
      <c r="AC3" s="16" t="s">
        <v>45</v>
      </c>
      <c r="AD3" s="16" t="s">
        <v>39</v>
      </c>
      <c r="AE3" s="16" t="s">
        <v>41</v>
      </c>
      <c r="AF3" s="16" t="s">
        <v>40</v>
      </c>
      <c r="AG3" s="16" t="s">
        <v>45</v>
      </c>
      <c r="AH3" s="16" t="s">
        <v>46</v>
      </c>
      <c r="AI3" s="16" t="s">
        <v>47</v>
      </c>
      <c r="AJ3" s="69"/>
      <c r="AK3" s="69"/>
      <c r="AL3" s="69"/>
      <c r="AM3" s="69" t="s">
        <v>48</v>
      </c>
      <c r="AN3" s="69" t="s">
        <v>49</v>
      </c>
      <c r="AO3" s="69" t="s">
        <v>50</v>
      </c>
      <c r="AP3" s="69" t="s">
        <v>51</v>
      </c>
      <c r="AQ3" s="69" t="s">
        <v>52</v>
      </c>
      <c r="AR3" s="83"/>
      <c r="AS3" s="83"/>
      <c r="AT3" s="83"/>
      <c r="AU3" s="83" t="s">
        <v>53</v>
      </c>
      <c r="AV3" s="83"/>
      <c r="AW3" s="69"/>
      <c r="AX3" s="69"/>
      <c r="AY3" s="87"/>
      <c r="AZ3" s="16"/>
      <c r="BA3" s="16"/>
      <c r="BB3" s="89"/>
    </row>
    <row r="4" s="4" customFormat="1" ht="25" customHeight="1" spans="1:54">
      <c r="A4" s="19">
        <v>1</v>
      </c>
      <c r="B4" s="20" t="s">
        <v>54</v>
      </c>
      <c r="C4" s="21" t="s">
        <v>55</v>
      </c>
      <c r="D4" s="21" t="s">
        <v>56</v>
      </c>
      <c r="E4" s="21" t="s">
        <v>57</v>
      </c>
      <c r="F4" s="21" t="s">
        <v>58</v>
      </c>
      <c r="G4" s="22" t="s">
        <v>59</v>
      </c>
      <c r="H4" s="22" t="s">
        <v>60</v>
      </c>
      <c r="I4" s="21"/>
      <c r="J4" s="43">
        <v>2100</v>
      </c>
      <c r="K4" s="43">
        <f>3500</f>
        <v>3500</v>
      </c>
      <c r="L4" s="43">
        <f>3170*0.98</f>
        <v>3106.6</v>
      </c>
      <c r="M4" s="43">
        <v>200</v>
      </c>
      <c r="N4" s="43">
        <v>100</v>
      </c>
      <c r="O4" s="43"/>
      <c r="P4" s="43">
        <v>60</v>
      </c>
      <c r="Q4" s="43"/>
      <c r="R4" s="43"/>
      <c r="S4" s="43"/>
      <c r="T4" s="43"/>
      <c r="U4" s="54"/>
      <c r="V4" s="55">
        <f t="shared" ref="V4:V8" si="0">SUM(J4:S4)-T4+U4</f>
        <v>9066.6</v>
      </c>
      <c r="W4" s="56">
        <v>462.08</v>
      </c>
      <c r="X4" s="56">
        <v>19.42</v>
      </c>
      <c r="Y4" s="56">
        <v>210.34</v>
      </c>
      <c r="Z4" s="56">
        <v>32.36</v>
      </c>
      <c r="AA4" s="56">
        <v>7.28</v>
      </c>
      <c r="AB4" s="56">
        <v>25.89</v>
      </c>
      <c r="AC4" s="43">
        <f>107</f>
        <v>107</v>
      </c>
      <c r="AD4" s="21">
        <v>365.6</v>
      </c>
      <c r="AE4" s="21">
        <v>91.4</v>
      </c>
      <c r="AF4" s="21">
        <v>18.28</v>
      </c>
      <c r="AG4" s="43">
        <v>156</v>
      </c>
      <c r="AH4" s="43"/>
      <c r="AI4" s="43">
        <f t="shared" ref="AI4:AI8" si="1">SUM(AD4:AH4)</f>
        <v>631.28</v>
      </c>
      <c r="AJ4" s="72">
        <v>9824.67</v>
      </c>
      <c r="AK4" s="72">
        <v>631.28</v>
      </c>
      <c r="AL4" s="73">
        <v>5000</v>
      </c>
      <c r="AM4" s="74">
        <v>1000</v>
      </c>
      <c r="AN4" s="74"/>
      <c r="AO4" s="84">
        <v>1000</v>
      </c>
      <c r="AP4" s="84"/>
      <c r="AQ4" s="74"/>
      <c r="AR4" s="72">
        <f t="shared" ref="AR4:AR8" si="2">V4+AJ4</f>
        <v>18891.27</v>
      </c>
      <c r="AS4" s="72">
        <f t="shared" ref="AS4:AS8" si="3">AI4+AK4</f>
        <v>1262.56</v>
      </c>
      <c r="AT4" s="73">
        <f t="shared" ref="AT4:AT8" si="4">AL4+5000</f>
        <v>10000</v>
      </c>
      <c r="AU4" s="73">
        <f>AM4+AO4+2000</f>
        <v>4000</v>
      </c>
      <c r="AV4" s="72">
        <f t="shared" ref="AV4:AV8" si="5">AR4-AS4-AT4-AU4</f>
        <v>3628.71</v>
      </c>
      <c r="AW4" s="90">
        <f>5*MAX(0,AV4*{0.6;2;4;5;6;7;9}%-{0;504;3384;6384;10584;17184;36384})</f>
        <v>108.86</v>
      </c>
      <c r="AX4" s="90">
        <v>65.8</v>
      </c>
      <c r="AY4" s="90">
        <f t="shared" ref="AY4:AY8" si="6">IF(+AW4-AX4&gt;0,AW4-AX4,0)</f>
        <v>43.06</v>
      </c>
      <c r="AZ4" s="54"/>
      <c r="BA4" s="91">
        <f t="shared" ref="BA4:BA8" si="7">V4-AI4-AY4</f>
        <v>8392.26</v>
      </c>
      <c r="BB4" s="92"/>
    </row>
    <row r="5" s="4" customFormat="1" ht="25" customHeight="1" spans="1:54">
      <c r="A5" s="19">
        <v>2</v>
      </c>
      <c r="B5" s="20" t="s">
        <v>61</v>
      </c>
      <c r="C5" s="21" t="s">
        <v>55</v>
      </c>
      <c r="D5" s="21" t="s">
        <v>62</v>
      </c>
      <c r="E5" s="21" t="s">
        <v>57</v>
      </c>
      <c r="F5" s="21" t="s">
        <v>63</v>
      </c>
      <c r="G5" s="22" t="s">
        <v>64</v>
      </c>
      <c r="H5" s="22" t="s">
        <v>65</v>
      </c>
      <c r="I5" s="21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57"/>
      <c r="V5" s="55">
        <v>1100</v>
      </c>
      <c r="W5" s="56"/>
      <c r="X5" s="56"/>
      <c r="Y5" s="56"/>
      <c r="Z5" s="56"/>
      <c r="AA5" s="56"/>
      <c r="AB5" s="56"/>
      <c r="AC5" s="43"/>
      <c r="AD5" s="67"/>
      <c r="AE5" s="56"/>
      <c r="AF5" s="56"/>
      <c r="AG5" s="43"/>
      <c r="AH5" s="43"/>
      <c r="AI5" s="43"/>
      <c r="AJ5" s="72">
        <v>1100</v>
      </c>
      <c r="AK5" s="72">
        <v>0</v>
      </c>
      <c r="AL5" s="73">
        <v>5000</v>
      </c>
      <c r="AM5" s="74"/>
      <c r="AN5" s="74"/>
      <c r="AO5" s="75"/>
      <c r="AP5" s="75"/>
      <c r="AQ5" s="74"/>
      <c r="AR5" s="72">
        <f t="shared" si="2"/>
        <v>2200</v>
      </c>
      <c r="AS5" s="72">
        <f t="shared" si="3"/>
        <v>0</v>
      </c>
      <c r="AT5" s="73">
        <f t="shared" si="4"/>
        <v>10000</v>
      </c>
      <c r="AU5" s="73"/>
      <c r="AV5" s="72">
        <f t="shared" si="5"/>
        <v>-7800</v>
      </c>
      <c r="AW5" s="90">
        <f>5*MAX(0,AV5*{0.6;2;4;5;6;7;9}%-{0;504;3384;6384;10584;17184;36384})</f>
        <v>0</v>
      </c>
      <c r="AX5" s="93"/>
      <c r="AY5" s="90">
        <f t="shared" si="6"/>
        <v>0</v>
      </c>
      <c r="AZ5" s="94"/>
      <c r="BA5" s="91">
        <f t="shared" si="7"/>
        <v>1100</v>
      </c>
      <c r="BB5" s="92"/>
    </row>
    <row r="6" s="4" customFormat="1" ht="22" customHeight="1" spans="1:54">
      <c r="A6" s="23"/>
      <c r="B6" s="24" t="s">
        <v>66</v>
      </c>
      <c r="C6" s="25"/>
      <c r="D6" s="26"/>
      <c r="E6" s="26"/>
      <c r="F6" s="26"/>
      <c r="G6" s="27"/>
      <c r="H6" s="27"/>
      <c r="I6" s="26"/>
      <c r="J6" s="44">
        <f t="shared" ref="J6:AH6" si="8">SUM(J4:J5)</f>
        <v>2100</v>
      </c>
      <c r="K6" s="44">
        <f t="shared" si="8"/>
        <v>3500</v>
      </c>
      <c r="L6" s="44">
        <f t="shared" si="8"/>
        <v>3106.6</v>
      </c>
      <c r="M6" s="44">
        <f t="shared" si="8"/>
        <v>200</v>
      </c>
      <c r="N6" s="44">
        <f t="shared" si="8"/>
        <v>100</v>
      </c>
      <c r="O6" s="44">
        <f t="shared" si="8"/>
        <v>0</v>
      </c>
      <c r="P6" s="44">
        <f t="shared" si="8"/>
        <v>60</v>
      </c>
      <c r="Q6" s="44">
        <f t="shared" si="8"/>
        <v>0</v>
      </c>
      <c r="R6" s="44">
        <f t="shared" si="8"/>
        <v>0</v>
      </c>
      <c r="S6" s="44">
        <f t="shared" si="8"/>
        <v>0</v>
      </c>
      <c r="T6" s="44">
        <f t="shared" si="8"/>
        <v>0</v>
      </c>
      <c r="U6" s="44">
        <f t="shared" si="8"/>
        <v>0</v>
      </c>
      <c r="V6" s="44">
        <f t="shared" si="8"/>
        <v>10166.6</v>
      </c>
      <c r="W6" s="44">
        <f t="shared" ref="W6:BA6" si="9">SUM(W4:W5)</f>
        <v>462.08</v>
      </c>
      <c r="X6" s="44">
        <f t="shared" si="9"/>
        <v>19.42</v>
      </c>
      <c r="Y6" s="44">
        <f t="shared" si="9"/>
        <v>210.34</v>
      </c>
      <c r="Z6" s="44">
        <f t="shared" si="9"/>
        <v>32.36</v>
      </c>
      <c r="AA6" s="44">
        <f t="shared" si="9"/>
        <v>7.28</v>
      </c>
      <c r="AB6" s="44">
        <f t="shared" si="9"/>
        <v>25.89</v>
      </c>
      <c r="AC6" s="44">
        <f t="shared" si="9"/>
        <v>107</v>
      </c>
      <c r="AD6" s="44">
        <f t="shared" si="9"/>
        <v>365.6</v>
      </c>
      <c r="AE6" s="44">
        <f t="shared" si="9"/>
        <v>91.4</v>
      </c>
      <c r="AF6" s="44">
        <f t="shared" si="9"/>
        <v>18.28</v>
      </c>
      <c r="AG6" s="44">
        <f t="shared" si="9"/>
        <v>156</v>
      </c>
      <c r="AH6" s="44">
        <f t="shared" si="9"/>
        <v>0</v>
      </c>
      <c r="AI6" s="44">
        <f t="shared" si="9"/>
        <v>631.28</v>
      </c>
      <c r="AJ6" s="44">
        <f t="shared" si="9"/>
        <v>10924.67</v>
      </c>
      <c r="AK6" s="44">
        <f t="shared" si="9"/>
        <v>631.28</v>
      </c>
      <c r="AL6" s="44">
        <f t="shared" si="9"/>
        <v>10000</v>
      </c>
      <c r="AM6" s="44">
        <f t="shared" si="9"/>
        <v>1000</v>
      </c>
      <c r="AN6" s="44">
        <f t="shared" si="9"/>
        <v>0</v>
      </c>
      <c r="AO6" s="44">
        <f t="shared" si="9"/>
        <v>1000</v>
      </c>
      <c r="AP6" s="44">
        <f t="shared" si="9"/>
        <v>0</v>
      </c>
      <c r="AQ6" s="44">
        <f t="shared" si="9"/>
        <v>0</v>
      </c>
      <c r="AR6" s="44">
        <f t="shared" si="9"/>
        <v>21091.27</v>
      </c>
      <c r="AS6" s="44">
        <f t="shared" si="9"/>
        <v>1262.56</v>
      </c>
      <c r="AT6" s="44">
        <f t="shared" si="9"/>
        <v>20000</v>
      </c>
      <c r="AU6" s="44">
        <f t="shared" si="9"/>
        <v>4000</v>
      </c>
      <c r="AV6" s="44">
        <f t="shared" si="9"/>
        <v>-4171.29</v>
      </c>
      <c r="AW6" s="44">
        <f t="shared" si="9"/>
        <v>108.86</v>
      </c>
      <c r="AX6" s="44">
        <f t="shared" si="9"/>
        <v>65.8</v>
      </c>
      <c r="AY6" s="44">
        <f t="shared" si="9"/>
        <v>43.06</v>
      </c>
      <c r="AZ6" s="44">
        <f t="shared" si="9"/>
        <v>0</v>
      </c>
      <c r="BA6" s="44">
        <f>SUM(BA4:BA5)</f>
        <v>9492.26</v>
      </c>
      <c r="BB6" s="95"/>
    </row>
    <row r="7" s="4" customFormat="1" ht="25" customHeight="1" spans="1:54">
      <c r="A7" s="19">
        <v>3</v>
      </c>
      <c r="B7" s="28" t="s">
        <v>67</v>
      </c>
      <c r="C7" s="21" t="s">
        <v>68</v>
      </c>
      <c r="D7" s="21" t="s">
        <v>56</v>
      </c>
      <c r="E7" s="21" t="s">
        <v>57</v>
      </c>
      <c r="F7" s="21" t="s">
        <v>58</v>
      </c>
      <c r="G7" s="22" t="s">
        <v>69</v>
      </c>
      <c r="H7" s="22" t="s">
        <v>70</v>
      </c>
      <c r="I7" s="21"/>
      <c r="J7" s="43">
        <v>2100</v>
      </c>
      <c r="K7" s="43">
        <f>3200</f>
        <v>3200</v>
      </c>
      <c r="L7" s="43">
        <f>1970*0.995</f>
        <v>1960.15</v>
      </c>
      <c r="M7" s="43">
        <v>200</v>
      </c>
      <c r="N7" s="43">
        <v>100</v>
      </c>
      <c r="O7" s="43"/>
      <c r="P7" s="43">
        <v>40</v>
      </c>
      <c r="Q7" s="43"/>
      <c r="R7" s="43"/>
      <c r="S7" s="43"/>
      <c r="T7" s="43"/>
      <c r="U7" s="43"/>
      <c r="V7" s="55">
        <f t="shared" si="0"/>
        <v>7600.15</v>
      </c>
      <c r="W7" s="56"/>
      <c r="X7" s="56"/>
      <c r="Y7" s="56"/>
      <c r="Z7" s="56"/>
      <c r="AA7" s="56"/>
      <c r="AB7" s="56"/>
      <c r="AC7" s="43"/>
      <c r="AD7" s="21">
        <v>365.6</v>
      </c>
      <c r="AE7" s="21">
        <v>91.4</v>
      </c>
      <c r="AF7" s="21">
        <v>18.28</v>
      </c>
      <c r="AG7" s="43">
        <v>156</v>
      </c>
      <c r="AH7" s="43"/>
      <c r="AI7" s="43">
        <f t="shared" si="1"/>
        <v>631.28</v>
      </c>
      <c r="AJ7" s="75">
        <v>8022.29</v>
      </c>
      <c r="AK7" s="75">
        <v>631.28</v>
      </c>
      <c r="AL7" s="75">
        <v>5000</v>
      </c>
      <c r="AM7" s="75">
        <v>1000</v>
      </c>
      <c r="AN7" s="75">
        <v>1000</v>
      </c>
      <c r="AO7" s="75"/>
      <c r="AP7" s="75"/>
      <c r="AQ7" s="75"/>
      <c r="AR7" s="72">
        <f t="shared" si="2"/>
        <v>15622.44</v>
      </c>
      <c r="AS7" s="72">
        <f t="shared" si="3"/>
        <v>1262.56</v>
      </c>
      <c r="AT7" s="73">
        <f t="shared" si="4"/>
        <v>10000</v>
      </c>
      <c r="AU7" s="73">
        <f>AN7+AM7+2000</f>
        <v>4000</v>
      </c>
      <c r="AV7" s="72">
        <f t="shared" si="5"/>
        <v>359.88</v>
      </c>
      <c r="AW7" s="90">
        <f>5*MAX(0,AV7*{0.6;2;4;5;6;7;9}%-{0;504;3384;6384;10584;17184;36384})</f>
        <v>10.8</v>
      </c>
      <c r="AX7" s="96">
        <v>11.73</v>
      </c>
      <c r="AY7" s="90">
        <f t="shared" si="6"/>
        <v>0</v>
      </c>
      <c r="AZ7" s="54"/>
      <c r="BA7" s="91">
        <f t="shared" si="7"/>
        <v>6968.87</v>
      </c>
      <c r="BB7" s="92"/>
    </row>
    <row r="8" s="4" customFormat="1" ht="25" customHeight="1" spans="1:55">
      <c r="A8" s="19">
        <v>4</v>
      </c>
      <c r="B8" s="28" t="s">
        <v>71</v>
      </c>
      <c r="C8" s="21" t="s">
        <v>72</v>
      </c>
      <c r="D8" s="21" t="s">
        <v>73</v>
      </c>
      <c r="E8" s="21" t="s">
        <v>57</v>
      </c>
      <c r="F8" s="21" t="s">
        <v>58</v>
      </c>
      <c r="G8" s="22" t="s">
        <v>74</v>
      </c>
      <c r="H8" s="22" t="s">
        <v>75</v>
      </c>
      <c r="I8" s="21"/>
      <c r="J8" s="43">
        <f>2100</f>
        <v>2100</v>
      </c>
      <c r="K8" s="43">
        <f>2000</f>
        <v>2000</v>
      </c>
      <c r="L8" s="43">
        <f>970*1</f>
        <v>970</v>
      </c>
      <c r="M8" s="43">
        <v>200</v>
      </c>
      <c r="N8" s="43">
        <v>100</v>
      </c>
      <c r="O8" s="43"/>
      <c r="P8" s="43">
        <v>40</v>
      </c>
      <c r="Q8" s="43"/>
      <c r="R8" s="43"/>
      <c r="S8" s="43"/>
      <c r="T8" s="43"/>
      <c r="U8" s="43"/>
      <c r="V8" s="55">
        <f t="shared" si="0"/>
        <v>5410</v>
      </c>
      <c r="W8" s="56"/>
      <c r="X8" s="56"/>
      <c r="Y8" s="56"/>
      <c r="Z8" s="56"/>
      <c r="AA8" s="56"/>
      <c r="AB8" s="56"/>
      <c r="AC8" s="43"/>
      <c r="AD8" s="67">
        <v>341.6</v>
      </c>
      <c r="AE8" s="56">
        <v>85.4</v>
      </c>
      <c r="AF8" s="56">
        <v>17.08</v>
      </c>
      <c r="AG8" s="43">
        <v>138</v>
      </c>
      <c r="AH8" s="43"/>
      <c r="AI8" s="43">
        <f t="shared" si="1"/>
        <v>582.08</v>
      </c>
      <c r="AJ8" s="76">
        <v>5756.08</v>
      </c>
      <c r="AK8" s="76">
        <v>582.08</v>
      </c>
      <c r="AL8" s="76">
        <v>5000</v>
      </c>
      <c r="AM8" s="76"/>
      <c r="AN8" s="76"/>
      <c r="AO8" s="76"/>
      <c r="AP8" s="76"/>
      <c r="AQ8" s="76"/>
      <c r="AR8" s="72">
        <f t="shared" si="2"/>
        <v>11166.08</v>
      </c>
      <c r="AS8" s="72">
        <f t="shared" si="3"/>
        <v>1164.16</v>
      </c>
      <c r="AT8" s="73">
        <f t="shared" si="4"/>
        <v>10000</v>
      </c>
      <c r="AU8" s="73"/>
      <c r="AV8" s="72">
        <f t="shared" si="5"/>
        <v>1.92</v>
      </c>
      <c r="AW8" s="90">
        <f>5*MAX(0,AV8*{0.6;2;4;5;6;7;9}%-{0;504;3384;6384;10584;17184;36384})</f>
        <v>0.06</v>
      </c>
      <c r="AX8" s="96">
        <v>5.22</v>
      </c>
      <c r="AY8" s="90">
        <f t="shared" si="6"/>
        <v>0</v>
      </c>
      <c r="AZ8" s="54"/>
      <c r="BA8" s="91">
        <f t="shared" si="7"/>
        <v>4827.92</v>
      </c>
      <c r="BB8" s="92"/>
      <c r="BC8" s="97"/>
    </row>
    <row r="9" s="4" customFormat="1" ht="24" customHeight="1" spans="1:55">
      <c r="A9" s="23"/>
      <c r="B9" s="24" t="s">
        <v>76</v>
      </c>
      <c r="C9" s="25"/>
      <c r="D9" s="26"/>
      <c r="E9" s="26"/>
      <c r="F9" s="26"/>
      <c r="G9" s="22"/>
      <c r="H9" s="22"/>
      <c r="I9" s="26"/>
      <c r="J9" s="44">
        <f>SUM(J7:J8)</f>
        <v>4200</v>
      </c>
      <c r="K9" s="44">
        <f t="shared" ref="K9:U9" si="10">SUM(K7:K8)</f>
        <v>5200</v>
      </c>
      <c r="L9" s="44">
        <f t="shared" si="10"/>
        <v>2930.15</v>
      </c>
      <c r="M9" s="44">
        <f t="shared" si="10"/>
        <v>400</v>
      </c>
      <c r="N9" s="44">
        <f t="shared" si="10"/>
        <v>200</v>
      </c>
      <c r="O9" s="44">
        <f t="shared" si="10"/>
        <v>0</v>
      </c>
      <c r="P9" s="44">
        <f t="shared" si="10"/>
        <v>80</v>
      </c>
      <c r="Q9" s="44">
        <f t="shared" si="10"/>
        <v>0</v>
      </c>
      <c r="R9" s="44">
        <f t="shared" si="10"/>
        <v>0</v>
      </c>
      <c r="S9" s="44">
        <f t="shared" si="10"/>
        <v>0</v>
      </c>
      <c r="T9" s="44">
        <f t="shared" si="10"/>
        <v>0</v>
      </c>
      <c r="U9" s="44">
        <f t="shared" si="10"/>
        <v>0</v>
      </c>
      <c r="V9" s="44">
        <f t="shared" ref="V9:BA9" si="11">SUM(V7:V8)</f>
        <v>13010.15</v>
      </c>
      <c r="W9" s="44">
        <f t="shared" si="11"/>
        <v>0</v>
      </c>
      <c r="X9" s="44">
        <f t="shared" si="11"/>
        <v>0</v>
      </c>
      <c r="Y9" s="44">
        <f t="shared" si="11"/>
        <v>0</v>
      </c>
      <c r="Z9" s="44">
        <f t="shared" si="11"/>
        <v>0</v>
      </c>
      <c r="AA9" s="44">
        <f t="shared" si="11"/>
        <v>0</v>
      </c>
      <c r="AB9" s="44">
        <f t="shared" si="11"/>
        <v>0</v>
      </c>
      <c r="AC9" s="44">
        <f t="shared" si="11"/>
        <v>0</v>
      </c>
      <c r="AD9" s="44">
        <f t="shared" si="11"/>
        <v>707.2</v>
      </c>
      <c r="AE9" s="44">
        <f t="shared" si="11"/>
        <v>176.8</v>
      </c>
      <c r="AF9" s="44">
        <f t="shared" si="11"/>
        <v>35.36</v>
      </c>
      <c r="AG9" s="44">
        <f t="shared" si="11"/>
        <v>294</v>
      </c>
      <c r="AH9" s="44">
        <f t="shared" si="11"/>
        <v>0</v>
      </c>
      <c r="AI9" s="44">
        <f t="shared" si="11"/>
        <v>1213.36</v>
      </c>
      <c r="AJ9" s="44">
        <f t="shared" si="11"/>
        <v>13778.37</v>
      </c>
      <c r="AK9" s="44">
        <f t="shared" si="11"/>
        <v>1213.36</v>
      </c>
      <c r="AL9" s="44">
        <f t="shared" si="11"/>
        <v>10000</v>
      </c>
      <c r="AM9" s="44">
        <f t="shared" si="11"/>
        <v>1000</v>
      </c>
      <c r="AN9" s="44">
        <f t="shared" si="11"/>
        <v>1000</v>
      </c>
      <c r="AO9" s="44">
        <f t="shared" si="11"/>
        <v>0</v>
      </c>
      <c r="AP9" s="44">
        <f t="shared" si="11"/>
        <v>0</v>
      </c>
      <c r="AQ9" s="44">
        <f t="shared" si="11"/>
        <v>0</v>
      </c>
      <c r="AR9" s="44">
        <f t="shared" si="11"/>
        <v>26788.52</v>
      </c>
      <c r="AS9" s="44">
        <f t="shared" si="11"/>
        <v>2426.72</v>
      </c>
      <c r="AT9" s="44">
        <f t="shared" si="11"/>
        <v>20000</v>
      </c>
      <c r="AU9" s="44">
        <f t="shared" si="11"/>
        <v>4000</v>
      </c>
      <c r="AV9" s="44">
        <f t="shared" si="11"/>
        <v>361.8</v>
      </c>
      <c r="AW9" s="44">
        <f t="shared" si="11"/>
        <v>10.86</v>
      </c>
      <c r="AX9" s="44">
        <f t="shared" si="11"/>
        <v>16.95</v>
      </c>
      <c r="AY9" s="44">
        <f t="shared" si="11"/>
        <v>0</v>
      </c>
      <c r="AZ9" s="44">
        <f t="shared" si="11"/>
        <v>0</v>
      </c>
      <c r="BA9" s="44">
        <f>SUM(BA7:BA8)</f>
        <v>11796.79</v>
      </c>
      <c r="BB9" s="95"/>
      <c r="BC9" s="98"/>
    </row>
    <row r="10" s="4" customFormat="1" ht="25" customHeight="1" spans="1:55">
      <c r="A10" s="19">
        <v>5</v>
      </c>
      <c r="B10" s="28" t="s">
        <v>77</v>
      </c>
      <c r="C10" s="21" t="s">
        <v>72</v>
      </c>
      <c r="D10" s="21" t="s">
        <v>78</v>
      </c>
      <c r="E10" s="21" t="s">
        <v>57</v>
      </c>
      <c r="F10" s="21" t="s">
        <v>58</v>
      </c>
      <c r="G10" s="22" t="s">
        <v>79</v>
      </c>
      <c r="H10" s="22" t="s">
        <v>80</v>
      </c>
      <c r="I10" s="21"/>
      <c r="J10" s="43">
        <v>7583.34</v>
      </c>
      <c r="K10" s="43"/>
      <c r="L10" s="43"/>
      <c r="M10" s="43"/>
      <c r="N10" s="43"/>
      <c r="O10" s="43"/>
      <c r="P10" s="43">
        <v>400</v>
      </c>
      <c r="Q10" s="43"/>
      <c r="R10" s="43"/>
      <c r="S10" s="43"/>
      <c r="T10" s="43"/>
      <c r="U10" s="43"/>
      <c r="V10" s="55">
        <f>SUM(J10:S10)-T10+U10</f>
        <v>7983.34</v>
      </c>
      <c r="W10" s="56"/>
      <c r="X10" s="56"/>
      <c r="Y10" s="56"/>
      <c r="Z10" s="56"/>
      <c r="AA10" s="56"/>
      <c r="AB10" s="56"/>
      <c r="AC10" s="43"/>
      <c r="AD10" s="67">
        <v>469.52</v>
      </c>
      <c r="AE10" s="56">
        <v>120.38</v>
      </c>
      <c r="AF10" s="56">
        <v>29.35</v>
      </c>
      <c r="AG10" s="43">
        <v>420</v>
      </c>
      <c r="AH10" s="43"/>
      <c r="AI10" s="43">
        <f>SUM(AD10:AH10)</f>
        <v>1039.25</v>
      </c>
      <c r="AJ10" s="76">
        <v>5756.08</v>
      </c>
      <c r="AK10" s="76">
        <v>582.08</v>
      </c>
      <c r="AL10" s="76">
        <v>5000</v>
      </c>
      <c r="AM10" s="76"/>
      <c r="AN10" s="76"/>
      <c r="AO10" s="76"/>
      <c r="AP10" s="76"/>
      <c r="AQ10" s="76"/>
      <c r="AR10" s="72">
        <f>V10+AJ10</f>
        <v>13739.42</v>
      </c>
      <c r="AS10" s="72">
        <f>AI10+AK10</f>
        <v>1621.33</v>
      </c>
      <c r="AT10" s="73">
        <f>AL10+5000</f>
        <v>10000</v>
      </c>
      <c r="AU10" s="73"/>
      <c r="AV10" s="72">
        <f>AR10-AS10-AT10-AU10</f>
        <v>2118.09</v>
      </c>
      <c r="AW10" s="90">
        <f>5*MAX(0,AV10*{0.6;2;4;5;6;7;9}%-{0;504;3384;6384;10584;17184;36384})</f>
        <v>63.54</v>
      </c>
      <c r="AX10" s="96">
        <v>5.22</v>
      </c>
      <c r="AY10" s="90">
        <f>IF(+AW10-AX10&gt;0,AW10-AX10,0)</f>
        <v>58.32</v>
      </c>
      <c r="AZ10" s="54"/>
      <c r="BA10" s="91">
        <f>V10-AI10-AY10</f>
        <v>6885.77</v>
      </c>
      <c r="BB10" s="92" t="s">
        <v>81</v>
      </c>
      <c r="BC10" s="97"/>
    </row>
    <row r="11" s="4" customFormat="1" ht="24" customHeight="1" spans="1:55">
      <c r="A11" s="23"/>
      <c r="B11" s="24" t="s">
        <v>82</v>
      </c>
      <c r="C11" s="25"/>
      <c r="D11" s="26"/>
      <c r="E11" s="26"/>
      <c r="F11" s="26"/>
      <c r="G11" s="22"/>
      <c r="H11" s="22"/>
      <c r="I11" s="26"/>
      <c r="J11" s="44">
        <f>SUM(J10)</f>
        <v>7583.34</v>
      </c>
      <c r="K11" s="44">
        <f t="shared" ref="K11:BA11" si="12">SUM(K10)</f>
        <v>0</v>
      </c>
      <c r="L11" s="44">
        <f t="shared" si="12"/>
        <v>0</v>
      </c>
      <c r="M11" s="44">
        <f t="shared" si="12"/>
        <v>0</v>
      </c>
      <c r="N11" s="44">
        <f t="shared" si="12"/>
        <v>0</v>
      </c>
      <c r="O11" s="44">
        <f t="shared" si="12"/>
        <v>0</v>
      </c>
      <c r="P11" s="44">
        <f t="shared" si="12"/>
        <v>400</v>
      </c>
      <c r="Q11" s="44">
        <f t="shared" si="12"/>
        <v>0</v>
      </c>
      <c r="R11" s="44">
        <f t="shared" si="12"/>
        <v>0</v>
      </c>
      <c r="S11" s="44">
        <f t="shared" si="12"/>
        <v>0</v>
      </c>
      <c r="T11" s="44">
        <f t="shared" si="12"/>
        <v>0</v>
      </c>
      <c r="U11" s="44">
        <f t="shared" si="12"/>
        <v>0</v>
      </c>
      <c r="V11" s="44">
        <f t="shared" si="12"/>
        <v>7983.34</v>
      </c>
      <c r="W11" s="44">
        <f t="shared" si="12"/>
        <v>0</v>
      </c>
      <c r="X11" s="44">
        <f t="shared" si="12"/>
        <v>0</v>
      </c>
      <c r="Y11" s="44">
        <f t="shared" si="12"/>
        <v>0</v>
      </c>
      <c r="Z11" s="44">
        <f t="shared" si="12"/>
        <v>0</v>
      </c>
      <c r="AA11" s="44">
        <f t="shared" si="12"/>
        <v>0</v>
      </c>
      <c r="AB11" s="44">
        <f t="shared" si="12"/>
        <v>0</v>
      </c>
      <c r="AC11" s="44">
        <f t="shared" si="12"/>
        <v>0</v>
      </c>
      <c r="AD11" s="44">
        <f t="shared" si="12"/>
        <v>469.52</v>
      </c>
      <c r="AE11" s="44">
        <f t="shared" si="12"/>
        <v>120.38</v>
      </c>
      <c r="AF11" s="44">
        <f t="shared" si="12"/>
        <v>29.35</v>
      </c>
      <c r="AG11" s="44">
        <f t="shared" si="12"/>
        <v>420</v>
      </c>
      <c r="AH11" s="44">
        <f t="shared" si="12"/>
        <v>0</v>
      </c>
      <c r="AI11" s="44">
        <f t="shared" si="12"/>
        <v>1039.25</v>
      </c>
      <c r="AJ11" s="44">
        <f t="shared" si="12"/>
        <v>5756.08</v>
      </c>
      <c r="AK11" s="44">
        <f t="shared" si="12"/>
        <v>582.08</v>
      </c>
      <c r="AL11" s="44">
        <f t="shared" si="12"/>
        <v>5000</v>
      </c>
      <c r="AM11" s="44">
        <f t="shared" si="12"/>
        <v>0</v>
      </c>
      <c r="AN11" s="44">
        <f t="shared" si="12"/>
        <v>0</v>
      </c>
      <c r="AO11" s="44">
        <f t="shared" si="12"/>
        <v>0</v>
      </c>
      <c r="AP11" s="44">
        <f t="shared" si="12"/>
        <v>0</v>
      </c>
      <c r="AQ11" s="44">
        <f t="shared" si="12"/>
        <v>0</v>
      </c>
      <c r="AR11" s="44">
        <f t="shared" si="12"/>
        <v>13739.42</v>
      </c>
      <c r="AS11" s="44">
        <f t="shared" si="12"/>
        <v>1621.33</v>
      </c>
      <c r="AT11" s="44">
        <f t="shared" si="12"/>
        <v>10000</v>
      </c>
      <c r="AU11" s="44">
        <f t="shared" si="12"/>
        <v>0</v>
      </c>
      <c r="AV11" s="44">
        <f t="shared" si="12"/>
        <v>2118.09</v>
      </c>
      <c r="AW11" s="44">
        <f t="shared" si="12"/>
        <v>63.54</v>
      </c>
      <c r="AX11" s="44">
        <f t="shared" si="12"/>
        <v>5.22</v>
      </c>
      <c r="AY11" s="44">
        <f t="shared" si="12"/>
        <v>58.32</v>
      </c>
      <c r="AZ11" s="44">
        <f t="shared" si="12"/>
        <v>0</v>
      </c>
      <c r="BA11" s="44">
        <f t="shared" si="12"/>
        <v>6885.77</v>
      </c>
      <c r="BB11" s="95"/>
      <c r="BC11" s="98"/>
    </row>
    <row r="12" s="5" customFormat="1" ht="25" customHeight="1" spans="1:54">
      <c r="A12" s="29">
        <v>6</v>
      </c>
      <c r="B12" s="30" t="s">
        <v>83</v>
      </c>
      <c r="C12" s="28" t="s">
        <v>84</v>
      </c>
      <c r="D12" s="28" t="s">
        <v>56</v>
      </c>
      <c r="E12" s="28" t="s">
        <v>57</v>
      </c>
      <c r="F12" s="28" t="s">
        <v>58</v>
      </c>
      <c r="G12" s="31" t="s">
        <v>85</v>
      </c>
      <c r="H12" s="31" t="s">
        <v>86</v>
      </c>
      <c r="I12" s="28"/>
      <c r="J12" s="45">
        <v>2100</v>
      </c>
      <c r="K12" s="45">
        <v>3500</v>
      </c>
      <c r="L12" s="45">
        <f>2670*0.999</f>
        <v>2667.33</v>
      </c>
      <c r="M12" s="45">
        <v>200</v>
      </c>
      <c r="N12" s="45">
        <v>100</v>
      </c>
      <c r="O12" s="45"/>
      <c r="P12" s="45">
        <v>80</v>
      </c>
      <c r="Q12" s="45"/>
      <c r="R12" s="45"/>
      <c r="S12" s="43"/>
      <c r="T12" s="45"/>
      <c r="U12" s="45"/>
      <c r="V12" s="58">
        <f>SUM(J12:S12)-T12+U12</f>
        <v>8647.33</v>
      </c>
      <c r="W12" s="59">
        <v>431.52</v>
      </c>
      <c r="X12" s="59">
        <v>19.42</v>
      </c>
      <c r="Y12" s="59">
        <v>210.34</v>
      </c>
      <c r="Z12" s="59">
        <v>32.36</v>
      </c>
      <c r="AA12" s="59">
        <v>7.28</v>
      </c>
      <c r="AB12" s="59">
        <v>25.89</v>
      </c>
      <c r="AC12" s="45">
        <v>119</v>
      </c>
      <c r="AD12" s="21">
        <v>365.6</v>
      </c>
      <c r="AE12" s="21">
        <v>91.4</v>
      </c>
      <c r="AF12" s="21">
        <v>18.28</v>
      </c>
      <c r="AG12" s="43">
        <v>156</v>
      </c>
      <c r="AH12" s="43"/>
      <c r="AI12" s="45">
        <f>SUM(AD12:AH12)</f>
        <v>631.28</v>
      </c>
      <c r="AJ12" s="77">
        <v>9241.03</v>
      </c>
      <c r="AK12" s="77">
        <v>631.28</v>
      </c>
      <c r="AL12" s="77">
        <v>5000</v>
      </c>
      <c r="AM12" s="77">
        <v>1000</v>
      </c>
      <c r="AN12" s="77">
        <v>1000</v>
      </c>
      <c r="AO12" s="77"/>
      <c r="AP12" s="77"/>
      <c r="AQ12" s="77"/>
      <c r="AR12" s="85">
        <f>V12+AJ12</f>
        <v>17888.36</v>
      </c>
      <c r="AS12" s="85">
        <f t="shared" ref="AS12:AS30" si="13">AI12+AK12</f>
        <v>1262.56</v>
      </c>
      <c r="AT12" s="86">
        <f>AL12+5000</f>
        <v>10000</v>
      </c>
      <c r="AU12" s="86">
        <f>AM12+AN12+2000</f>
        <v>4000</v>
      </c>
      <c r="AV12" s="85">
        <f>AR12-AS12-AT12-AU12</f>
        <v>2625.8</v>
      </c>
      <c r="AW12" s="90">
        <f>5*MAX(0,AV12*{0.6;2;4;5;6;7;9}%-{0;504;3384;6384;10584;17184;36384})</f>
        <v>78.77</v>
      </c>
      <c r="AX12" s="99">
        <v>48.29</v>
      </c>
      <c r="AY12" s="90">
        <f>IF(+AW12-AX12&gt;0,AW12-AX12,0)</f>
        <v>30.48</v>
      </c>
      <c r="AZ12" s="100"/>
      <c r="BA12" s="101">
        <f>V12-AI12-AY12</f>
        <v>7985.57</v>
      </c>
      <c r="BB12" s="102"/>
    </row>
    <row r="13" s="5" customFormat="1" ht="25" customHeight="1" spans="1:54">
      <c r="A13" s="29">
        <v>7</v>
      </c>
      <c r="B13" s="30" t="s">
        <v>87</v>
      </c>
      <c r="C13" s="28" t="s">
        <v>84</v>
      </c>
      <c r="D13" s="28" t="s">
        <v>88</v>
      </c>
      <c r="E13" s="28" t="s">
        <v>89</v>
      </c>
      <c r="F13" s="28" t="s">
        <v>90</v>
      </c>
      <c r="G13" s="31" t="s">
        <v>91</v>
      </c>
      <c r="H13" s="31" t="s">
        <v>92</v>
      </c>
      <c r="I13" s="28"/>
      <c r="J13" s="45">
        <v>2100</v>
      </c>
      <c r="K13" s="45">
        <f>400</f>
        <v>400</v>
      </c>
      <c r="L13" s="45">
        <f>300</f>
        <v>300</v>
      </c>
      <c r="M13" s="45">
        <v>200</v>
      </c>
      <c r="N13" s="45">
        <v>100</v>
      </c>
      <c r="O13" s="45">
        <f>100</f>
        <v>100</v>
      </c>
      <c r="P13" s="45">
        <v>80</v>
      </c>
      <c r="Q13" s="45"/>
      <c r="R13" s="43">
        <f>J13/21.75/8*0.5*1.5+J13/21.75/8*16*2</f>
        <v>395.26</v>
      </c>
      <c r="S13" s="45">
        <v>300</v>
      </c>
      <c r="T13" s="45"/>
      <c r="U13" s="45"/>
      <c r="V13" s="58">
        <f>SUM(J13:S13)-T13+U13</f>
        <v>3975.26</v>
      </c>
      <c r="W13" s="59">
        <v>431.52</v>
      </c>
      <c r="X13" s="59">
        <v>19.42</v>
      </c>
      <c r="Y13" s="59">
        <v>210.34</v>
      </c>
      <c r="Z13" s="59">
        <v>32.36</v>
      </c>
      <c r="AA13" s="59">
        <v>7.28</v>
      </c>
      <c r="AB13" s="59">
        <v>25.89</v>
      </c>
      <c r="AC13" s="59">
        <v>107</v>
      </c>
      <c r="AD13" s="68">
        <v>325.68</v>
      </c>
      <c r="AE13" s="59">
        <v>81.42</v>
      </c>
      <c r="AF13" s="59">
        <v>16.28</v>
      </c>
      <c r="AG13" s="45">
        <v>126</v>
      </c>
      <c r="AH13" s="45"/>
      <c r="AI13" s="45">
        <f t="shared" ref="AI13:AI40" si="14">SUM(AD13:AH13)</f>
        <v>549.38</v>
      </c>
      <c r="AJ13" s="77">
        <v>2625.46</v>
      </c>
      <c r="AK13" s="77">
        <v>549.38</v>
      </c>
      <c r="AL13" s="77">
        <v>5000</v>
      </c>
      <c r="AM13" s="77"/>
      <c r="AN13" s="77"/>
      <c r="AO13" s="77"/>
      <c r="AP13" s="77"/>
      <c r="AQ13" s="77"/>
      <c r="AR13" s="85">
        <f>V13+AJ13</f>
        <v>6600.72</v>
      </c>
      <c r="AS13" s="85">
        <f t="shared" si="13"/>
        <v>1098.76</v>
      </c>
      <c r="AT13" s="86">
        <f>AL13+5000</f>
        <v>10000</v>
      </c>
      <c r="AU13" s="86"/>
      <c r="AV13" s="85">
        <f>AR13-AS13-AT13-AU13</f>
        <v>-4498.04</v>
      </c>
      <c r="AW13" s="90">
        <f>5*MAX(0,AV13*{0.6;2;4;5;6;7;9}%-{0;504;3384;6384;10584;17184;36384})</f>
        <v>0</v>
      </c>
      <c r="AX13" s="99"/>
      <c r="AY13" s="90">
        <f>IF(+AW13-AX13&gt;0,AW13-AX13,0)</f>
        <v>0</v>
      </c>
      <c r="AZ13" s="100"/>
      <c r="BA13" s="101">
        <f>V13-AI13-AY13</f>
        <v>3425.88</v>
      </c>
      <c r="BB13" s="102"/>
    </row>
    <row r="14" s="5" customFormat="1" ht="25" customHeight="1" spans="1:54">
      <c r="A14" s="29">
        <v>8</v>
      </c>
      <c r="B14" s="30" t="s">
        <v>93</v>
      </c>
      <c r="C14" s="28" t="s">
        <v>84</v>
      </c>
      <c r="D14" s="28" t="s">
        <v>94</v>
      </c>
      <c r="E14" s="28" t="s">
        <v>89</v>
      </c>
      <c r="F14" s="28" t="s">
        <v>90</v>
      </c>
      <c r="G14" s="31" t="s">
        <v>95</v>
      </c>
      <c r="H14" s="31" t="s">
        <v>96</v>
      </c>
      <c r="I14" s="28"/>
      <c r="J14" s="45">
        <f>2100</f>
        <v>2100</v>
      </c>
      <c r="K14" s="45">
        <f>700</f>
        <v>700</v>
      </c>
      <c r="L14" s="45">
        <f>500</f>
        <v>500</v>
      </c>
      <c r="M14" s="45">
        <v>200</v>
      </c>
      <c r="N14" s="45">
        <v>100</v>
      </c>
      <c r="O14" s="45">
        <v>0</v>
      </c>
      <c r="P14" s="45">
        <v>60</v>
      </c>
      <c r="Q14" s="45"/>
      <c r="R14" s="43">
        <f>J14/21.75/8*0.5*1.5+J14/21.75/8*3.5*2</f>
        <v>93.53</v>
      </c>
      <c r="S14" s="45">
        <v>300</v>
      </c>
      <c r="T14" s="45"/>
      <c r="U14" s="60"/>
      <c r="V14" s="58">
        <f>SUM(J14:S14)-T14+U14</f>
        <v>4053.53</v>
      </c>
      <c r="W14" s="59">
        <v>431.52</v>
      </c>
      <c r="X14" s="59">
        <v>19.42</v>
      </c>
      <c r="Y14" s="59">
        <v>210.34</v>
      </c>
      <c r="Z14" s="59">
        <v>32.36</v>
      </c>
      <c r="AA14" s="59">
        <v>7.28</v>
      </c>
      <c r="AB14" s="59">
        <v>25.89</v>
      </c>
      <c r="AC14" s="59">
        <v>107</v>
      </c>
      <c r="AD14" s="68"/>
      <c r="AE14" s="59"/>
      <c r="AF14" s="59"/>
      <c r="AG14" s="45"/>
      <c r="AH14" s="45"/>
      <c r="AI14" s="45">
        <f t="shared" si="14"/>
        <v>0</v>
      </c>
      <c r="AJ14" s="77">
        <v>2723.63</v>
      </c>
      <c r="AK14" s="77">
        <v>549.38</v>
      </c>
      <c r="AL14" s="77">
        <v>5000</v>
      </c>
      <c r="AM14" s="78"/>
      <c r="AN14" s="78"/>
      <c r="AO14" s="78"/>
      <c r="AP14" s="78"/>
      <c r="AQ14" s="78"/>
      <c r="AR14" s="85">
        <f>V14+AJ14</f>
        <v>6777.16</v>
      </c>
      <c r="AS14" s="85">
        <f t="shared" si="13"/>
        <v>549.38</v>
      </c>
      <c r="AT14" s="86">
        <f>AL14+5000</f>
        <v>10000</v>
      </c>
      <c r="AU14" s="86"/>
      <c r="AV14" s="85">
        <f>AR14-AS14-AT14-AU14</f>
        <v>-3772.22</v>
      </c>
      <c r="AW14" s="90">
        <f>5*MAX(0,AV14*{0.6;2;4;5;6;7;9}%-{0;504;3384;6384;10584;17184;36384})</f>
        <v>0</v>
      </c>
      <c r="AX14" s="99"/>
      <c r="AY14" s="90">
        <f>IF(+AW14-AX14&gt;0,AW14-AX14,0)</f>
        <v>0</v>
      </c>
      <c r="AZ14" s="100"/>
      <c r="BA14" s="101">
        <f>V14-AI14-AY14</f>
        <v>4053.53</v>
      </c>
      <c r="BB14" s="102"/>
    </row>
    <row r="15" s="5" customFormat="1" ht="25" customHeight="1" spans="1:54">
      <c r="A15" s="29">
        <v>9</v>
      </c>
      <c r="B15" s="30" t="s">
        <v>97</v>
      </c>
      <c r="C15" s="28" t="s">
        <v>84</v>
      </c>
      <c r="D15" s="28" t="s">
        <v>88</v>
      </c>
      <c r="E15" s="28" t="s">
        <v>89</v>
      </c>
      <c r="F15" s="28" t="s">
        <v>90</v>
      </c>
      <c r="G15" s="31" t="s">
        <v>98</v>
      </c>
      <c r="H15" s="31" t="s">
        <v>99</v>
      </c>
      <c r="I15" s="28"/>
      <c r="J15" s="45">
        <v>2100</v>
      </c>
      <c r="K15" s="45">
        <f>200</f>
        <v>200</v>
      </c>
      <c r="L15" s="45">
        <f>300</f>
        <v>300</v>
      </c>
      <c r="M15" s="45">
        <v>200</v>
      </c>
      <c r="N15" s="45">
        <v>100</v>
      </c>
      <c r="O15" s="45">
        <f>100</f>
        <v>100</v>
      </c>
      <c r="P15" s="45">
        <v>60</v>
      </c>
      <c r="Q15" s="45"/>
      <c r="R15" s="43">
        <f>J15/21.75/8*0.5*1.5+J15/21.75/8*16*2</f>
        <v>395.26</v>
      </c>
      <c r="S15" s="45">
        <v>300</v>
      </c>
      <c r="U15" s="60"/>
      <c r="V15" s="58">
        <f>SUM(J15:S15)-T15+U15</f>
        <v>3755.26</v>
      </c>
      <c r="W15" s="59">
        <v>431.52</v>
      </c>
      <c r="X15" s="59">
        <v>19.42</v>
      </c>
      <c r="Y15" s="59">
        <v>210.34</v>
      </c>
      <c r="Z15" s="59">
        <v>32.36</v>
      </c>
      <c r="AA15" s="59">
        <v>7.28</v>
      </c>
      <c r="AB15" s="59">
        <v>25.89</v>
      </c>
      <c r="AC15" s="59">
        <v>107</v>
      </c>
      <c r="AD15" s="68">
        <v>325.68</v>
      </c>
      <c r="AE15" s="59">
        <v>81.42</v>
      </c>
      <c r="AF15" s="59">
        <v>16.28</v>
      </c>
      <c r="AG15" s="45">
        <v>126</v>
      </c>
      <c r="AH15" s="45"/>
      <c r="AI15" s="45">
        <f t="shared" si="14"/>
        <v>549.38</v>
      </c>
      <c r="AJ15" s="77">
        <v>2573.64</v>
      </c>
      <c r="AK15" s="77">
        <v>549.38</v>
      </c>
      <c r="AL15" s="77">
        <v>5000</v>
      </c>
      <c r="AM15" s="78"/>
      <c r="AN15" s="78"/>
      <c r="AO15" s="78"/>
      <c r="AP15" s="78"/>
      <c r="AQ15" s="78"/>
      <c r="AR15" s="85">
        <f>V15+AJ15</f>
        <v>6328.9</v>
      </c>
      <c r="AS15" s="85">
        <f t="shared" si="13"/>
        <v>1098.76</v>
      </c>
      <c r="AT15" s="86">
        <f>AL15+5000</f>
        <v>10000</v>
      </c>
      <c r="AU15" s="86"/>
      <c r="AV15" s="85">
        <f>AR15-AS15-AT15-AU15</f>
        <v>-4769.86</v>
      </c>
      <c r="AW15" s="90">
        <f>5*MAX(0,AV15*{0.6;2;4;5;6;7;9}%-{0;504;3384;6384;10584;17184;36384})</f>
        <v>0</v>
      </c>
      <c r="AX15" s="99"/>
      <c r="AY15" s="90">
        <f>IF(+AW15-AX15&gt;0,AW15-AX15,0)</f>
        <v>0</v>
      </c>
      <c r="AZ15" s="100"/>
      <c r="BA15" s="101">
        <f>V15-AI15-AY15</f>
        <v>3205.88</v>
      </c>
      <c r="BB15" s="103"/>
    </row>
    <row r="16" s="5" customFormat="1" ht="25" customHeight="1" spans="1:54">
      <c r="A16" s="29">
        <v>10</v>
      </c>
      <c r="B16" s="30" t="s">
        <v>100</v>
      </c>
      <c r="C16" s="28" t="s">
        <v>84</v>
      </c>
      <c r="D16" s="28" t="s">
        <v>101</v>
      </c>
      <c r="E16" s="28" t="s">
        <v>89</v>
      </c>
      <c r="F16" s="28" t="s">
        <v>90</v>
      </c>
      <c r="G16" s="31" t="s">
        <v>102</v>
      </c>
      <c r="H16" s="31" t="s">
        <v>103</v>
      </c>
      <c r="I16" s="28"/>
      <c r="J16" s="45">
        <v>2100</v>
      </c>
      <c r="K16" s="45">
        <f>200</f>
        <v>200</v>
      </c>
      <c r="L16" s="45">
        <f>300</f>
        <v>300</v>
      </c>
      <c r="M16" s="45">
        <v>200</v>
      </c>
      <c r="N16" s="45">
        <v>100</v>
      </c>
      <c r="O16" s="45">
        <f>100</f>
        <v>100</v>
      </c>
      <c r="P16" s="45">
        <v>60</v>
      </c>
      <c r="Q16" s="45"/>
      <c r="R16" s="43">
        <f>J16/21.75/8*1*1.5+J16/21.75/8*16*2</f>
        <v>404.31</v>
      </c>
      <c r="S16" s="45">
        <f t="shared" ref="S16:S20" si="15">300+400</f>
        <v>700</v>
      </c>
      <c r="T16" s="45"/>
      <c r="U16" s="60"/>
      <c r="V16" s="58">
        <f>SUM(J16:S16)-T16+U16</f>
        <v>4164.31</v>
      </c>
      <c r="W16" s="59">
        <v>431.52</v>
      </c>
      <c r="X16" s="59">
        <v>19.42</v>
      </c>
      <c r="Y16" s="59">
        <v>210.34</v>
      </c>
      <c r="Z16" s="59">
        <v>32.36</v>
      </c>
      <c r="AA16" s="59">
        <v>7.28</v>
      </c>
      <c r="AB16" s="59">
        <v>25.89</v>
      </c>
      <c r="AC16" s="59">
        <v>107</v>
      </c>
      <c r="AD16" s="68">
        <v>325.68</v>
      </c>
      <c r="AE16" s="59">
        <v>81.42</v>
      </c>
      <c r="AF16" s="59">
        <v>16.28</v>
      </c>
      <c r="AG16" s="45">
        <v>126</v>
      </c>
      <c r="AH16" s="45"/>
      <c r="AI16" s="45">
        <f t="shared" si="14"/>
        <v>549.38</v>
      </c>
      <c r="AJ16" s="77">
        <v>2532.72</v>
      </c>
      <c r="AK16" s="77">
        <v>549.38</v>
      </c>
      <c r="AL16" s="77">
        <v>5000</v>
      </c>
      <c r="AM16" s="78"/>
      <c r="AN16" s="78"/>
      <c r="AO16" s="78"/>
      <c r="AP16" s="78"/>
      <c r="AQ16" s="78"/>
      <c r="AR16" s="85">
        <f>V16+AJ16</f>
        <v>6697.03</v>
      </c>
      <c r="AS16" s="85">
        <f t="shared" si="13"/>
        <v>1098.76</v>
      </c>
      <c r="AT16" s="86">
        <f>AL16+5000</f>
        <v>10000</v>
      </c>
      <c r="AU16" s="86"/>
      <c r="AV16" s="85">
        <f>AR16-AS16-AT16-AU16</f>
        <v>-4401.73</v>
      </c>
      <c r="AW16" s="90">
        <f>5*MAX(0,AV16*{0.6;2;4;5;6;7;9}%-{0;504;3384;6384;10584;17184;36384})</f>
        <v>0</v>
      </c>
      <c r="AX16" s="99"/>
      <c r="AY16" s="90">
        <f>IF(+AW16-AX16&gt;0,AW16-AX16,0)</f>
        <v>0</v>
      </c>
      <c r="AZ16" s="100"/>
      <c r="BA16" s="101">
        <f>V16-AI16-AY16</f>
        <v>3614.93</v>
      </c>
      <c r="BB16" s="103"/>
    </row>
    <row r="17" s="5" customFormat="1" ht="25" customHeight="1" spans="1:54">
      <c r="A17" s="29">
        <v>11</v>
      </c>
      <c r="B17" s="30" t="s">
        <v>104</v>
      </c>
      <c r="C17" s="28" t="s">
        <v>84</v>
      </c>
      <c r="D17" s="28" t="s">
        <v>101</v>
      </c>
      <c r="E17" s="28" t="s">
        <v>89</v>
      </c>
      <c r="F17" s="28" t="s">
        <v>90</v>
      </c>
      <c r="G17" s="31" t="s">
        <v>105</v>
      </c>
      <c r="H17" s="31" t="s">
        <v>106</v>
      </c>
      <c r="I17" s="28"/>
      <c r="J17" s="45">
        <v>2100</v>
      </c>
      <c r="K17" s="45">
        <f>300</f>
        <v>300</v>
      </c>
      <c r="L17" s="45">
        <f>300</f>
        <v>300</v>
      </c>
      <c r="M17" s="45">
        <v>200</v>
      </c>
      <c r="N17" s="45">
        <v>100</v>
      </c>
      <c r="O17" s="45">
        <f>100</f>
        <v>100</v>
      </c>
      <c r="P17" s="45">
        <v>60</v>
      </c>
      <c r="Q17" s="45"/>
      <c r="R17" s="43">
        <f>J17/21.75/8*0.5*1.5+J17/21.75/8*9*2</f>
        <v>226.29</v>
      </c>
      <c r="S17" s="45">
        <f t="shared" si="15"/>
        <v>700</v>
      </c>
      <c r="T17" s="45"/>
      <c r="U17" s="60"/>
      <c r="V17" s="58">
        <f t="shared" ref="V17:V37" si="16">SUM(J17:S17)-T17+U17</f>
        <v>4086.29</v>
      </c>
      <c r="W17" s="59">
        <v>431.52</v>
      </c>
      <c r="X17" s="59">
        <v>19.42</v>
      </c>
      <c r="Y17" s="59">
        <v>210.34</v>
      </c>
      <c r="Z17" s="59">
        <v>32.36</v>
      </c>
      <c r="AA17" s="59">
        <v>7.28</v>
      </c>
      <c r="AB17" s="59">
        <v>25.89</v>
      </c>
      <c r="AC17" s="59">
        <v>107</v>
      </c>
      <c r="AD17" s="68">
        <v>325.68</v>
      </c>
      <c r="AE17" s="59">
        <v>81.42</v>
      </c>
      <c r="AF17" s="59">
        <v>16.28</v>
      </c>
      <c r="AG17" s="45">
        <v>126</v>
      </c>
      <c r="AH17" s="45"/>
      <c r="AI17" s="45">
        <f t="shared" si="14"/>
        <v>549.38</v>
      </c>
      <c r="AJ17" s="77">
        <v>2564.27</v>
      </c>
      <c r="AK17" s="77">
        <v>549.38</v>
      </c>
      <c r="AL17" s="77">
        <v>5000</v>
      </c>
      <c r="AM17" s="78"/>
      <c r="AN17" s="78"/>
      <c r="AO17" s="78"/>
      <c r="AP17" s="78"/>
      <c r="AQ17" s="78"/>
      <c r="AR17" s="85">
        <f t="shared" ref="AR17:AR37" si="17">V17+AJ17</f>
        <v>6650.56</v>
      </c>
      <c r="AS17" s="85">
        <f t="shared" si="13"/>
        <v>1098.76</v>
      </c>
      <c r="AT17" s="86">
        <f t="shared" ref="AT17:AT37" si="18">AL17+5000</f>
        <v>10000</v>
      </c>
      <c r="AU17" s="86"/>
      <c r="AV17" s="85">
        <f t="shared" ref="AV17:AV37" si="19">AR17-AS17-AT17-AU17</f>
        <v>-4448.2</v>
      </c>
      <c r="AW17" s="90">
        <f>5*MAX(0,AV17*{0.6;2;4;5;6;7;9}%-{0;504;3384;6384;10584;17184;36384})</f>
        <v>0</v>
      </c>
      <c r="AX17" s="99"/>
      <c r="AY17" s="90">
        <f t="shared" ref="AY17:AY37" si="20">IF(+AW17-AX17&gt;0,AW17-AX17,0)</f>
        <v>0</v>
      </c>
      <c r="AZ17" s="100"/>
      <c r="BA17" s="101">
        <f t="shared" ref="BA17:BA37" si="21">V17-AI17-AY17</f>
        <v>3536.91</v>
      </c>
      <c r="BB17" s="104"/>
    </row>
    <row r="18" s="5" customFormat="1" ht="25" customHeight="1" spans="1:54">
      <c r="A18" s="29">
        <v>12</v>
      </c>
      <c r="B18" s="30" t="s">
        <v>107</v>
      </c>
      <c r="C18" s="28" t="s">
        <v>84</v>
      </c>
      <c r="D18" s="28" t="s">
        <v>108</v>
      </c>
      <c r="E18" s="28" t="s">
        <v>57</v>
      </c>
      <c r="F18" s="28" t="s">
        <v>58</v>
      </c>
      <c r="G18" s="31" t="s">
        <v>109</v>
      </c>
      <c r="H18" s="31" t="s">
        <v>110</v>
      </c>
      <c r="I18" s="28"/>
      <c r="J18" s="45">
        <v>2100</v>
      </c>
      <c r="K18" s="45">
        <f>2200</f>
        <v>2200</v>
      </c>
      <c r="L18" s="45">
        <f>2000*0.999</f>
        <v>1998</v>
      </c>
      <c r="M18" s="45">
        <v>200</v>
      </c>
      <c r="N18" s="45">
        <v>100</v>
      </c>
      <c r="O18" s="45">
        <f>0</f>
        <v>0</v>
      </c>
      <c r="P18" s="45">
        <v>60</v>
      </c>
      <c r="Q18" s="45"/>
      <c r="R18" s="43"/>
      <c r="S18" s="43"/>
      <c r="T18" s="45"/>
      <c r="U18" s="60"/>
      <c r="V18" s="58">
        <f t="shared" si="16"/>
        <v>6658</v>
      </c>
      <c r="W18" s="59">
        <v>431.52</v>
      </c>
      <c r="X18" s="59">
        <v>19.42</v>
      </c>
      <c r="Y18" s="59">
        <v>210.34</v>
      </c>
      <c r="Z18" s="59">
        <v>32.36</v>
      </c>
      <c r="AA18" s="59">
        <v>7.28</v>
      </c>
      <c r="AB18" s="59">
        <v>25.89</v>
      </c>
      <c r="AC18" s="59">
        <v>107</v>
      </c>
      <c r="AD18" s="67">
        <v>341.6</v>
      </c>
      <c r="AE18" s="56">
        <v>85.4</v>
      </c>
      <c r="AF18" s="56">
        <v>17.08</v>
      </c>
      <c r="AG18" s="45">
        <v>138</v>
      </c>
      <c r="AH18" s="43"/>
      <c r="AI18" s="45">
        <f t="shared" si="14"/>
        <v>582.08</v>
      </c>
      <c r="AJ18" s="77">
        <v>6162</v>
      </c>
      <c r="AK18" s="77">
        <v>582.08</v>
      </c>
      <c r="AL18" s="77">
        <v>5000</v>
      </c>
      <c r="AM18" s="78"/>
      <c r="AN18" s="78"/>
      <c r="AO18" s="78"/>
      <c r="AP18" s="78"/>
      <c r="AQ18" s="78"/>
      <c r="AR18" s="85">
        <f t="shared" si="17"/>
        <v>12820</v>
      </c>
      <c r="AS18" s="85">
        <f t="shared" si="13"/>
        <v>1164.16</v>
      </c>
      <c r="AT18" s="86">
        <f t="shared" si="18"/>
        <v>10000</v>
      </c>
      <c r="AU18" s="86"/>
      <c r="AV18" s="85">
        <f t="shared" si="19"/>
        <v>1655.84</v>
      </c>
      <c r="AW18" s="90">
        <f>5*MAX(0,AV18*{0.6;2;4;5;6;7;9}%-{0;504;3384;6384;10584;17184;36384})</f>
        <v>49.68</v>
      </c>
      <c r="AX18" s="99">
        <v>17.4</v>
      </c>
      <c r="AY18" s="90">
        <f t="shared" si="20"/>
        <v>32.28</v>
      </c>
      <c r="AZ18" s="100"/>
      <c r="BA18" s="101">
        <f t="shared" si="21"/>
        <v>6043.64</v>
      </c>
      <c r="BB18" s="103" t="s">
        <v>111</v>
      </c>
    </row>
    <row r="19" s="5" customFormat="1" ht="25" customHeight="1" spans="1:54">
      <c r="A19" s="29">
        <v>13</v>
      </c>
      <c r="B19" s="30" t="s">
        <v>112</v>
      </c>
      <c r="C19" s="28" t="s">
        <v>84</v>
      </c>
      <c r="D19" s="28" t="s">
        <v>88</v>
      </c>
      <c r="E19" s="28" t="s">
        <v>89</v>
      </c>
      <c r="F19" s="28" t="s">
        <v>90</v>
      </c>
      <c r="G19" s="31" t="s">
        <v>113</v>
      </c>
      <c r="H19" s="31" t="s">
        <v>114</v>
      </c>
      <c r="I19" s="28"/>
      <c r="J19" s="45">
        <v>2100</v>
      </c>
      <c r="K19" s="45">
        <f>200</f>
        <v>200</v>
      </c>
      <c r="L19" s="45">
        <f>300</f>
        <v>300</v>
      </c>
      <c r="M19" s="45">
        <v>200</v>
      </c>
      <c r="N19" s="45">
        <v>100</v>
      </c>
      <c r="O19" s="45">
        <f>100</f>
        <v>100</v>
      </c>
      <c r="P19" s="45">
        <v>60</v>
      </c>
      <c r="Q19" s="45"/>
      <c r="R19" s="43">
        <f>J19/21.75/8*0*1.5+J19/21.75/8*9*2</f>
        <v>217.24</v>
      </c>
      <c r="S19" s="45">
        <v>300</v>
      </c>
      <c r="T19" s="45"/>
      <c r="U19" s="60"/>
      <c r="V19" s="58">
        <f t="shared" si="16"/>
        <v>3577.24</v>
      </c>
      <c r="W19" s="59">
        <v>431.52</v>
      </c>
      <c r="X19" s="59">
        <v>19.42</v>
      </c>
      <c r="Y19" s="59">
        <v>210.34</v>
      </c>
      <c r="Z19" s="59">
        <v>32.36</v>
      </c>
      <c r="AA19" s="59">
        <v>7.28</v>
      </c>
      <c r="AB19" s="59">
        <v>25.89</v>
      </c>
      <c r="AC19" s="59">
        <v>107</v>
      </c>
      <c r="AD19" s="68">
        <v>325.68</v>
      </c>
      <c r="AE19" s="59">
        <v>81.42</v>
      </c>
      <c r="AF19" s="59">
        <v>16.28</v>
      </c>
      <c r="AG19" s="45">
        <v>126</v>
      </c>
      <c r="AH19" s="45"/>
      <c r="AI19" s="45">
        <f t="shared" si="14"/>
        <v>549.38</v>
      </c>
      <c r="AJ19" s="77">
        <v>2517.39</v>
      </c>
      <c r="AK19" s="77">
        <v>549.38</v>
      </c>
      <c r="AL19" s="77">
        <v>5000</v>
      </c>
      <c r="AM19" s="78"/>
      <c r="AN19" s="78"/>
      <c r="AO19" s="78"/>
      <c r="AP19" s="78"/>
      <c r="AQ19" s="78"/>
      <c r="AR19" s="85">
        <f t="shared" si="17"/>
        <v>6094.63</v>
      </c>
      <c r="AS19" s="85">
        <f t="shared" si="13"/>
        <v>1098.76</v>
      </c>
      <c r="AT19" s="86">
        <f t="shared" si="18"/>
        <v>10000</v>
      </c>
      <c r="AU19" s="86"/>
      <c r="AV19" s="85">
        <f t="shared" si="19"/>
        <v>-5004.13</v>
      </c>
      <c r="AW19" s="90">
        <f>5*MAX(0,AV19*{0.6;2;4;5;6;7;9}%-{0;504;3384;6384;10584;17184;36384})</f>
        <v>0</v>
      </c>
      <c r="AX19" s="99"/>
      <c r="AY19" s="90">
        <f t="shared" si="20"/>
        <v>0</v>
      </c>
      <c r="AZ19" s="100"/>
      <c r="BA19" s="101">
        <f t="shared" si="21"/>
        <v>3027.86</v>
      </c>
      <c r="BB19" s="105"/>
    </row>
    <row r="20" s="5" customFormat="1" ht="25" customHeight="1" spans="1:54">
      <c r="A20" s="29">
        <v>14</v>
      </c>
      <c r="B20" s="30" t="s">
        <v>115</v>
      </c>
      <c r="C20" s="28" t="s">
        <v>84</v>
      </c>
      <c r="D20" s="28" t="s">
        <v>101</v>
      </c>
      <c r="E20" s="28" t="s">
        <v>89</v>
      </c>
      <c r="F20" s="28" t="s">
        <v>90</v>
      </c>
      <c r="G20" s="31" t="s">
        <v>116</v>
      </c>
      <c r="H20" s="31" t="s">
        <v>117</v>
      </c>
      <c r="I20" s="28"/>
      <c r="J20" s="45">
        <v>2100</v>
      </c>
      <c r="K20" s="45">
        <f>300</f>
        <v>300</v>
      </c>
      <c r="L20" s="45">
        <f>300</f>
        <v>300</v>
      </c>
      <c r="M20" s="45">
        <v>200</v>
      </c>
      <c r="N20" s="45">
        <v>100</v>
      </c>
      <c r="O20" s="45">
        <f>100</f>
        <v>100</v>
      </c>
      <c r="P20" s="45">
        <v>60</v>
      </c>
      <c r="Q20" s="45"/>
      <c r="R20" s="43">
        <f>J20/21.75/8*0.5*1.5+J20/21.75/8*8*2</f>
        <v>202.16</v>
      </c>
      <c r="S20" s="45">
        <f t="shared" si="15"/>
        <v>700</v>
      </c>
      <c r="T20" s="45"/>
      <c r="U20" s="60"/>
      <c r="V20" s="58">
        <f t="shared" si="16"/>
        <v>4062.16</v>
      </c>
      <c r="W20" s="59">
        <v>431.52</v>
      </c>
      <c r="X20" s="59">
        <v>19.42</v>
      </c>
      <c r="Y20" s="59">
        <v>210.34</v>
      </c>
      <c r="Z20" s="59">
        <v>32.36</v>
      </c>
      <c r="AA20" s="59">
        <v>7.28</v>
      </c>
      <c r="AB20" s="59">
        <v>25.89</v>
      </c>
      <c r="AC20" s="59">
        <v>107</v>
      </c>
      <c r="AD20" s="68">
        <v>325.68</v>
      </c>
      <c r="AE20" s="59">
        <v>81.42</v>
      </c>
      <c r="AF20" s="59">
        <v>16.28</v>
      </c>
      <c r="AG20" s="45">
        <v>126</v>
      </c>
      <c r="AH20" s="45"/>
      <c r="AI20" s="45">
        <f t="shared" si="14"/>
        <v>549.38</v>
      </c>
      <c r="AJ20" s="77">
        <v>2580.18</v>
      </c>
      <c r="AK20" s="77">
        <v>549.38</v>
      </c>
      <c r="AL20" s="77">
        <v>5000</v>
      </c>
      <c r="AM20" s="78"/>
      <c r="AN20" s="78"/>
      <c r="AO20" s="78"/>
      <c r="AP20" s="78"/>
      <c r="AQ20" s="78"/>
      <c r="AR20" s="85">
        <f t="shared" si="17"/>
        <v>6642.34</v>
      </c>
      <c r="AS20" s="85">
        <f t="shared" si="13"/>
        <v>1098.76</v>
      </c>
      <c r="AT20" s="86">
        <f t="shared" si="18"/>
        <v>10000</v>
      </c>
      <c r="AU20" s="86"/>
      <c r="AV20" s="85">
        <f t="shared" si="19"/>
        <v>-4456.42</v>
      </c>
      <c r="AW20" s="90">
        <f>5*MAX(0,AV20*{0.6;2;4;5;6;7;9}%-{0;504;3384;6384;10584;17184;36384})</f>
        <v>0</v>
      </c>
      <c r="AX20" s="99"/>
      <c r="AY20" s="90">
        <f t="shared" si="20"/>
        <v>0</v>
      </c>
      <c r="AZ20" s="100"/>
      <c r="BA20" s="101">
        <f t="shared" si="21"/>
        <v>3512.78</v>
      </c>
      <c r="BB20" s="104"/>
    </row>
    <row r="21" s="5" customFormat="1" ht="25" customHeight="1" spans="1:54">
      <c r="A21" s="29">
        <v>15</v>
      </c>
      <c r="B21" s="30" t="s">
        <v>118</v>
      </c>
      <c r="C21" s="28" t="s">
        <v>84</v>
      </c>
      <c r="D21" s="28" t="s">
        <v>88</v>
      </c>
      <c r="E21" s="28" t="s">
        <v>89</v>
      </c>
      <c r="F21" s="28" t="s">
        <v>90</v>
      </c>
      <c r="G21" s="31" t="str">
        <f>VLOOKUP(B21,[1]在职汇总!$E$3:$G$98,3,FALSE)</f>
        <v>510112197612194823</v>
      </c>
      <c r="H21" s="31" t="s">
        <v>119</v>
      </c>
      <c r="I21" s="28"/>
      <c r="J21" s="45">
        <v>2100</v>
      </c>
      <c r="K21" s="45">
        <f>200</f>
        <v>200</v>
      </c>
      <c r="L21" s="45">
        <f>300</f>
        <v>300</v>
      </c>
      <c r="M21" s="45">
        <v>200</v>
      </c>
      <c r="N21" s="45">
        <v>100</v>
      </c>
      <c r="O21" s="45">
        <f>100</f>
        <v>100</v>
      </c>
      <c r="P21" s="45">
        <v>60</v>
      </c>
      <c r="Q21" s="45"/>
      <c r="R21" s="43">
        <f>J21/21.75/8*0.5*1.5+J21/21.75/8*24*2</f>
        <v>588.36</v>
      </c>
      <c r="S21" s="45">
        <v>300</v>
      </c>
      <c r="T21" s="45"/>
      <c r="U21" s="60"/>
      <c r="V21" s="58">
        <f t="shared" si="16"/>
        <v>3948.36</v>
      </c>
      <c r="W21" s="59">
        <v>431.52</v>
      </c>
      <c r="X21" s="59">
        <v>19.42</v>
      </c>
      <c r="Y21" s="59">
        <v>210.34</v>
      </c>
      <c r="Z21" s="59">
        <v>32.36</v>
      </c>
      <c r="AA21" s="59">
        <v>7.28</v>
      </c>
      <c r="AB21" s="59">
        <v>25.89</v>
      </c>
      <c r="AC21" s="59">
        <v>107</v>
      </c>
      <c r="AD21" s="68">
        <v>325.68</v>
      </c>
      <c r="AE21" s="59">
        <v>81.42</v>
      </c>
      <c r="AF21" s="59">
        <v>16.28</v>
      </c>
      <c r="AG21" s="45">
        <v>126</v>
      </c>
      <c r="AH21" s="45"/>
      <c r="AI21" s="45">
        <f t="shared" si="14"/>
        <v>549.38</v>
      </c>
      <c r="AJ21" s="77">
        <v>2534.44</v>
      </c>
      <c r="AK21" s="77">
        <v>549.38</v>
      </c>
      <c r="AL21" s="77">
        <v>5000</v>
      </c>
      <c r="AM21" s="78"/>
      <c r="AN21" s="78"/>
      <c r="AO21" s="78"/>
      <c r="AP21" s="78"/>
      <c r="AQ21" s="78"/>
      <c r="AR21" s="85">
        <f t="shared" si="17"/>
        <v>6482.8</v>
      </c>
      <c r="AS21" s="85">
        <f t="shared" si="13"/>
        <v>1098.76</v>
      </c>
      <c r="AT21" s="86">
        <f t="shared" si="18"/>
        <v>10000</v>
      </c>
      <c r="AU21" s="86"/>
      <c r="AV21" s="85">
        <f t="shared" si="19"/>
        <v>-4615.96</v>
      </c>
      <c r="AW21" s="90">
        <f>5*MAX(0,AV21*{0.6;2;4;5;6;7;9}%-{0;504;3384;6384;10584;17184;36384})</f>
        <v>0</v>
      </c>
      <c r="AX21" s="99"/>
      <c r="AY21" s="90">
        <f t="shared" si="20"/>
        <v>0</v>
      </c>
      <c r="AZ21" s="100"/>
      <c r="BA21" s="101">
        <f t="shared" si="21"/>
        <v>3398.98</v>
      </c>
      <c r="BB21" s="104"/>
    </row>
    <row r="22" s="5" customFormat="1" ht="25" customHeight="1" spans="1:54">
      <c r="A22" s="29">
        <v>16</v>
      </c>
      <c r="B22" s="30" t="s">
        <v>120</v>
      </c>
      <c r="C22" s="28" t="s">
        <v>84</v>
      </c>
      <c r="D22" s="28" t="s">
        <v>88</v>
      </c>
      <c r="E22" s="28" t="s">
        <v>89</v>
      </c>
      <c r="F22" s="28" t="s">
        <v>90</v>
      </c>
      <c r="G22" s="31" t="str">
        <f>VLOOKUP(B22,[1]在职汇总!$E$3:$G$98,3,FALSE)</f>
        <v>510122197903022362</v>
      </c>
      <c r="H22" s="111" t="s">
        <v>121</v>
      </c>
      <c r="I22" s="28"/>
      <c r="J22" s="45">
        <v>2100</v>
      </c>
      <c r="K22" s="45">
        <f>400</f>
        <v>400</v>
      </c>
      <c r="L22" s="45">
        <f>300</f>
        <v>300</v>
      </c>
      <c r="M22" s="45">
        <v>200</v>
      </c>
      <c r="N22" s="45">
        <v>100</v>
      </c>
      <c r="O22" s="45">
        <f>100</f>
        <v>100</v>
      </c>
      <c r="P22" s="45">
        <v>60</v>
      </c>
      <c r="Q22" s="45"/>
      <c r="R22" s="43">
        <f>J22/21.75/8*0.5*1.5+J22/21.75/8*17*2</f>
        <v>419.4</v>
      </c>
      <c r="S22" s="45">
        <v>300</v>
      </c>
      <c r="T22" s="45"/>
      <c r="U22" s="45"/>
      <c r="V22" s="58">
        <f t="shared" si="16"/>
        <v>3979.4</v>
      </c>
      <c r="W22" s="59">
        <v>431.52</v>
      </c>
      <c r="X22" s="59">
        <v>19.42</v>
      </c>
      <c r="Y22" s="59">
        <v>210.34</v>
      </c>
      <c r="Z22" s="59">
        <v>32.36</v>
      </c>
      <c r="AA22" s="59">
        <v>7.28</v>
      </c>
      <c r="AB22" s="59">
        <v>25.89</v>
      </c>
      <c r="AC22" s="59">
        <v>107</v>
      </c>
      <c r="AD22" s="68">
        <v>325.68</v>
      </c>
      <c r="AE22" s="59">
        <v>81.42</v>
      </c>
      <c r="AF22" s="59">
        <v>16.28</v>
      </c>
      <c r="AG22" s="45">
        <v>126</v>
      </c>
      <c r="AH22" s="45"/>
      <c r="AI22" s="45">
        <f t="shared" si="14"/>
        <v>549.38</v>
      </c>
      <c r="AJ22" s="77">
        <v>2610</v>
      </c>
      <c r="AK22" s="77">
        <v>549.38</v>
      </c>
      <c r="AL22" s="77">
        <v>5000</v>
      </c>
      <c r="AM22" s="78"/>
      <c r="AN22" s="78"/>
      <c r="AO22" s="78"/>
      <c r="AP22" s="78"/>
      <c r="AQ22" s="78"/>
      <c r="AR22" s="85">
        <f t="shared" si="17"/>
        <v>6589.4</v>
      </c>
      <c r="AS22" s="85">
        <f t="shared" si="13"/>
        <v>1098.76</v>
      </c>
      <c r="AT22" s="86">
        <f t="shared" si="18"/>
        <v>10000</v>
      </c>
      <c r="AU22" s="86"/>
      <c r="AV22" s="85">
        <f t="shared" si="19"/>
        <v>-4509.36</v>
      </c>
      <c r="AW22" s="90">
        <f>5*MAX(0,AV22*{0.6;2;4;5;6;7;9}%-{0;504;3384;6384;10584;17184;36384})</f>
        <v>0</v>
      </c>
      <c r="AX22" s="99"/>
      <c r="AY22" s="90">
        <f t="shared" si="20"/>
        <v>0</v>
      </c>
      <c r="AZ22" s="100"/>
      <c r="BA22" s="101">
        <f t="shared" si="21"/>
        <v>3430.02</v>
      </c>
      <c r="BB22" s="104"/>
    </row>
    <row r="23" s="5" customFormat="1" ht="25" customHeight="1" spans="1:54">
      <c r="A23" s="29">
        <v>17</v>
      </c>
      <c r="B23" s="30" t="s">
        <v>122</v>
      </c>
      <c r="C23" s="28" t="s">
        <v>84</v>
      </c>
      <c r="D23" s="28" t="s">
        <v>123</v>
      </c>
      <c r="E23" s="28" t="s">
        <v>89</v>
      </c>
      <c r="F23" s="28" t="s">
        <v>90</v>
      </c>
      <c r="G23" s="31" t="s">
        <v>124</v>
      </c>
      <c r="H23" s="111" t="s">
        <v>125</v>
      </c>
      <c r="I23" s="28"/>
      <c r="J23" s="45">
        <v>2100</v>
      </c>
      <c r="K23" s="45">
        <f>600</f>
        <v>600</v>
      </c>
      <c r="L23" s="45">
        <f>400</f>
        <v>400</v>
      </c>
      <c r="M23" s="45">
        <v>200</v>
      </c>
      <c r="N23" s="45">
        <v>100</v>
      </c>
      <c r="O23" s="45"/>
      <c r="P23" s="45">
        <v>60</v>
      </c>
      <c r="Q23" s="45"/>
      <c r="R23" s="43">
        <f>J23/21.75/8*0*1.5+J23/21.75/8*16*2</f>
        <v>386.21</v>
      </c>
      <c r="S23" s="45">
        <v>300</v>
      </c>
      <c r="T23" s="45"/>
      <c r="U23" s="45"/>
      <c r="V23" s="58">
        <f t="shared" si="16"/>
        <v>4146.21</v>
      </c>
      <c r="W23" s="59">
        <v>431.52</v>
      </c>
      <c r="X23" s="59">
        <v>19.42</v>
      </c>
      <c r="Y23" s="59">
        <v>210.34</v>
      </c>
      <c r="Z23" s="59">
        <v>32.36</v>
      </c>
      <c r="AA23" s="59">
        <v>7.28</v>
      </c>
      <c r="AB23" s="59">
        <v>25.89</v>
      </c>
      <c r="AC23" s="59">
        <v>107</v>
      </c>
      <c r="AD23" s="68">
        <v>325.68</v>
      </c>
      <c r="AE23" s="59">
        <v>81.42</v>
      </c>
      <c r="AF23" s="59">
        <v>16.28</v>
      </c>
      <c r="AG23" s="45">
        <v>126</v>
      </c>
      <c r="AH23" s="45"/>
      <c r="AI23" s="45">
        <f t="shared" si="14"/>
        <v>549.38</v>
      </c>
      <c r="AJ23" s="77">
        <v>2691.82</v>
      </c>
      <c r="AK23" s="77">
        <v>549.38</v>
      </c>
      <c r="AL23" s="77">
        <v>5000</v>
      </c>
      <c r="AM23" s="78"/>
      <c r="AN23" s="78"/>
      <c r="AO23" s="78"/>
      <c r="AP23" s="78"/>
      <c r="AQ23" s="78"/>
      <c r="AR23" s="85">
        <f t="shared" si="17"/>
        <v>6838.03</v>
      </c>
      <c r="AS23" s="85">
        <f t="shared" si="13"/>
        <v>1098.76</v>
      </c>
      <c r="AT23" s="86">
        <f t="shared" si="18"/>
        <v>10000</v>
      </c>
      <c r="AU23" s="86"/>
      <c r="AV23" s="85">
        <f t="shared" si="19"/>
        <v>-4260.73</v>
      </c>
      <c r="AW23" s="90">
        <f>5*MAX(0,AV23*{0.6;2;4;5;6;7;9}%-{0;504;3384;6384;10584;17184;36384})</f>
        <v>0</v>
      </c>
      <c r="AX23" s="99"/>
      <c r="AY23" s="90">
        <f t="shared" si="20"/>
        <v>0</v>
      </c>
      <c r="AZ23" s="100"/>
      <c r="BA23" s="101">
        <f t="shared" si="21"/>
        <v>3596.83</v>
      </c>
      <c r="BB23" s="104"/>
    </row>
    <row r="24" s="5" customFormat="1" ht="25" customHeight="1" spans="1:54">
      <c r="A24" s="29">
        <v>18</v>
      </c>
      <c r="B24" s="30" t="s">
        <v>126</v>
      </c>
      <c r="C24" s="28" t="s">
        <v>84</v>
      </c>
      <c r="D24" s="28" t="s">
        <v>88</v>
      </c>
      <c r="E24" s="28" t="s">
        <v>89</v>
      </c>
      <c r="F24" s="28" t="s">
        <v>90</v>
      </c>
      <c r="G24" s="31" t="s">
        <v>127</v>
      </c>
      <c r="H24" s="31" t="s">
        <v>128</v>
      </c>
      <c r="I24" s="28"/>
      <c r="J24" s="45">
        <v>2100</v>
      </c>
      <c r="K24" s="45">
        <f>400</f>
        <v>400</v>
      </c>
      <c r="L24" s="45">
        <f>300</f>
        <v>300</v>
      </c>
      <c r="M24" s="45">
        <v>200</v>
      </c>
      <c r="N24" s="45">
        <v>100</v>
      </c>
      <c r="O24" s="45">
        <f>100</f>
        <v>100</v>
      </c>
      <c r="P24" s="45">
        <v>40</v>
      </c>
      <c r="Q24" s="45"/>
      <c r="R24" s="43">
        <f>J24/21.75/8*0.5*1.5+J24/21.75/8*1*2</f>
        <v>33.19</v>
      </c>
      <c r="S24" s="45">
        <v>300</v>
      </c>
      <c r="T24" s="45"/>
      <c r="U24" s="45"/>
      <c r="V24" s="58">
        <f t="shared" si="16"/>
        <v>3573.19</v>
      </c>
      <c r="W24" s="59"/>
      <c r="X24" s="59"/>
      <c r="Y24" s="59"/>
      <c r="Z24" s="59"/>
      <c r="AA24" s="59"/>
      <c r="AB24" s="59"/>
      <c r="AC24" s="59"/>
      <c r="AD24" s="68">
        <v>325.68</v>
      </c>
      <c r="AE24" s="59">
        <v>81.42</v>
      </c>
      <c r="AF24" s="59">
        <v>16.28</v>
      </c>
      <c r="AG24" s="45">
        <v>126</v>
      </c>
      <c r="AH24" s="45"/>
      <c r="AI24" s="45">
        <f t="shared" si="14"/>
        <v>549.38</v>
      </c>
      <c r="AJ24" s="77">
        <v>2565.01</v>
      </c>
      <c r="AK24" s="77">
        <v>549.38</v>
      </c>
      <c r="AL24" s="77">
        <v>5000</v>
      </c>
      <c r="AM24" s="78"/>
      <c r="AN24" s="78"/>
      <c r="AO24" s="78"/>
      <c r="AP24" s="78"/>
      <c r="AQ24" s="78"/>
      <c r="AR24" s="85">
        <f t="shared" si="17"/>
        <v>6138.2</v>
      </c>
      <c r="AS24" s="85">
        <f t="shared" si="13"/>
        <v>1098.76</v>
      </c>
      <c r="AT24" s="86">
        <f t="shared" si="18"/>
        <v>10000</v>
      </c>
      <c r="AU24" s="86"/>
      <c r="AV24" s="85">
        <f t="shared" si="19"/>
        <v>-4960.56</v>
      </c>
      <c r="AW24" s="90">
        <f>5*MAX(0,AV24*{0.6;2;4;5;6;7;9}%-{0;504;3384;6384;10584;17184;36384})</f>
        <v>0</v>
      </c>
      <c r="AX24" s="99"/>
      <c r="AY24" s="90">
        <f t="shared" si="20"/>
        <v>0</v>
      </c>
      <c r="AZ24" s="100"/>
      <c r="BA24" s="101">
        <f t="shared" si="21"/>
        <v>3023.81</v>
      </c>
      <c r="BB24" s="102"/>
    </row>
    <row r="25" s="5" customFormat="1" ht="25" customHeight="1" spans="1:54">
      <c r="A25" s="29">
        <v>19</v>
      </c>
      <c r="B25" s="30" t="s">
        <v>129</v>
      </c>
      <c r="C25" s="28" t="s">
        <v>84</v>
      </c>
      <c r="D25" s="28" t="s">
        <v>88</v>
      </c>
      <c r="E25" s="28" t="s">
        <v>89</v>
      </c>
      <c r="F25" s="28" t="s">
        <v>90</v>
      </c>
      <c r="G25" s="31" t="s">
        <v>130</v>
      </c>
      <c r="H25" s="31" t="s">
        <v>131</v>
      </c>
      <c r="I25" s="28"/>
      <c r="J25" s="45">
        <v>2100</v>
      </c>
      <c r="K25" s="45">
        <f>200</f>
        <v>200</v>
      </c>
      <c r="L25" s="45">
        <f>300</f>
        <v>300</v>
      </c>
      <c r="M25" s="45">
        <v>200</v>
      </c>
      <c r="N25" s="45">
        <v>100</v>
      </c>
      <c r="O25" s="45">
        <f>100</f>
        <v>100</v>
      </c>
      <c r="P25" s="45">
        <v>40</v>
      </c>
      <c r="Q25" s="45"/>
      <c r="R25" s="43">
        <f>J25/21.75/8*0.5*1.5+J25/21.75/8*1*2</f>
        <v>33.19</v>
      </c>
      <c r="S25" s="45">
        <v>300</v>
      </c>
      <c r="T25" s="45"/>
      <c r="U25" s="45"/>
      <c r="V25" s="58">
        <f t="shared" si="16"/>
        <v>3373.19</v>
      </c>
      <c r="W25" s="59"/>
      <c r="X25" s="59"/>
      <c r="Y25" s="59"/>
      <c r="Z25" s="59"/>
      <c r="AA25" s="59"/>
      <c r="AB25" s="59"/>
      <c r="AC25" s="59"/>
      <c r="AD25" s="68">
        <v>325.68</v>
      </c>
      <c r="AE25" s="59">
        <v>81.42</v>
      </c>
      <c r="AF25" s="59">
        <v>16.28</v>
      </c>
      <c r="AG25" s="45">
        <v>126</v>
      </c>
      <c r="AH25" s="45"/>
      <c r="AI25" s="45">
        <f t="shared" si="14"/>
        <v>549.38</v>
      </c>
      <c r="AJ25" s="77">
        <v>2500.8</v>
      </c>
      <c r="AK25" s="77">
        <v>549.38</v>
      </c>
      <c r="AL25" s="77">
        <v>5000</v>
      </c>
      <c r="AM25" s="78"/>
      <c r="AN25" s="78"/>
      <c r="AO25" s="78"/>
      <c r="AP25" s="78"/>
      <c r="AQ25" s="78"/>
      <c r="AR25" s="85">
        <f t="shared" si="17"/>
        <v>5873.99</v>
      </c>
      <c r="AS25" s="85">
        <f t="shared" si="13"/>
        <v>1098.76</v>
      </c>
      <c r="AT25" s="86">
        <f t="shared" si="18"/>
        <v>10000</v>
      </c>
      <c r="AU25" s="86"/>
      <c r="AV25" s="85">
        <f t="shared" si="19"/>
        <v>-5224.77</v>
      </c>
      <c r="AW25" s="90">
        <f>5*MAX(0,AV25*{0.6;2;4;5;6;7;9}%-{0;504;3384;6384;10584;17184;36384})</f>
        <v>0</v>
      </c>
      <c r="AX25" s="99"/>
      <c r="AY25" s="90">
        <f t="shared" si="20"/>
        <v>0</v>
      </c>
      <c r="AZ25" s="100"/>
      <c r="BA25" s="101">
        <f t="shared" si="21"/>
        <v>2823.81</v>
      </c>
      <c r="BB25" s="106"/>
    </row>
    <row r="26" s="5" customFormat="1" ht="25" customHeight="1" spans="1:54">
      <c r="A26" s="29">
        <v>20</v>
      </c>
      <c r="B26" s="30" t="s">
        <v>132</v>
      </c>
      <c r="C26" s="28" t="s">
        <v>84</v>
      </c>
      <c r="D26" s="28" t="s">
        <v>88</v>
      </c>
      <c r="E26" s="28" t="s">
        <v>89</v>
      </c>
      <c r="F26" s="28" t="s">
        <v>90</v>
      </c>
      <c r="G26" s="31" t="s">
        <v>133</v>
      </c>
      <c r="H26" s="31" t="s">
        <v>134</v>
      </c>
      <c r="I26" s="28"/>
      <c r="J26" s="45">
        <v>2100</v>
      </c>
      <c r="K26" s="45">
        <f>400</f>
        <v>400</v>
      </c>
      <c r="L26" s="45">
        <f>300</f>
        <v>300</v>
      </c>
      <c r="M26" s="45">
        <v>200</v>
      </c>
      <c r="N26" s="45">
        <v>100</v>
      </c>
      <c r="O26" s="45">
        <f>100</f>
        <v>100</v>
      </c>
      <c r="P26" s="45">
        <v>40</v>
      </c>
      <c r="Q26" s="45"/>
      <c r="R26" s="43">
        <f>J26/21.75/8*0.5*1.5+J26/21.75/8*0*2</f>
        <v>9.05</v>
      </c>
      <c r="S26" s="45">
        <v>300</v>
      </c>
      <c r="T26" s="45"/>
      <c r="U26" s="45"/>
      <c r="V26" s="58">
        <f t="shared" si="16"/>
        <v>3549.05</v>
      </c>
      <c r="W26" s="59"/>
      <c r="X26" s="59"/>
      <c r="Y26" s="59"/>
      <c r="Z26" s="59"/>
      <c r="AA26" s="59"/>
      <c r="AB26" s="59"/>
      <c r="AC26" s="59"/>
      <c r="AD26" s="68">
        <v>325.68</v>
      </c>
      <c r="AE26" s="59">
        <v>81.42</v>
      </c>
      <c r="AF26" s="59">
        <v>16.28</v>
      </c>
      <c r="AG26" s="45">
        <v>126</v>
      </c>
      <c r="AH26" s="45"/>
      <c r="AI26" s="45">
        <f t="shared" si="14"/>
        <v>549.38</v>
      </c>
      <c r="AJ26" s="77">
        <v>2587.73</v>
      </c>
      <c r="AK26" s="77">
        <v>549.38</v>
      </c>
      <c r="AL26" s="77">
        <v>5000</v>
      </c>
      <c r="AM26" s="78"/>
      <c r="AN26" s="78"/>
      <c r="AO26" s="78"/>
      <c r="AP26" s="78"/>
      <c r="AQ26" s="78"/>
      <c r="AR26" s="85">
        <f t="shared" si="17"/>
        <v>6136.78</v>
      </c>
      <c r="AS26" s="85">
        <f t="shared" si="13"/>
        <v>1098.76</v>
      </c>
      <c r="AT26" s="86">
        <f t="shared" si="18"/>
        <v>10000</v>
      </c>
      <c r="AU26" s="86"/>
      <c r="AV26" s="85">
        <f t="shared" si="19"/>
        <v>-4961.98</v>
      </c>
      <c r="AW26" s="90">
        <f>5*MAX(0,AV26*{0.6;2;4;5;6;7;9}%-{0;504;3384;6384;10584;17184;36384})</f>
        <v>0</v>
      </c>
      <c r="AX26" s="99"/>
      <c r="AY26" s="90">
        <f t="shared" si="20"/>
        <v>0</v>
      </c>
      <c r="AZ26" s="100"/>
      <c r="BA26" s="101">
        <f t="shared" si="21"/>
        <v>2999.67</v>
      </c>
      <c r="BB26" s="102"/>
    </row>
    <row r="27" s="4" customFormat="1" ht="25" customHeight="1" spans="1:54">
      <c r="A27" s="29">
        <v>21</v>
      </c>
      <c r="B27" s="20" t="s">
        <v>135</v>
      </c>
      <c r="C27" s="21" t="s">
        <v>84</v>
      </c>
      <c r="D27" s="21" t="s">
        <v>88</v>
      </c>
      <c r="E27" s="21" t="s">
        <v>89</v>
      </c>
      <c r="F27" s="21" t="s">
        <v>90</v>
      </c>
      <c r="G27" s="22" t="s">
        <v>136</v>
      </c>
      <c r="H27" s="22" t="s">
        <v>137</v>
      </c>
      <c r="I27" s="21"/>
      <c r="J27" s="43">
        <f>2100</f>
        <v>2100</v>
      </c>
      <c r="K27" s="43">
        <f>200</f>
        <v>200</v>
      </c>
      <c r="L27" s="43">
        <f>300</f>
        <v>300</v>
      </c>
      <c r="M27" s="45">
        <v>200</v>
      </c>
      <c r="N27" s="43">
        <f>100</f>
        <v>100</v>
      </c>
      <c r="O27" s="43">
        <f>100</f>
        <v>100</v>
      </c>
      <c r="P27" s="43">
        <v>20</v>
      </c>
      <c r="Q27" s="43"/>
      <c r="R27" s="43">
        <f>J27/21.75/8*0.5*1.5+J27/21.75/8*1.5*2</f>
        <v>45.26</v>
      </c>
      <c r="S27" s="43">
        <v>300</v>
      </c>
      <c r="T27" s="43"/>
      <c r="U27" s="43"/>
      <c r="V27" s="55">
        <f t="shared" si="16"/>
        <v>3365.26</v>
      </c>
      <c r="W27" s="56"/>
      <c r="X27" s="56"/>
      <c r="Y27" s="56"/>
      <c r="Z27" s="56"/>
      <c r="AA27" s="56"/>
      <c r="AB27" s="56"/>
      <c r="AC27" s="56"/>
      <c r="AD27" s="67">
        <v>325.68</v>
      </c>
      <c r="AE27" s="56">
        <v>81.42</v>
      </c>
      <c r="AF27" s="56">
        <v>16.28</v>
      </c>
      <c r="AG27" s="43">
        <v>126</v>
      </c>
      <c r="AH27" s="43"/>
      <c r="AI27" s="43">
        <f t="shared" si="14"/>
        <v>549.38</v>
      </c>
      <c r="AJ27" s="77">
        <v>2450.11</v>
      </c>
      <c r="AK27" s="77">
        <v>549.38</v>
      </c>
      <c r="AL27" s="79">
        <v>5000</v>
      </c>
      <c r="AM27" s="74"/>
      <c r="AN27" s="74"/>
      <c r="AO27" s="74"/>
      <c r="AP27" s="74"/>
      <c r="AQ27" s="74"/>
      <c r="AR27" s="72">
        <f t="shared" si="17"/>
        <v>5815.37</v>
      </c>
      <c r="AS27" s="72">
        <f t="shared" si="13"/>
        <v>1098.76</v>
      </c>
      <c r="AT27" s="73">
        <f t="shared" si="18"/>
        <v>10000</v>
      </c>
      <c r="AU27" s="73"/>
      <c r="AV27" s="72">
        <f t="shared" si="19"/>
        <v>-5283.39</v>
      </c>
      <c r="AW27" s="90">
        <f>5*MAX(0,AV27*{0.6;2;4;5;6;7;9}%-{0;504;3384;6384;10584;17184;36384})</f>
        <v>0</v>
      </c>
      <c r="AX27" s="96"/>
      <c r="AY27" s="90">
        <f t="shared" si="20"/>
        <v>0</v>
      </c>
      <c r="AZ27" s="54"/>
      <c r="BA27" s="91">
        <f t="shared" si="21"/>
        <v>2815.88</v>
      </c>
      <c r="BB27" s="104"/>
    </row>
    <row r="28" s="4" customFormat="1" ht="30" customHeight="1" spans="1:54">
      <c r="A28" s="29">
        <v>22</v>
      </c>
      <c r="B28" s="20" t="s">
        <v>138</v>
      </c>
      <c r="C28" s="21" t="s">
        <v>84</v>
      </c>
      <c r="D28" s="21" t="s">
        <v>139</v>
      </c>
      <c r="E28" s="21" t="s">
        <v>89</v>
      </c>
      <c r="F28" s="21" t="s">
        <v>63</v>
      </c>
      <c r="G28" s="22" t="s">
        <v>140</v>
      </c>
      <c r="H28" s="112" t="s">
        <v>141</v>
      </c>
      <c r="I28" s="21"/>
      <c r="J28" s="43">
        <v>2100</v>
      </c>
      <c r="K28" s="43">
        <f>1600</f>
        <v>1600</v>
      </c>
      <c r="L28" s="43">
        <f>1100</f>
        <v>1100</v>
      </c>
      <c r="M28" s="45">
        <v>200</v>
      </c>
      <c r="N28" s="43">
        <f>100</f>
        <v>100</v>
      </c>
      <c r="O28" s="43">
        <f>300</f>
        <v>300</v>
      </c>
      <c r="P28" s="43">
        <v>20</v>
      </c>
      <c r="Q28" s="43"/>
      <c r="R28" s="43">
        <f>J28/21.75/8*0*1.5+J28/21.75/8*8*2</f>
        <v>193.1</v>
      </c>
      <c r="S28" s="43"/>
      <c r="T28" s="43"/>
      <c r="U28" s="55"/>
      <c r="V28" s="55">
        <f t="shared" ref="V28:V40" si="22">SUM(J28:S28)-T28+U28</f>
        <v>5613.1</v>
      </c>
      <c r="W28" s="56">
        <v>19.42</v>
      </c>
      <c r="X28" s="56">
        <v>210.34</v>
      </c>
      <c r="Y28" s="56">
        <v>32.36</v>
      </c>
      <c r="Z28" s="56">
        <v>7.28</v>
      </c>
      <c r="AA28" s="56">
        <v>25.89</v>
      </c>
      <c r="AB28" s="56">
        <v>107</v>
      </c>
      <c r="AC28" s="56">
        <v>215.76</v>
      </c>
      <c r="AD28" s="67">
        <v>325.68</v>
      </c>
      <c r="AE28" s="56">
        <v>81.42</v>
      </c>
      <c r="AF28" s="56">
        <v>16.28</v>
      </c>
      <c r="AG28" s="43">
        <v>126</v>
      </c>
      <c r="AH28" s="43"/>
      <c r="AI28" s="43">
        <f t="shared" si="14"/>
        <v>549.38</v>
      </c>
      <c r="AJ28" s="77">
        <v>6406.21</v>
      </c>
      <c r="AK28" s="77">
        <v>549.38</v>
      </c>
      <c r="AL28" s="79">
        <v>5000</v>
      </c>
      <c r="AM28" s="74"/>
      <c r="AN28" s="74"/>
      <c r="AO28" s="74"/>
      <c r="AP28" s="74"/>
      <c r="AQ28" s="72"/>
      <c r="AR28" s="72">
        <f t="shared" ref="AR28:AR39" si="23">V28+AJ28</f>
        <v>12019.31</v>
      </c>
      <c r="AS28" s="72">
        <f t="shared" ref="AS28:AS39" si="24">AI28+AK28</f>
        <v>1098.76</v>
      </c>
      <c r="AT28" s="73">
        <f t="shared" ref="AT28:AT39" si="25">AL28+5000</f>
        <v>10000</v>
      </c>
      <c r="AU28" s="72"/>
      <c r="AV28" s="72">
        <f t="shared" ref="AV28:AV39" si="26">AR28-AS28-AT28-AU28</f>
        <v>920.55</v>
      </c>
      <c r="AW28" s="90">
        <f>5*MAX(0,AV28*{0.6;2;4;5;6;7;9}%-{0;504;3384;6384;10584;17184;36384})</f>
        <v>27.62</v>
      </c>
      <c r="AX28" s="90">
        <v>25.7</v>
      </c>
      <c r="AY28" s="90">
        <f t="shared" si="20"/>
        <v>1.92</v>
      </c>
      <c r="AZ28" s="54"/>
      <c r="BA28" s="91">
        <f t="shared" ref="BA28:BA40" si="27">V28-AI28-AY28</f>
        <v>5061.8</v>
      </c>
      <c r="BB28" s="107"/>
    </row>
    <row r="29" s="5" customFormat="1" ht="25" customHeight="1" spans="1:54">
      <c r="A29" s="29">
        <v>23</v>
      </c>
      <c r="B29" s="30" t="s">
        <v>142</v>
      </c>
      <c r="C29" s="28" t="s">
        <v>84</v>
      </c>
      <c r="D29" s="28" t="s">
        <v>143</v>
      </c>
      <c r="E29" s="28" t="s">
        <v>57</v>
      </c>
      <c r="F29" s="28" t="s">
        <v>58</v>
      </c>
      <c r="G29" s="31" t="s">
        <v>144</v>
      </c>
      <c r="H29" s="31" t="s">
        <v>145</v>
      </c>
      <c r="I29" s="28"/>
      <c r="J29" s="45">
        <v>2100</v>
      </c>
      <c r="K29" s="45">
        <v>2400</v>
      </c>
      <c r="L29" s="45">
        <f>1770*0.999</f>
        <v>1768.23</v>
      </c>
      <c r="M29" s="45">
        <v>200</v>
      </c>
      <c r="N29" s="45">
        <v>100</v>
      </c>
      <c r="O29" s="45"/>
      <c r="P29" s="45">
        <v>80</v>
      </c>
      <c r="Q29" s="45"/>
      <c r="R29" s="45"/>
      <c r="S29" s="43"/>
      <c r="T29" s="45"/>
      <c r="U29" s="45">
        <v>-15.61</v>
      </c>
      <c r="V29" s="58">
        <f t="shared" si="22"/>
        <v>6632.62</v>
      </c>
      <c r="W29" s="59">
        <v>431.52</v>
      </c>
      <c r="X29" s="59">
        <v>19.42</v>
      </c>
      <c r="Y29" s="59">
        <v>210.34</v>
      </c>
      <c r="Z29" s="59">
        <v>32.36</v>
      </c>
      <c r="AA29" s="59">
        <v>7.28</v>
      </c>
      <c r="AB29" s="59">
        <v>25.89</v>
      </c>
      <c r="AC29" s="59">
        <v>119</v>
      </c>
      <c r="AD29" s="21">
        <v>365.6</v>
      </c>
      <c r="AE29" s="21">
        <v>91.4</v>
      </c>
      <c r="AF29" s="21">
        <v>18.28</v>
      </c>
      <c r="AG29" s="45">
        <v>156</v>
      </c>
      <c r="AH29" s="43"/>
      <c r="AI29" s="45">
        <f t="shared" si="14"/>
        <v>631.28</v>
      </c>
      <c r="AJ29" s="77">
        <v>7151.63</v>
      </c>
      <c r="AK29" s="77">
        <v>631.28</v>
      </c>
      <c r="AL29" s="77">
        <v>5000</v>
      </c>
      <c r="AM29" s="78">
        <v>1000</v>
      </c>
      <c r="AN29" s="78"/>
      <c r="AO29" s="78">
        <v>0</v>
      </c>
      <c r="AP29" s="78"/>
      <c r="AQ29" s="78"/>
      <c r="AR29" s="85">
        <f t="shared" si="23"/>
        <v>13784.25</v>
      </c>
      <c r="AS29" s="85">
        <f t="shared" si="24"/>
        <v>1262.56</v>
      </c>
      <c r="AT29" s="86">
        <f t="shared" si="25"/>
        <v>10000</v>
      </c>
      <c r="AU29" s="86">
        <f>AM29+AO29+1000</f>
        <v>2000</v>
      </c>
      <c r="AV29" s="85">
        <f t="shared" si="26"/>
        <v>521.69</v>
      </c>
      <c r="AW29" s="90">
        <f>5*MAX(0,AV29*{0.6;2;4;5;6;7;9}%-{0;504;3384;6384;10584;17184;36384})</f>
        <v>15.65</v>
      </c>
      <c r="AX29" s="99">
        <v>15.61</v>
      </c>
      <c r="AY29" s="90">
        <f t="shared" si="20"/>
        <v>0.04</v>
      </c>
      <c r="AZ29" s="100"/>
      <c r="BA29" s="101">
        <f t="shared" si="27"/>
        <v>6001.3</v>
      </c>
      <c r="BB29" s="103"/>
    </row>
    <row r="30" s="5" customFormat="1" ht="25" customHeight="1" spans="1:54">
      <c r="A30" s="29">
        <v>24</v>
      </c>
      <c r="B30" s="30" t="s">
        <v>146</v>
      </c>
      <c r="C30" s="28" t="s">
        <v>84</v>
      </c>
      <c r="D30" s="28" t="s">
        <v>147</v>
      </c>
      <c r="E30" s="28" t="s">
        <v>89</v>
      </c>
      <c r="F30" s="28" t="s">
        <v>90</v>
      </c>
      <c r="G30" s="31" t="s">
        <v>148</v>
      </c>
      <c r="H30" s="31" t="s">
        <v>149</v>
      </c>
      <c r="I30" s="28"/>
      <c r="J30" s="45">
        <v>2100</v>
      </c>
      <c r="K30" s="45">
        <f>200/176*168.5</f>
        <v>191.48</v>
      </c>
      <c r="L30" s="45">
        <f>300/176*168.5</f>
        <v>287.22</v>
      </c>
      <c r="M30" s="45"/>
      <c r="N30" s="45">
        <v>100</v>
      </c>
      <c r="O30" s="45">
        <f>(100+400)/176*168.5</f>
        <v>478.69</v>
      </c>
      <c r="P30" s="45">
        <v>60</v>
      </c>
      <c r="Q30" s="45"/>
      <c r="R30" s="45"/>
      <c r="S30" s="45"/>
      <c r="T30" s="45">
        <f>3200/21.75*2</f>
        <v>294.25</v>
      </c>
      <c r="U30" s="45"/>
      <c r="V30" s="58">
        <f t="shared" si="22"/>
        <v>2923.14</v>
      </c>
      <c r="W30" s="59">
        <v>431.52</v>
      </c>
      <c r="X30" s="59">
        <v>19.42</v>
      </c>
      <c r="Y30" s="59">
        <v>210.34</v>
      </c>
      <c r="Z30" s="59">
        <v>32.36</v>
      </c>
      <c r="AA30" s="59">
        <v>7.28</v>
      </c>
      <c r="AB30" s="59">
        <v>25.89</v>
      </c>
      <c r="AC30" s="59">
        <v>107</v>
      </c>
      <c r="AD30" s="68">
        <v>325.68</v>
      </c>
      <c r="AE30" s="59">
        <v>81.42</v>
      </c>
      <c r="AF30" s="59">
        <v>16.28</v>
      </c>
      <c r="AG30" s="45">
        <v>126</v>
      </c>
      <c r="AH30" s="45"/>
      <c r="AI30" s="45">
        <f t="shared" si="14"/>
        <v>549.38</v>
      </c>
      <c r="AJ30" s="77">
        <v>2822.5</v>
      </c>
      <c r="AK30" s="77">
        <v>549.38</v>
      </c>
      <c r="AL30" s="79">
        <v>5000</v>
      </c>
      <c r="AM30" s="78"/>
      <c r="AN30" s="78"/>
      <c r="AO30" s="78"/>
      <c r="AP30" s="78"/>
      <c r="AQ30" s="78"/>
      <c r="AR30" s="85">
        <f t="shared" si="23"/>
        <v>5745.64</v>
      </c>
      <c r="AS30" s="85">
        <f t="shared" si="24"/>
        <v>1098.76</v>
      </c>
      <c r="AT30" s="86">
        <f t="shared" si="25"/>
        <v>10000</v>
      </c>
      <c r="AU30" s="86"/>
      <c r="AV30" s="85">
        <f t="shared" si="26"/>
        <v>-5353.12</v>
      </c>
      <c r="AW30" s="90">
        <f>5*MAX(0,AV30*{0.6;2;4;5;6;7;9}%-{0;504;3384;6384;10584;17184;36384})</f>
        <v>0</v>
      </c>
      <c r="AX30" s="99"/>
      <c r="AY30" s="90">
        <f t="shared" ref="AY28:AY40" si="28">IF(+AW30-AX30&gt;0,AW30-AX30,0)</f>
        <v>0</v>
      </c>
      <c r="AZ30" s="100"/>
      <c r="BA30" s="101">
        <f t="shared" si="27"/>
        <v>2373.76</v>
      </c>
      <c r="BB30" s="103" t="s">
        <v>150</v>
      </c>
    </row>
    <row r="31" s="5" customFormat="1" ht="25" customHeight="1" spans="1:54">
      <c r="A31" s="29">
        <v>25</v>
      </c>
      <c r="B31" s="30" t="s">
        <v>151</v>
      </c>
      <c r="C31" s="28" t="s">
        <v>84</v>
      </c>
      <c r="D31" s="28" t="s">
        <v>147</v>
      </c>
      <c r="E31" s="28" t="s">
        <v>89</v>
      </c>
      <c r="F31" s="28" t="s">
        <v>63</v>
      </c>
      <c r="G31" s="31" t="str">
        <f>VLOOKUP(B31,[1]在职汇总!$E$3:$G$98,3,FALSE)</f>
        <v>512501197303147219</v>
      </c>
      <c r="H31" s="31" t="s">
        <v>152</v>
      </c>
      <c r="I31" s="28"/>
      <c r="J31" s="45">
        <v>2100</v>
      </c>
      <c r="K31" s="45">
        <f>600</f>
        <v>600</v>
      </c>
      <c r="L31" s="45">
        <f>400</f>
        <v>400</v>
      </c>
      <c r="M31" s="45">
        <v>200</v>
      </c>
      <c r="N31" s="45">
        <v>100</v>
      </c>
      <c r="O31" s="45"/>
      <c r="P31" s="45">
        <v>60</v>
      </c>
      <c r="Q31" s="45"/>
      <c r="R31" s="43">
        <f>J31/21.75/8*29*1.5+J31/21.75/8*40*2</f>
        <v>1490.52</v>
      </c>
      <c r="S31" s="45"/>
      <c r="T31" s="45"/>
      <c r="U31" s="45"/>
      <c r="V31" s="58">
        <f t="shared" si="22"/>
        <v>4950.52</v>
      </c>
      <c r="W31" s="59">
        <v>431.52</v>
      </c>
      <c r="X31" s="59">
        <v>19.42</v>
      </c>
      <c r="Y31" s="59">
        <v>210.34</v>
      </c>
      <c r="Z31" s="59">
        <v>32.36</v>
      </c>
      <c r="AA31" s="59">
        <v>7.28</v>
      </c>
      <c r="AB31" s="59">
        <v>25.89</v>
      </c>
      <c r="AC31" s="59">
        <v>107</v>
      </c>
      <c r="AD31" s="68">
        <v>325.68</v>
      </c>
      <c r="AE31" s="59">
        <v>81.42</v>
      </c>
      <c r="AF31" s="59">
        <v>16.28</v>
      </c>
      <c r="AG31" s="45">
        <v>126</v>
      </c>
      <c r="AH31" s="45"/>
      <c r="AI31" s="45">
        <f t="shared" si="14"/>
        <v>549.38</v>
      </c>
      <c r="AJ31" s="80">
        <v>2921.93</v>
      </c>
      <c r="AK31" s="80">
        <v>549.38</v>
      </c>
      <c r="AL31" s="80">
        <v>5000</v>
      </c>
      <c r="AM31" s="78"/>
      <c r="AN31" s="78"/>
      <c r="AO31" s="78"/>
      <c r="AP31" s="78"/>
      <c r="AQ31" s="78"/>
      <c r="AR31" s="85">
        <f t="shared" si="23"/>
        <v>7872.45</v>
      </c>
      <c r="AS31" s="85">
        <f t="shared" si="24"/>
        <v>1098.76</v>
      </c>
      <c r="AT31" s="86">
        <f t="shared" si="25"/>
        <v>10000</v>
      </c>
      <c r="AU31" s="86"/>
      <c r="AV31" s="85">
        <f t="shared" si="26"/>
        <v>-3226.31</v>
      </c>
      <c r="AW31" s="90">
        <f>5*MAX(0,AV31*{0.6;2;4;5;6;7;9}%-{0;504;3384;6384;10584;17184;36384})</f>
        <v>0</v>
      </c>
      <c r="AX31" s="99">
        <v>0</v>
      </c>
      <c r="AY31" s="90">
        <f t="shared" si="28"/>
        <v>0</v>
      </c>
      <c r="AZ31" s="100"/>
      <c r="BA31" s="101">
        <f t="shared" si="27"/>
        <v>4401.14</v>
      </c>
      <c r="BB31" s="104"/>
    </row>
    <row r="32" s="5" customFormat="1" ht="25" customHeight="1" spans="1:54">
      <c r="A32" s="29">
        <v>26</v>
      </c>
      <c r="B32" s="30" t="s">
        <v>153</v>
      </c>
      <c r="C32" s="28" t="s">
        <v>84</v>
      </c>
      <c r="D32" s="28" t="s">
        <v>154</v>
      </c>
      <c r="E32" s="28" t="s">
        <v>57</v>
      </c>
      <c r="F32" s="28" t="s">
        <v>58</v>
      </c>
      <c r="G32" s="31" t="s">
        <v>155</v>
      </c>
      <c r="H32" s="31" t="s">
        <v>156</v>
      </c>
      <c r="I32" s="28"/>
      <c r="J32" s="45">
        <v>2100</v>
      </c>
      <c r="K32" s="45">
        <f>1800</f>
        <v>1800</v>
      </c>
      <c r="L32" s="45">
        <f>870*1</f>
        <v>870</v>
      </c>
      <c r="M32" s="45">
        <v>200</v>
      </c>
      <c r="N32" s="45">
        <v>100</v>
      </c>
      <c r="O32" s="45"/>
      <c r="P32" s="45">
        <v>40</v>
      </c>
      <c r="Q32" s="45"/>
      <c r="R32" s="45"/>
      <c r="S32" s="43"/>
      <c r="T32" s="45"/>
      <c r="U32" s="45"/>
      <c r="V32" s="58">
        <f t="shared" si="22"/>
        <v>5110</v>
      </c>
      <c r="W32" s="59"/>
      <c r="X32" s="59"/>
      <c r="Y32" s="59"/>
      <c r="Z32" s="59"/>
      <c r="AA32" s="59"/>
      <c r="AB32" s="59"/>
      <c r="AC32" s="59"/>
      <c r="AD32" s="67">
        <v>341.6</v>
      </c>
      <c r="AE32" s="56">
        <v>85.4</v>
      </c>
      <c r="AF32" s="56">
        <v>17.08</v>
      </c>
      <c r="AG32" s="45">
        <v>138</v>
      </c>
      <c r="AH32" s="43"/>
      <c r="AI32" s="45">
        <f t="shared" si="14"/>
        <v>582.08</v>
      </c>
      <c r="AJ32" s="77">
        <v>4721.1</v>
      </c>
      <c r="AK32" s="77">
        <v>582.08</v>
      </c>
      <c r="AL32" s="79">
        <v>5000</v>
      </c>
      <c r="AM32" s="78"/>
      <c r="AN32" s="78"/>
      <c r="AO32" s="78"/>
      <c r="AP32" s="78"/>
      <c r="AQ32" s="78"/>
      <c r="AR32" s="85">
        <f t="shared" si="23"/>
        <v>9831.1</v>
      </c>
      <c r="AS32" s="85">
        <f t="shared" si="24"/>
        <v>1164.16</v>
      </c>
      <c r="AT32" s="86">
        <f t="shared" si="25"/>
        <v>10000</v>
      </c>
      <c r="AU32" s="86"/>
      <c r="AV32" s="85">
        <f t="shared" si="26"/>
        <v>-1333.06</v>
      </c>
      <c r="AW32" s="90">
        <f>5*MAX(0,AV32*{0.6;2;4;5;6;7;9}%-{0;504;3384;6384;10584;17184;36384})</f>
        <v>0</v>
      </c>
      <c r="AX32" s="99">
        <v>0</v>
      </c>
      <c r="AY32" s="90">
        <f t="shared" si="28"/>
        <v>0</v>
      </c>
      <c r="AZ32" s="100"/>
      <c r="BA32" s="101">
        <f t="shared" si="27"/>
        <v>4527.92</v>
      </c>
      <c r="BB32" s="104"/>
    </row>
    <row r="33" s="5" customFormat="1" ht="25" customHeight="1" spans="1:54">
      <c r="A33" s="29">
        <v>27</v>
      </c>
      <c r="B33" s="30" t="s">
        <v>157</v>
      </c>
      <c r="C33" s="28" t="s">
        <v>84</v>
      </c>
      <c r="D33" s="28" t="s">
        <v>158</v>
      </c>
      <c r="E33" s="28" t="s">
        <v>57</v>
      </c>
      <c r="F33" s="28" t="s">
        <v>58</v>
      </c>
      <c r="G33" s="31" t="s">
        <v>159</v>
      </c>
      <c r="H33" s="31" t="s">
        <v>160</v>
      </c>
      <c r="I33" s="28"/>
      <c r="J33" s="45">
        <v>2100</v>
      </c>
      <c r="K33" s="45">
        <f>1700</f>
        <v>1700</v>
      </c>
      <c r="L33" s="45">
        <f>970*1</f>
        <v>970</v>
      </c>
      <c r="M33" s="45">
        <v>200</v>
      </c>
      <c r="N33" s="45">
        <v>100</v>
      </c>
      <c r="O33" s="45"/>
      <c r="P33" s="45">
        <v>20</v>
      </c>
      <c r="Q33" s="45"/>
      <c r="R33" s="45"/>
      <c r="S33" s="43"/>
      <c r="T33" s="45"/>
      <c r="U33" s="45"/>
      <c r="V33" s="58">
        <f t="shared" si="22"/>
        <v>5090</v>
      </c>
      <c r="W33" s="59"/>
      <c r="X33" s="59"/>
      <c r="Y33" s="59"/>
      <c r="Z33" s="59"/>
      <c r="AA33" s="59"/>
      <c r="AB33" s="59"/>
      <c r="AC33" s="59"/>
      <c r="AD33" s="67">
        <v>341.6</v>
      </c>
      <c r="AE33" s="56">
        <v>85.4</v>
      </c>
      <c r="AF33" s="56">
        <v>17.08</v>
      </c>
      <c r="AG33" s="45">
        <v>138</v>
      </c>
      <c r="AH33" s="43"/>
      <c r="AI33" s="45">
        <f t="shared" si="14"/>
        <v>582.08</v>
      </c>
      <c r="AJ33" s="80">
        <v>5590</v>
      </c>
      <c r="AK33" s="80">
        <v>582.08</v>
      </c>
      <c r="AL33" s="80">
        <v>5000</v>
      </c>
      <c r="AM33" s="78"/>
      <c r="AN33" s="78"/>
      <c r="AO33" s="78"/>
      <c r="AP33" s="78"/>
      <c r="AQ33" s="78"/>
      <c r="AR33" s="85">
        <f t="shared" si="23"/>
        <v>10680</v>
      </c>
      <c r="AS33" s="85">
        <f t="shared" si="24"/>
        <v>1164.16</v>
      </c>
      <c r="AT33" s="86">
        <f t="shared" si="25"/>
        <v>10000</v>
      </c>
      <c r="AU33" s="86"/>
      <c r="AV33" s="85">
        <f t="shared" si="26"/>
        <v>-484.16</v>
      </c>
      <c r="AW33" s="90">
        <f>5*MAX(0,AV33*{0.6;2;4;5;6;7;9}%-{0;504;3384;6384;10584;17184;36384})</f>
        <v>0</v>
      </c>
      <c r="AX33" s="99"/>
      <c r="AY33" s="90">
        <f t="shared" si="28"/>
        <v>0</v>
      </c>
      <c r="AZ33" s="100"/>
      <c r="BA33" s="101">
        <f t="shared" si="27"/>
        <v>4507.92</v>
      </c>
      <c r="BB33" s="104"/>
    </row>
    <row r="34" s="5" customFormat="1" ht="25" customHeight="1" spans="1:54">
      <c r="A34" s="29">
        <v>28</v>
      </c>
      <c r="B34" s="30" t="s">
        <v>161</v>
      </c>
      <c r="C34" s="28" t="s">
        <v>84</v>
      </c>
      <c r="D34" s="28" t="s">
        <v>162</v>
      </c>
      <c r="E34" s="28" t="s">
        <v>89</v>
      </c>
      <c r="F34" s="28" t="s">
        <v>63</v>
      </c>
      <c r="G34" s="31" t="s">
        <v>163</v>
      </c>
      <c r="H34" s="31" t="s">
        <v>164</v>
      </c>
      <c r="I34" s="28"/>
      <c r="J34" s="45">
        <v>2100</v>
      </c>
      <c r="K34" s="45">
        <f>800</f>
        <v>800</v>
      </c>
      <c r="L34" s="45">
        <f>500</f>
        <v>500</v>
      </c>
      <c r="M34" s="45">
        <v>200</v>
      </c>
      <c r="N34" s="45">
        <f>100</f>
        <v>100</v>
      </c>
      <c r="O34" s="45">
        <f>300</f>
        <v>300</v>
      </c>
      <c r="P34" s="45">
        <v>60</v>
      </c>
      <c r="Q34" s="45"/>
      <c r="R34" s="43">
        <f>J34/21.75/8*8.5*1.5+J34/21.75/8*40.5*2</f>
        <v>1131.47</v>
      </c>
      <c r="S34" s="45"/>
      <c r="T34" s="45"/>
      <c r="U34" s="45"/>
      <c r="V34" s="58">
        <f t="shared" si="22"/>
        <v>5191.47</v>
      </c>
      <c r="W34" s="59">
        <v>431.52</v>
      </c>
      <c r="X34" s="59">
        <v>19.42</v>
      </c>
      <c r="Y34" s="59">
        <v>210.34</v>
      </c>
      <c r="Z34" s="59">
        <v>32.36</v>
      </c>
      <c r="AA34" s="59">
        <v>7.28</v>
      </c>
      <c r="AB34" s="59">
        <v>25.89</v>
      </c>
      <c r="AC34" s="59">
        <v>107</v>
      </c>
      <c r="AD34" s="68">
        <v>325.68</v>
      </c>
      <c r="AE34" s="59">
        <v>81.42</v>
      </c>
      <c r="AF34" s="59">
        <v>16.28</v>
      </c>
      <c r="AG34" s="45">
        <v>126</v>
      </c>
      <c r="AH34" s="45"/>
      <c r="AI34" s="45">
        <f t="shared" si="14"/>
        <v>549.38</v>
      </c>
      <c r="AJ34" s="77">
        <v>5287.59</v>
      </c>
      <c r="AK34" s="77">
        <v>549.38</v>
      </c>
      <c r="AL34" s="79">
        <v>5000</v>
      </c>
      <c r="AM34" s="78"/>
      <c r="AN34" s="78"/>
      <c r="AO34" s="78"/>
      <c r="AP34" s="78"/>
      <c r="AQ34" s="78"/>
      <c r="AR34" s="85">
        <f t="shared" si="23"/>
        <v>10479.06</v>
      </c>
      <c r="AS34" s="85">
        <f t="shared" si="24"/>
        <v>1098.76</v>
      </c>
      <c r="AT34" s="86">
        <f t="shared" si="25"/>
        <v>10000</v>
      </c>
      <c r="AU34" s="86"/>
      <c r="AV34" s="85">
        <f t="shared" si="26"/>
        <v>-619.7</v>
      </c>
      <c r="AW34" s="90">
        <f>5*MAX(0,AV34*{0.6;2;4;5;6;7;9}%-{0;504;3384;6384;10584;17184;36384})</f>
        <v>0</v>
      </c>
      <c r="AX34" s="99">
        <v>0</v>
      </c>
      <c r="AY34" s="90">
        <f t="shared" si="28"/>
        <v>0</v>
      </c>
      <c r="AZ34" s="100"/>
      <c r="BA34" s="101">
        <f t="shared" si="27"/>
        <v>4642.09</v>
      </c>
      <c r="BB34" s="104"/>
    </row>
    <row r="35" s="5" customFormat="1" ht="25" customHeight="1" spans="1:54">
      <c r="A35" s="29">
        <v>29</v>
      </c>
      <c r="B35" s="30" t="s">
        <v>165</v>
      </c>
      <c r="C35" s="28" t="s">
        <v>84</v>
      </c>
      <c r="D35" s="28" t="s">
        <v>166</v>
      </c>
      <c r="E35" s="28" t="s">
        <v>57</v>
      </c>
      <c r="F35" s="28" t="s">
        <v>63</v>
      </c>
      <c r="G35" s="31" t="s">
        <v>167</v>
      </c>
      <c r="H35" s="31" t="s">
        <v>168</v>
      </c>
      <c r="I35" s="28"/>
      <c r="J35" s="45">
        <v>2100</v>
      </c>
      <c r="K35" s="45">
        <f>800</f>
        <v>800</v>
      </c>
      <c r="L35" s="45">
        <f>500</f>
        <v>500</v>
      </c>
      <c r="M35" s="45">
        <v>200</v>
      </c>
      <c r="N35" s="45">
        <f>100</f>
        <v>100</v>
      </c>
      <c r="O35" s="45"/>
      <c r="P35" s="45">
        <v>20</v>
      </c>
      <c r="Q35" s="45"/>
      <c r="R35" s="43">
        <f>J35/21.75/8*18*1.5+J35/21.75/8*37.5*2</f>
        <v>1231.03</v>
      </c>
      <c r="S35" s="43"/>
      <c r="T35" s="45"/>
      <c r="U35" s="45"/>
      <c r="V35" s="58">
        <f t="shared" si="22"/>
        <v>4951.03</v>
      </c>
      <c r="W35" s="59"/>
      <c r="X35" s="59"/>
      <c r="Y35" s="59"/>
      <c r="Z35" s="59"/>
      <c r="AA35" s="59"/>
      <c r="AB35" s="59"/>
      <c r="AC35" s="59"/>
      <c r="AD35" s="68">
        <v>325.68</v>
      </c>
      <c r="AE35" s="59">
        <v>81.42</v>
      </c>
      <c r="AF35" s="59">
        <v>16.28</v>
      </c>
      <c r="AG35" s="45">
        <v>126</v>
      </c>
      <c r="AH35" s="45"/>
      <c r="AI35" s="45">
        <f t="shared" si="14"/>
        <v>549.38</v>
      </c>
      <c r="AJ35" s="80">
        <v>3106.36</v>
      </c>
      <c r="AK35" s="80">
        <v>549.38</v>
      </c>
      <c r="AL35" s="80">
        <v>5000</v>
      </c>
      <c r="AM35" s="78"/>
      <c r="AN35" s="78"/>
      <c r="AO35" s="78"/>
      <c r="AP35" s="78"/>
      <c r="AQ35" s="78"/>
      <c r="AR35" s="85">
        <f t="shared" si="23"/>
        <v>8057.39</v>
      </c>
      <c r="AS35" s="85">
        <f t="shared" si="24"/>
        <v>1098.76</v>
      </c>
      <c r="AT35" s="86">
        <f t="shared" si="25"/>
        <v>10000</v>
      </c>
      <c r="AU35" s="86"/>
      <c r="AV35" s="85">
        <f t="shared" si="26"/>
        <v>-3041.37</v>
      </c>
      <c r="AW35" s="90">
        <f>5*MAX(0,AV35*{0.6;2;4;5;6;7;9}%-{0;504;3384;6384;10584;17184;36384})</f>
        <v>0</v>
      </c>
      <c r="AX35" s="99"/>
      <c r="AY35" s="90">
        <f t="shared" si="28"/>
        <v>0</v>
      </c>
      <c r="AZ35" s="100"/>
      <c r="BA35" s="101">
        <f t="shared" si="27"/>
        <v>4401.65</v>
      </c>
      <c r="BB35" s="104"/>
    </row>
    <row r="36" s="5" customFormat="1" ht="25" customHeight="1" spans="1:54">
      <c r="A36" s="29">
        <v>30</v>
      </c>
      <c r="B36" s="30" t="s">
        <v>169</v>
      </c>
      <c r="C36" s="28" t="s">
        <v>84</v>
      </c>
      <c r="D36" s="28" t="s">
        <v>147</v>
      </c>
      <c r="E36" s="28" t="s">
        <v>89</v>
      </c>
      <c r="F36" s="28" t="s">
        <v>90</v>
      </c>
      <c r="G36" s="111" t="s">
        <v>170</v>
      </c>
      <c r="H36" s="31" t="s">
        <v>171</v>
      </c>
      <c r="I36" s="28"/>
      <c r="J36" s="45">
        <f>2100</f>
        <v>2100</v>
      </c>
      <c r="K36" s="45">
        <f>600/176*136.5</f>
        <v>465.34</v>
      </c>
      <c r="L36" s="45">
        <f>400/176*136.5</f>
        <v>310.23</v>
      </c>
      <c r="M36" s="45"/>
      <c r="N36" s="45">
        <v>100</v>
      </c>
      <c r="O36" s="45"/>
      <c r="P36" s="45"/>
      <c r="Q36" s="45"/>
      <c r="R36" s="45"/>
      <c r="S36" s="45"/>
      <c r="T36" s="45"/>
      <c r="U36" s="45"/>
      <c r="V36" s="58">
        <f t="shared" si="22"/>
        <v>2975.57</v>
      </c>
      <c r="W36" s="59"/>
      <c r="X36" s="59"/>
      <c r="Y36" s="59"/>
      <c r="Z36" s="59"/>
      <c r="AA36" s="59"/>
      <c r="AB36" s="59"/>
      <c r="AC36" s="59"/>
      <c r="AD36" s="68">
        <f>325.68</f>
        <v>325.68</v>
      </c>
      <c r="AE36" s="59">
        <f>81.42</f>
        <v>81.42</v>
      </c>
      <c r="AF36" s="59">
        <f>16.28</f>
        <v>16.28</v>
      </c>
      <c r="AG36" s="45">
        <f>126</f>
        <v>126</v>
      </c>
      <c r="AH36" s="45"/>
      <c r="AI36" s="45">
        <f t="shared" si="14"/>
        <v>549.38</v>
      </c>
      <c r="AJ36" s="77">
        <v>2927.27</v>
      </c>
      <c r="AK36" s="77">
        <v>549.38</v>
      </c>
      <c r="AL36" s="79">
        <v>5000</v>
      </c>
      <c r="AM36" s="78"/>
      <c r="AN36" s="78"/>
      <c r="AO36" s="78"/>
      <c r="AP36" s="78"/>
      <c r="AQ36" s="78"/>
      <c r="AR36" s="85">
        <f t="shared" si="23"/>
        <v>5902.84</v>
      </c>
      <c r="AS36" s="85">
        <f t="shared" si="24"/>
        <v>1098.76</v>
      </c>
      <c r="AT36" s="86">
        <f t="shared" si="25"/>
        <v>10000</v>
      </c>
      <c r="AU36" s="86"/>
      <c r="AV36" s="85"/>
      <c r="AW36" s="108"/>
      <c r="AX36" s="99"/>
      <c r="AY36" s="90">
        <f t="shared" si="28"/>
        <v>0</v>
      </c>
      <c r="AZ36" s="100"/>
      <c r="BA36" s="101">
        <f t="shared" si="27"/>
        <v>2426.19</v>
      </c>
      <c r="BB36" s="104"/>
    </row>
    <row r="37" s="5" customFormat="1" ht="25" customHeight="1" spans="1:54">
      <c r="A37" s="29">
        <v>31</v>
      </c>
      <c r="B37" s="30" t="s">
        <v>172</v>
      </c>
      <c r="C37" s="28" t="s">
        <v>84</v>
      </c>
      <c r="D37" s="28" t="s">
        <v>173</v>
      </c>
      <c r="E37" s="28" t="s">
        <v>89</v>
      </c>
      <c r="F37" s="28" t="s">
        <v>90</v>
      </c>
      <c r="G37" s="111" t="s">
        <v>174</v>
      </c>
      <c r="H37" s="31" t="s">
        <v>175</v>
      </c>
      <c r="I37" s="28"/>
      <c r="J37" s="45">
        <f>2100</f>
        <v>2100</v>
      </c>
      <c r="K37" s="45">
        <f>600/176*133.5</f>
        <v>455.11</v>
      </c>
      <c r="L37" s="45">
        <f>400/176*133.5</f>
        <v>303.41</v>
      </c>
      <c r="M37" s="45"/>
      <c r="N37" s="45">
        <v>100</v>
      </c>
      <c r="O37" s="45">
        <f>400/176*133.5</f>
        <v>303.41</v>
      </c>
      <c r="P37" s="45"/>
      <c r="Q37" s="45"/>
      <c r="R37" s="45"/>
      <c r="S37" s="45">
        <v>300</v>
      </c>
      <c r="T37" s="45"/>
      <c r="U37" s="45"/>
      <c r="V37" s="58">
        <f t="shared" si="22"/>
        <v>3561.93</v>
      </c>
      <c r="W37" s="59"/>
      <c r="X37" s="59"/>
      <c r="Y37" s="59"/>
      <c r="Z37" s="59"/>
      <c r="AA37" s="59"/>
      <c r="AB37" s="59"/>
      <c r="AC37" s="59"/>
      <c r="AD37" s="68">
        <f>325.68</f>
        <v>325.68</v>
      </c>
      <c r="AE37" s="59">
        <f>81.42</f>
        <v>81.42</v>
      </c>
      <c r="AF37" s="59">
        <f>16.28</f>
        <v>16.28</v>
      </c>
      <c r="AG37" s="45">
        <f>126</f>
        <v>126</v>
      </c>
      <c r="AH37" s="45"/>
      <c r="AI37" s="45">
        <f t="shared" si="14"/>
        <v>549.38</v>
      </c>
      <c r="AJ37" s="80">
        <v>4124.43</v>
      </c>
      <c r="AK37" s="80">
        <v>549.38</v>
      </c>
      <c r="AL37" s="80">
        <v>5000</v>
      </c>
      <c r="AM37" s="78"/>
      <c r="AN37" s="78"/>
      <c r="AO37" s="78"/>
      <c r="AP37" s="78"/>
      <c r="AQ37" s="78"/>
      <c r="AR37" s="85">
        <f t="shared" si="23"/>
        <v>7686.36</v>
      </c>
      <c r="AS37" s="85">
        <f t="shared" si="24"/>
        <v>1098.76</v>
      </c>
      <c r="AT37" s="86">
        <f t="shared" si="25"/>
        <v>10000</v>
      </c>
      <c r="AU37" s="86"/>
      <c r="AV37" s="85"/>
      <c r="AW37" s="108"/>
      <c r="AX37" s="99"/>
      <c r="AY37" s="90">
        <f t="shared" si="28"/>
        <v>0</v>
      </c>
      <c r="AZ37" s="100"/>
      <c r="BA37" s="101">
        <f t="shared" si="27"/>
        <v>3012.55</v>
      </c>
      <c r="BB37" s="104"/>
    </row>
    <row r="38" s="4" customFormat="1" ht="25" customHeight="1" spans="1:54">
      <c r="A38" s="29">
        <v>32</v>
      </c>
      <c r="B38" s="20" t="s">
        <v>176</v>
      </c>
      <c r="C38" s="21" t="s">
        <v>84</v>
      </c>
      <c r="D38" s="21" t="s">
        <v>173</v>
      </c>
      <c r="E38" s="28" t="s">
        <v>89</v>
      </c>
      <c r="F38" s="28" t="s">
        <v>90</v>
      </c>
      <c r="G38" s="31" t="s">
        <v>177</v>
      </c>
      <c r="H38" s="31" t="s">
        <v>178</v>
      </c>
      <c r="I38" s="21"/>
      <c r="J38" s="43">
        <f>2100</f>
        <v>2100</v>
      </c>
      <c r="K38" s="45">
        <f>600</f>
        <v>600</v>
      </c>
      <c r="L38" s="45">
        <f>400</f>
        <v>400</v>
      </c>
      <c r="M38" s="43"/>
      <c r="N38" s="43">
        <v>100</v>
      </c>
      <c r="O38" s="45">
        <f>400</f>
        <v>400</v>
      </c>
      <c r="P38" s="43"/>
      <c r="Q38" s="43"/>
      <c r="R38" s="43"/>
      <c r="S38" s="43"/>
      <c r="T38" s="45">
        <f>(J38+K38+L38+N38+O38)/176*150.5</f>
        <v>3078.41</v>
      </c>
      <c r="U38" s="43"/>
      <c r="V38" s="55">
        <f t="shared" si="22"/>
        <v>521.59</v>
      </c>
      <c r="W38" s="56"/>
      <c r="X38" s="56"/>
      <c r="Y38" s="56"/>
      <c r="Z38" s="56"/>
      <c r="AA38" s="56"/>
      <c r="AB38" s="56"/>
      <c r="AC38" s="56"/>
      <c r="AD38" s="68"/>
      <c r="AE38" s="59"/>
      <c r="AF38" s="59"/>
      <c r="AG38" s="45"/>
      <c r="AH38" s="43"/>
      <c r="AI38" s="45">
        <f t="shared" si="14"/>
        <v>0</v>
      </c>
      <c r="AJ38" s="77">
        <v>3812.07</v>
      </c>
      <c r="AK38" s="77">
        <v>0</v>
      </c>
      <c r="AL38" s="79">
        <v>5000</v>
      </c>
      <c r="AM38" s="74"/>
      <c r="AN38" s="74"/>
      <c r="AO38" s="74"/>
      <c r="AP38" s="74"/>
      <c r="AQ38" s="74"/>
      <c r="AR38" s="85">
        <f t="shared" si="23"/>
        <v>4333.66</v>
      </c>
      <c r="AS38" s="85">
        <f t="shared" si="24"/>
        <v>0</v>
      </c>
      <c r="AT38" s="86">
        <f t="shared" si="25"/>
        <v>10000</v>
      </c>
      <c r="AU38" s="73"/>
      <c r="AV38" s="72"/>
      <c r="AW38" s="108"/>
      <c r="AX38" s="96"/>
      <c r="AY38" s="90">
        <f t="shared" si="28"/>
        <v>0</v>
      </c>
      <c r="AZ38" s="54"/>
      <c r="BA38" s="101">
        <f t="shared" si="27"/>
        <v>521.59</v>
      </c>
      <c r="BB38" s="104" t="s">
        <v>179</v>
      </c>
    </row>
    <row r="39" s="4" customFormat="1" ht="22" customHeight="1" spans="1:54">
      <c r="A39" s="23"/>
      <c r="B39" s="24" t="s">
        <v>180</v>
      </c>
      <c r="C39" s="21"/>
      <c r="D39" s="26"/>
      <c r="E39" s="26"/>
      <c r="F39" s="26"/>
      <c r="G39" s="22"/>
      <c r="H39" s="22"/>
      <c r="I39" s="26"/>
      <c r="J39" s="44">
        <f>SUM(J12:J38)</f>
        <v>56700</v>
      </c>
      <c r="K39" s="44">
        <f t="shared" ref="K39:V39" si="29">SUM(K12:K38)</f>
        <v>21811.93</v>
      </c>
      <c r="L39" s="44">
        <f t="shared" si="29"/>
        <v>16574.42</v>
      </c>
      <c r="M39" s="44">
        <f t="shared" si="29"/>
        <v>4600</v>
      </c>
      <c r="N39" s="44">
        <f t="shared" si="29"/>
        <v>2700</v>
      </c>
      <c r="O39" s="44">
        <f t="shared" si="29"/>
        <v>2982.1</v>
      </c>
      <c r="P39" s="44">
        <f t="shared" si="29"/>
        <v>1260</v>
      </c>
      <c r="Q39" s="44">
        <f t="shared" si="29"/>
        <v>0</v>
      </c>
      <c r="R39" s="44">
        <f t="shared" si="29"/>
        <v>7494.83</v>
      </c>
      <c r="S39" s="44">
        <f t="shared" si="29"/>
        <v>5700</v>
      </c>
      <c r="T39" s="44">
        <f t="shared" si="29"/>
        <v>3372.66</v>
      </c>
      <c r="U39" s="44">
        <f t="shared" si="29"/>
        <v>-15.61</v>
      </c>
      <c r="V39" s="44">
        <f t="shared" si="29"/>
        <v>116435.01</v>
      </c>
      <c r="W39" s="44">
        <f t="shared" ref="W39:BA39" si="30">SUM(W12:W38)</f>
        <v>6923.74</v>
      </c>
      <c r="X39" s="44">
        <f t="shared" si="30"/>
        <v>521.06</v>
      </c>
      <c r="Y39" s="44">
        <f t="shared" si="30"/>
        <v>3397.8</v>
      </c>
      <c r="Z39" s="44">
        <f t="shared" si="30"/>
        <v>525.04</v>
      </c>
      <c r="AA39" s="44">
        <f t="shared" si="30"/>
        <v>142.37</v>
      </c>
      <c r="AB39" s="44">
        <f t="shared" si="30"/>
        <v>521.24</v>
      </c>
      <c r="AC39" s="44">
        <f t="shared" si="30"/>
        <v>1951.76</v>
      </c>
      <c r="AD39" s="44">
        <f t="shared" si="30"/>
        <v>8269.6</v>
      </c>
      <c r="AE39" s="44">
        <f t="shared" si="30"/>
        <v>2067.4</v>
      </c>
      <c r="AF39" s="44">
        <f t="shared" si="30"/>
        <v>413.4</v>
      </c>
      <c r="AG39" s="44">
        <f t="shared" si="30"/>
        <v>3246</v>
      </c>
      <c r="AH39" s="44">
        <f t="shared" si="30"/>
        <v>0</v>
      </c>
      <c r="AI39" s="44">
        <f t="shared" si="30"/>
        <v>13996.4</v>
      </c>
      <c r="AJ39" s="44">
        <f t="shared" si="30"/>
        <v>100331.32</v>
      </c>
      <c r="AK39" s="44">
        <f t="shared" si="30"/>
        <v>14545.78</v>
      </c>
      <c r="AL39" s="44">
        <f t="shared" si="30"/>
        <v>135000</v>
      </c>
      <c r="AM39" s="44">
        <f t="shared" si="30"/>
        <v>2000</v>
      </c>
      <c r="AN39" s="44">
        <f t="shared" si="30"/>
        <v>1000</v>
      </c>
      <c r="AO39" s="44">
        <f t="shared" si="30"/>
        <v>0</v>
      </c>
      <c r="AP39" s="44">
        <f t="shared" si="30"/>
        <v>0</v>
      </c>
      <c r="AQ39" s="44">
        <f t="shared" si="30"/>
        <v>0</v>
      </c>
      <c r="AR39" s="44">
        <f t="shared" si="30"/>
        <v>216766.33</v>
      </c>
      <c r="AS39" s="44">
        <f t="shared" si="30"/>
        <v>28542.18</v>
      </c>
      <c r="AT39" s="44">
        <f t="shared" si="30"/>
        <v>270000</v>
      </c>
      <c r="AU39" s="44">
        <f t="shared" si="30"/>
        <v>6000</v>
      </c>
      <c r="AV39" s="44">
        <f t="shared" si="30"/>
        <v>-73501.19</v>
      </c>
      <c r="AW39" s="44">
        <f t="shared" si="30"/>
        <v>171.72</v>
      </c>
      <c r="AX39" s="44">
        <f t="shared" si="30"/>
        <v>107</v>
      </c>
      <c r="AY39" s="44">
        <f t="shared" si="30"/>
        <v>64.72</v>
      </c>
      <c r="AZ39" s="44">
        <f t="shared" si="30"/>
        <v>0</v>
      </c>
      <c r="BA39" s="44">
        <f t="shared" si="30"/>
        <v>102373.89</v>
      </c>
      <c r="BB39" s="109"/>
    </row>
    <row r="40" s="5" customFormat="1" ht="25" customHeight="1" spans="1:54">
      <c r="A40" s="29">
        <v>33</v>
      </c>
      <c r="B40" s="30" t="s">
        <v>181</v>
      </c>
      <c r="C40" s="28" t="s">
        <v>182</v>
      </c>
      <c r="D40" s="28" t="s">
        <v>56</v>
      </c>
      <c r="E40" s="28" t="s">
        <v>57</v>
      </c>
      <c r="F40" s="28" t="s">
        <v>58</v>
      </c>
      <c r="G40" s="31" t="s">
        <v>183</v>
      </c>
      <c r="H40" s="31" t="s">
        <v>184</v>
      </c>
      <c r="I40" s="28"/>
      <c r="J40" s="45">
        <v>2100</v>
      </c>
      <c r="K40" s="45">
        <v>3500</v>
      </c>
      <c r="L40" s="45">
        <f>3170*0.995</f>
        <v>3154.15</v>
      </c>
      <c r="M40" s="45">
        <v>200</v>
      </c>
      <c r="N40" s="45">
        <v>100</v>
      </c>
      <c r="O40" s="45"/>
      <c r="P40" s="45">
        <v>60</v>
      </c>
      <c r="Q40" s="45"/>
      <c r="R40" s="45"/>
      <c r="S40" s="43"/>
      <c r="T40" s="45"/>
      <c r="U40" s="45">
        <v>12</v>
      </c>
      <c r="V40" s="58">
        <f>SUM(J40:S40)-T40+U40</f>
        <v>9126.15</v>
      </c>
      <c r="W40" s="59">
        <v>462.08</v>
      </c>
      <c r="X40" s="59">
        <v>19.42</v>
      </c>
      <c r="Y40" s="59">
        <v>210.34</v>
      </c>
      <c r="Z40" s="59">
        <v>32.36</v>
      </c>
      <c r="AA40" s="59">
        <v>7.28</v>
      </c>
      <c r="AB40" s="59">
        <v>25.89</v>
      </c>
      <c r="AC40" s="59">
        <v>137</v>
      </c>
      <c r="AD40" s="21">
        <v>365.6</v>
      </c>
      <c r="AE40" s="21">
        <v>91.4</v>
      </c>
      <c r="AF40" s="21">
        <v>18.28</v>
      </c>
      <c r="AG40" s="45">
        <v>156</v>
      </c>
      <c r="AH40" s="43"/>
      <c r="AI40" s="45">
        <f>SUM(AD40:AH40)</f>
        <v>631.28</v>
      </c>
      <c r="AJ40" s="77">
        <v>9747</v>
      </c>
      <c r="AK40" s="77">
        <v>631.28</v>
      </c>
      <c r="AL40" s="77">
        <v>5000</v>
      </c>
      <c r="AM40" s="77">
        <v>1000</v>
      </c>
      <c r="AN40" s="77">
        <v>2000</v>
      </c>
      <c r="AO40" s="77">
        <v>0</v>
      </c>
      <c r="AP40" s="77">
        <v>0</v>
      </c>
      <c r="AQ40" s="77">
        <v>0</v>
      </c>
      <c r="AR40" s="85">
        <f t="shared" ref="AR40:AR50" si="31">V40+AJ40</f>
        <v>18873.15</v>
      </c>
      <c r="AS40" s="85">
        <f t="shared" ref="AS40:AS52" si="32">AI40+AK40</f>
        <v>1262.56</v>
      </c>
      <c r="AT40" s="86">
        <f t="shared" ref="AT40:AT50" si="33">AL40+5000</f>
        <v>10000</v>
      </c>
      <c r="AU40" s="86">
        <f>AM40+AN40+3000</f>
        <v>6000</v>
      </c>
      <c r="AV40" s="85">
        <f t="shared" ref="AV40:AV50" si="34">AR40-AS40-AT40-AU40</f>
        <v>1610.59</v>
      </c>
      <c r="AW40" s="90">
        <f>5*MAX(0,AV40*{0.6;2;4;5;6;7;9}%-{0;504;3384;6384;10584;17184;36384})</f>
        <v>48.32</v>
      </c>
      <c r="AX40" s="99">
        <v>33.47</v>
      </c>
      <c r="AY40" s="90">
        <f>IF(+AW40-AX40&gt;0,AW40-AX40,0)</f>
        <v>14.85</v>
      </c>
      <c r="AZ40" s="100"/>
      <c r="BA40" s="101">
        <f t="shared" ref="BA40:BA49" si="35">V40-AI40-AY40</f>
        <v>8480.02</v>
      </c>
      <c r="BB40" s="103"/>
    </row>
    <row r="41" s="5" customFormat="1" ht="25" customHeight="1" spans="1:54">
      <c r="A41" s="29">
        <v>34</v>
      </c>
      <c r="B41" s="30" t="s">
        <v>185</v>
      </c>
      <c r="C41" s="30" t="s">
        <v>182</v>
      </c>
      <c r="D41" s="28" t="s">
        <v>186</v>
      </c>
      <c r="E41" s="28" t="s">
        <v>57</v>
      </c>
      <c r="F41" s="28" t="s">
        <v>58</v>
      </c>
      <c r="G41" s="31" t="s">
        <v>187</v>
      </c>
      <c r="H41" s="31" t="s">
        <v>188</v>
      </c>
      <c r="I41" s="28"/>
      <c r="J41" s="45">
        <v>2100</v>
      </c>
      <c r="K41" s="45">
        <v>2000</v>
      </c>
      <c r="L41" s="45">
        <f>970*0.998</f>
        <v>968.06</v>
      </c>
      <c r="M41" s="45">
        <v>200</v>
      </c>
      <c r="N41" s="45">
        <v>100</v>
      </c>
      <c r="O41" s="45"/>
      <c r="P41" s="45">
        <v>80</v>
      </c>
      <c r="Q41" s="45"/>
      <c r="R41" s="45"/>
      <c r="S41" s="43"/>
      <c r="T41" s="45"/>
      <c r="U41" s="45"/>
      <c r="V41" s="58">
        <f>SUM(J41:S41)-T41+U41</f>
        <v>5448.06</v>
      </c>
      <c r="W41" s="59">
        <v>431.52</v>
      </c>
      <c r="X41" s="59">
        <v>19.42</v>
      </c>
      <c r="Y41" s="59">
        <v>210.34</v>
      </c>
      <c r="Z41" s="59">
        <v>32.36</v>
      </c>
      <c r="AA41" s="59">
        <v>7.28</v>
      </c>
      <c r="AB41" s="59">
        <v>25.89</v>
      </c>
      <c r="AC41" s="59">
        <v>107</v>
      </c>
      <c r="AD41" s="67">
        <v>341.6</v>
      </c>
      <c r="AE41" s="56">
        <v>85.4</v>
      </c>
      <c r="AF41" s="56">
        <v>17.08</v>
      </c>
      <c r="AG41" s="45">
        <v>138</v>
      </c>
      <c r="AH41" s="43"/>
      <c r="AI41" s="45">
        <f t="shared" ref="AI41:AI49" si="36">SUM(AD41:AH41)</f>
        <v>582.08</v>
      </c>
      <c r="AJ41" s="77">
        <v>5803.35</v>
      </c>
      <c r="AK41" s="77">
        <v>582.08</v>
      </c>
      <c r="AL41" s="77">
        <v>5000</v>
      </c>
      <c r="AM41" s="78"/>
      <c r="AN41" s="78"/>
      <c r="AO41" s="78"/>
      <c r="AP41" s="78"/>
      <c r="AQ41" s="78"/>
      <c r="AR41" s="85">
        <f t="shared" si="31"/>
        <v>11251.41</v>
      </c>
      <c r="AS41" s="85">
        <f t="shared" si="32"/>
        <v>1164.16</v>
      </c>
      <c r="AT41" s="86">
        <f t="shared" si="33"/>
        <v>10000</v>
      </c>
      <c r="AU41" s="86"/>
      <c r="AV41" s="85">
        <f t="shared" si="34"/>
        <v>87.25</v>
      </c>
      <c r="AW41" s="90">
        <f>5*MAX(0,AV41*{0.6;2;4;5;6;7;9}%-{0;504;3384;6384;10584;17184;36384})</f>
        <v>2.62</v>
      </c>
      <c r="AX41" s="99">
        <v>6.64</v>
      </c>
      <c r="AY41" s="90">
        <f t="shared" ref="AY40:AY50" si="37">IF(+AW41-AX41&gt;0,AW41-AX41,0)</f>
        <v>0</v>
      </c>
      <c r="AZ41" s="100"/>
      <c r="BA41" s="101">
        <f t="shared" si="35"/>
        <v>4865.98</v>
      </c>
      <c r="BB41" s="103"/>
    </row>
    <row r="42" s="5" customFormat="1" ht="25" customHeight="1" spans="1:54">
      <c r="A42" s="29">
        <v>35</v>
      </c>
      <c r="B42" s="30" t="s">
        <v>189</v>
      </c>
      <c r="C42" s="30" t="s">
        <v>182</v>
      </c>
      <c r="D42" s="28" t="s">
        <v>190</v>
      </c>
      <c r="E42" s="28" t="s">
        <v>57</v>
      </c>
      <c r="F42" s="28" t="s">
        <v>58</v>
      </c>
      <c r="G42" s="31" t="s">
        <v>191</v>
      </c>
      <c r="H42" s="31" t="s">
        <v>192</v>
      </c>
      <c r="I42" s="28"/>
      <c r="J42" s="45">
        <v>2100</v>
      </c>
      <c r="K42" s="45">
        <f>2400</f>
        <v>2400</v>
      </c>
      <c r="L42" s="45">
        <f>1970*1</f>
        <v>1970</v>
      </c>
      <c r="M42" s="45">
        <v>200</v>
      </c>
      <c r="N42" s="45">
        <v>100</v>
      </c>
      <c r="O42" s="45"/>
      <c r="P42" s="45">
        <v>20</v>
      </c>
      <c r="Q42" s="45"/>
      <c r="R42" s="45"/>
      <c r="S42" s="43"/>
      <c r="T42" s="45"/>
      <c r="U42" s="45">
        <v>48</v>
      </c>
      <c r="V42" s="58">
        <f>SUM(J42:S42)-T42+U42</f>
        <v>6838</v>
      </c>
      <c r="W42" s="59"/>
      <c r="X42" s="59"/>
      <c r="Y42" s="59"/>
      <c r="Z42" s="59"/>
      <c r="AA42" s="59"/>
      <c r="AB42" s="59"/>
      <c r="AC42" s="59"/>
      <c r="AD42" s="67">
        <v>341.6</v>
      </c>
      <c r="AE42" s="56">
        <v>85.4</v>
      </c>
      <c r="AF42" s="56">
        <v>17.08</v>
      </c>
      <c r="AG42" s="45">
        <v>138</v>
      </c>
      <c r="AH42" s="43"/>
      <c r="AI42" s="45">
        <f t="shared" si="36"/>
        <v>582.08</v>
      </c>
      <c r="AJ42" s="77">
        <v>7237.75</v>
      </c>
      <c r="AK42" s="77">
        <v>582.08</v>
      </c>
      <c r="AL42" s="77">
        <v>5000</v>
      </c>
      <c r="AM42" s="78"/>
      <c r="AN42" s="78"/>
      <c r="AO42" s="78">
        <v>1000</v>
      </c>
      <c r="AP42" s="78"/>
      <c r="AQ42" s="78"/>
      <c r="AR42" s="85">
        <f t="shared" si="31"/>
        <v>14075.75</v>
      </c>
      <c r="AS42" s="85">
        <f t="shared" si="32"/>
        <v>1164.16</v>
      </c>
      <c r="AT42" s="86">
        <f t="shared" si="33"/>
        <v>10000</v>
      </c>
      <c r="AU42" s="86">
        <f>AO42+1000</f>
        <v>2000</v>
      </c>
      <c r="AV42" s="85">
        <f t="shared" si="34"/>
        <v>911.59</v>
      </c>
      <c r="AW42" s="90">
        <f>5*MAX(0,AV42*{0.6;2;4;5;6;7;9}%-{0;504;3384;6384;10584;17184;36384})</f>
        <v>27.35</v>
      </c>
      <c r="AX42" s="99">
        <v>19.67</v>
      </c>
      <c r="AY42" s="90">
        <f t="shared" si="37"/>
        <v>7.68</v>
      </c>
      <c r="AZ42" s="100"/>
      <c r="BA42" s="101">
        <f t="shared" si="35"/>
        <v>6248.24</v>
      </c>
      <c r="BB42" s="103"/>
    </row>
    <row r="43" s="4" customFormat="1" ht="25" customHeight="1" spans="1:54">
      <c r="A43" s="29">
        <v>36</v>
      </c>
      <c r="B43" s="20" t="s">
        <v>193</v>
      </c>
      <c r="C43" s="20" t="s">
        <v>182</v>
      </c>
      <c r="D43" s="21" t="s">
        <v>194</v>
      </c>
      <c r="E43" s="21" t="s">
        <v>89</v>
      </c>
      <c r="F43" s="21" t="s">
        <v>90</v>
      </c>
      <c r="G43" s="22" t="s">
        <v>195</v>
      </c>
      <c r="H43" s="22" t="s">
        <v>196</v>
      </c>
      <c r="I43" s="21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55">
        <v>2000</v>
      </c>
      <c r="W43" s="56"/>
      <c r="X43" s="56"/>
      <c r="Y43" s="56"/>
      <c r="Z43" s="56"/>
      <c r="AA43" s="56"/>
      <c r="AB43" s="56"/>
      <c r="AC43" s="56"/>
      <c r="AD43" s="67"/>
      <c r="AE43" s="56"/>
      <c r="AF43" s="56"/>
      <c r="AG43" s="43" t="s">
        <v>197</v>
      </c>
      <c r="AH43" s="43"/>
      <c r="AI43" s="43">
        <f t="shared" si="36"/>
        <v>0</v>
      </c>
      <c r="AJ43" s="77">
        <v>0</v>
      </c>
      <c r="AK43" s="77">
        <v>0</v>
      </c>
      <c r="AL43" s="77">
        <v>5000</v>
      </c>
      <c r="AM43" s="74"/>
      <c r="AN43" s="74"/>
      <c r="AO43" s="74"/>
      <c r="AP43" s="74"/>
      <c r="AQ43" s="74"/>
      <c r="AR43" s="72">
        <f t="shared" si="31"/>
        <v>2000</v>
      </c>
      <c r="AS43" s="72">
        <f t="shared" si="32"/>
        <v>0</v>
      </c>
      <c r="AT43" s="73">
        <f t="shared" si="33"/>
        <v>10000</v>
      </c>
      <c r="AU43" s="73"/>
      <c r="AV43" s="72">
        <f t="shared" si="34"/>
        <v>-8000</v>
      </c>
      <c r="AW43" s="90">
        <f>5*MAX(0,AV43*{0.6;2;4;5;6;7;9}%-{0;504;3384;6384;10584;17184;36384})</f>
        <v>0</v>
      </c>
      <c r="AX43" s="96">
        <v>0</v>
      </c>
      <c r="AY43" s="90">
        <f t="shared" si="37"/>
        <v>0</v>
      </c>
      <c r="AZ43" s="54"/>
      <c r="BA43" s="91">
        <f t="shared" si="35"/>
        <v>2000</v>
      </c>
      <c r="BB43" s="107"/>
    </row>
    <row r="44" s="4" customFormat="1" ht="25" customHeight="1" spans="1:54">
      <c r="A44" s="29">
        <v>37</v>
      </c>
      <c r="B44" s="20" t="s">
        <v>198</v>
      </c>
      <c r="C44" s="20" t="s">
        <v>182</v>
      </c>
      <c r="D44" s="21" t="s">
        <v>199</v>
      </c>
      <c r="E44" s="21" t="s">
        <v>89</v>
      </c>
      <c r="F44" s="21" t="s">
        <v>63</v>
      </c>
      <c r="G44" s="22" t="s">
        <v>200</v>
      </c>
      <c r="H44" s="22" t="s">
        <v>201</v>
      </c>
      <c r="I44" s="21"/>
      <c r="J44" s="43">
        <v>2100</v>
      </c>
      <c r="K44" s="43">
        <f>400</f>
        <v>400</v>
      </c>
      <c r="L44" s="43">
        <f>300</f>
        <v>300</v>
      </c>
      <c r="M44" s="45">
        <v>200</v>
      </c>
      <c r="N44" s="43">
        <v>100</v>
      </c>
      <c r="O44" s="43"/>
      <c r="P44" s="43">
        <v>60</v>
      </c>
      <c r="Q44" s="43"/>
      <c r="R44" s="43">
        <f>J44/21.75/8*0*1.5+J44/21.75/8*7.5*2</f>
        <v>181.03</v>
      </c>
      <c r="T44" s="43"/>
      <c r="U44" s="43"/>
      <c r="V44" s="55">
        <f>SUM(J44:S44)-T44+U44</f>
        <v>3341.03</v>
      </c>
      <c r="W44" s="56">
        <v>431.52</v>
      </c>
      <c r="X44" s="56">
        <v>19.42</v>
      </c>
      <c r="Y44" s="56">
        <v>210.34</v>
      </c>
      <c r="Z44" s="56">
        <v>32.36</v>
      </c>
      <c r="AA44" s="56">
        <v>7.28</v>
      </c>
      <c r="AB44" s="56">
        <v>25.89</v>
      </c>
      <c r="AC44" s="56">
        <v>107</v>
      </c>
      <c r="AD44" s="67">
        <v>325.68</v>
      </c>
      <c r="AE44" s="56">
        <v>81.42</v>
      </c>
      <c r="AF44" s="56">
        <v>16.28</v>
      </c>
      <c r="AG44" s="43">
        <v>126</v>
      </c>
      <c r="AH44" s="43"/>
      <c r="AI44" s="43">
        <f t="shared" si="36"/>
        <v>549.38</v>
      </c>
      <c r="AJ44" s="77">
        <v>2611.99</v>
      </c>
      <c r="AK44" s="77">
        <v>549.38</v>
      </c>
      <c r="AL44" s="77">
        <v>5000</v>
      </c>
      <c r="AM44" s="74"/>
      <c r="AN44" s="74"/>
      <c r="AO44" s="74"/>
      <c r="AP44" s="74"/>
      <c r="AQ44" s="74"/>
      <c r="AR44" s="72">
        <f t="shared" si="31"/>
        <v>5953.02</v>
      </c>
      <c r="AS44" s="72">
        <f t="shared" si="32"/>
        <v>1098.76</v>
      </c>
      <c r="AT44" s="73">
        <f t="shared" si="33"/>
        <v>10000</v>
      </c>
      <c r="AU44" s="73"/>
      <c r="AV44" s="72">
        <f t="shared" si="34"/>
        <v>-5145.74</v>
      </c>
      <c r="AW44" s="90">
        <f>5*MAX(0,AV44*{0.6;2;4;5;6;7;9}%-{0;504;3384;6384;10584;17184;36384})</f>
        <v>0</v>
      </c>
      <c r="AX44" s="96">
        <v>0</v>
      </c>
      <c r="AY44" s="90">
        <f t="shared" si="37"/>
        <v>0</v>
      </c>
      <c r="AZ44" s="54"/>
      <c r="BA44" s="91">
        <f t="shared" si="35"/>
        <v>2791.65</v>
      </c>
      <c r="BB44" s="107"/>
    </row>
    <row r="45" s="4" customFormat="1" ht="25" customHeight="1" spans="1:54">
      <c r="A45" s="29">
        <v>38</v>
      </c>
      <c r="B45" s="20" t="s">
        <v>202</v>
      </c>
      <c r="C45" s="20" t="s">
        <v>182</v>
      </c>
      <c r="D45" s="21" t="s">
        <v>194</v>
      </c>
      <c r="E45" s="21" t="s">
        <v>89</v>
      </c>
      <c r="F45" s="21" t="s">
        <v>90</v>
      </c>
      <c r="G45" s="22" t="s">
        <v>203</v>
      </c>
      <c r="H45" s="22" t="s">
        <v>204</v>
      </c>
      <c r="I45" s="21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55">
        <v>2000</v>
      </c>
      <c r="W45" s="56"/>
      <c r="X45" s="56"/>
      <c r="Y45" s="56"/>
      <c r="Z45" s="56"/>
      <c r="AA45" s="56"/>
      <c r="AB45" s="56"/>
      <c r="AC45" s="56"/>
      <c r="AD45" s="56" t="s">
        <v>197</v>
      </c>
      <c r="AE45" s="56"/>
      <c r="AF45" s="56" t="s">
        <v>197</v>
      </c>
      <c r="AG45" s="43" t="s">
        <v>197</v>
      </c>
      <c r="AH45" s="43"/>
      <c r="AI45" s="43">
        <f t="shared" si="36"/>
        <v>0</v>
      </c>
      <c r="AJ45" s="77">
        <v>2000</v>
      </c>
      <c r="AK45" s="77">
        <v>0</v>
      </c>
      <c r="AL45" s="77">
        <v>5000</v>
      </c>
      <c r="AM45" s="74"/>
      <c r="AN45" s="74"/>
      <c r="AO45" s="74"/>
      <c r="AP45" s="74"/>
      <c r="AQ45" s="74"/>
      <c r="AR45" s="72">
        <f t="shared" si="31"/>
        <v>4000</v>
      </c>
      <c r="AS45" s="72">
        <f t="shared" si="32"/>
        <v>0</v>
      </c>
      <c r="AT45" s="73">
        <f t="shared" si="33"/>
        <v>10000</v>
      </c>
      <c r="AU45" s="73"/>
      <c r="AV45" s="72">
        <f t="shared" si="34"/>
        <v>-6000</v>
      </c>
      <c r="AW45" s="90">
        <f>5*MAX(0,AV45*{0.6;2;4;5;6;7;9}%-{0;504;3384;6384;10584;17184;36384})</f>
        <v>0</v>
      </c>
      <c r="AX45" s="96">
        <v>0</v>
      </c>
      <c r="AY45" s="90">
        <f t="shared" si="37"/>
        <v>0</v>
      </c>
      <c r="AZ45" s="54"/>
      <c r="BA45" s="91">
        <f t="shared" si="35"/>
        <v>2000</v>
      </c>
      <c r="BB45" s="107"/>
    </row>
    <row r="46" s="4" customFormat="1" ht="25" customHeight="1" spans="1:54">
      <c r="A46" s="29">
        <v>39</v>
      </c>
      <c r="B46" s="20" t="s">
        <v>205</v>
      </c>
      <c r="C46" s="20" t="s">
        <v>182</v>
      </c>
      <c r="D46" s="21" t="s">
        <v>194</v>
      </c>
      <c r="E46" s="21" t="s">
        <v>89</v>
      </c>
      <c r="F46" s="21" t="s">
        <v>90</v>
      </c>
      <c r="G46" s="22" t="s">
        <v>206</v>
      </c>
      <c r="H46" s="22" t="s">
        <v>207</v>
      </c>
      <c r="I46" s="21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55">
        <v>2000</v>
      </c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43" t="s">
        <v>197</v>
      </c>
      <c r="AH46" s="43"/>
      <c r="AI46" s="43">
        <f t="shared" si="36"/>
        <v>0</v>
      </c>
      <c r="AJ46" s="77">
        <v>0</v>
      </c>
      <c r="AK46" s="77">
        <v>0</v>
      </c>
      <c r="AL46" s="77">
        <v>5000</v>
      </c>
      <c r="AM46" s="74"/>
      <c r="AN46" s="74"/>
      <c r="AO46" s="74"/>
      <c r="AP46" s="74"/>
      <c r="AQ46" s="74"/>
      <c r="AR46" s="72">
        <f t="shared" si="31"/>
        <v>2000</v>
      </c>
      <c r="AS46" s="72">
        <f t="shared" si="32"/>
        <v>0</v>
      </c>
      <c r="AT46" s="73">
        <f t="shared" si="33"/>
        <v>10000</v>
      </c>
      <c r="AU46" s="73"/>
      <c r="AV46" s="72">
        <f t="shared" si="34"/>
        <v>-8000</v>
      </c>
      <c r="AW46" s="90">
        <f>5*MAX(0,AV46*{0.6;2;4;5;6;7;9}%-{0;504;3384;6384;10584;17184;36384})</f>
        <v>0</v>
      </c>
      <c r="AX46" s="96">
        <v>0</v>
      </c>
      <c r="AY46" s="90">
        <f t="shared" si="37"/>
        <v>0</v>
      </c>
      <c r="AZ46" s="54"/>
      <c r="BA46" s="91">
        <f t="shared" si="35"/>
        <v>2000</v>
      </c>
      <c r="BB46" s="107"/>
    </row>
    <row r="47" s="4" customFormat="1" ht="25" customHeight="1" spans="1:54">
      <c r="A47" s="29">
        <v>40</v>
      </c>
      <c r="B47" s="20" t="s">
        <v>208</v>
      </c>
      <c r="C47" s="20" t="s">
        <v>182</v>
      </c>
      <c r="D47" s="32" t="s">
        <v>209</v>
      </c>
      <c r="E47" s="21" t="s">
        <v>89</v>
      </c>
      <c r="F47" s="21" t="s">
        <v>90</v>
      </c>
      <c r="G47" s="22" t="s">
        <v>210</v>
      </c>
      <c r="H47" s="22" t="s">
        <v>211</v>
      </c>
      <c r="I47" s="21"/>
      <c r="J47" s="43">
        <v>2100</v>
      </c>
      <c r="K47" s="43">
        <f>400</f>
        <v>400</v>
      </c>
      <c r="L47" s="43">
        <f>300</f>
        <v>300</v>
      </c>
      <c r="M47" s="45">
        <v>200</v>
      </c>
      <c r="N47" s="43">
        <f>100</f>
        <v>100</v>
      </c>
      <c r="O47" s="43">
        <f>300</f>
        <v>300</v>
      </c>
      <c r="P47" s="43">
        <v>20</v>
      </c>
      <c r="Q47" s="43"/>
      <c r="R47" s="43">
        <f>J47/21.75/8*0*1.5+J47/21.75/8*9*2</f>
        <v>217.24</v>
      </c>
      <c r="S47" s="43"/>
      <c r="T47" s="43"/>
      <c r="U47" s="43">
        <v>20</v>
      </c>
      <c r="V47" s="55">
        <f>SUM(J47:S47)-T47+U47</f>
        <v>3657.24</v>
      </c>
      <c r="W47" s="56"/>
      <c r="X47" s="56"/>
      <c r="Y47" s="56"/>
      <c r="Z47" s="56"/>
      <c r="AA47" s="56"/>
      <c r="AB47" s="56"/>
      <c r="AC47" s="56"/>
      <c r="AD47" s="67">
        <v>325.68</v>
      </c>
      <c r="AE47" s="56">
        <v>81.42</v>
      </c>
      <c r="AF47" s="56">
        <v>16.28</v>
      </c>
      <c r="AG47" s="43">
        <v>126</v>
      </c>
      <c r="AH47" s="43"/>
      <c r="AI47" s="43">
        <f t="shared" si="36"/>
        <v>549.38</v>
      </c>
      <c r="AJ47" s="77">
        <v>2913.63</v>
      </c>
      <c r="AK47" s="77">
        <v>549.38</v>
      </c>
      <c r="AL47" s="77">
        <v>5000</v>
      </c>
      <c r="AM47" s="74"/>
      <c r="AN47" s="74"/>
      <c r="AO47" s="74"/>
      <c r="AP47" s="74"/>
      <c r="AQ47" s="74"/>
      <c r="AR47" s="72">
        <f t="shared" si="31"/>
        <v>6570.87</v>
      </c>
      <c r="AS47" s="72">
        <f t="shared" si="32"/>
        <v>1098.76</v>
      </c>
      <c r="AT47" s="73">
        <f t="shared" si="33"/>
        <v>10000</v>
      </c>
      <c r="AU47" s="73"/>
      <c r="AV47" s="72">
        <f t="shared" si="34"/>
        <v>-4527.89</v>
      </c>
      <c r="AW47" s="90">
        <f>5*MAX(0,AV47*{0.6;2;4;5;6;7;9}%-{0;504;3384;6384;10584;17184;36384})</f>
        <v>0</v>
      </c>
      <c r="AX47" s="96">
        <v>0</v>
      </c>
      <c r="AY47" s="90">
        <f t="shared" si="37"/>
        <v>0</v>
      </c>
      <c r="AZ47" s="54"/>
      <c r="BA47" s="91">
        <f t="shared" si="35"/>
        <v>3107.86</v>
      </c>
      <c r="BB47" s="104"/>
    </row>
    <row r="48" s="4" customFormat="1" ht="25" customHeight="1" spans="1:54">
      <c r="A48" s="29">
        <v>41</v>
      </c>
      <c r="B48" s="20" t="s">
        <v>212</v>
      </c>
      <c r="C48" s="20" t="s">
        <v>182</v>
      </c>
      <c r="D48" s="21" t="s">
        <v>213</v>
      </c>
      <c r="E48" s="21" t="s">
        <v>89</v>
      </c>
      <c r="F48" s="21" t="s">
        <v>90</v>
      </c>
      <c r="G48" s="112" t="s">
        <v>214</v>
      </c>
      <c r="H48" s="112" t="s">
        <v>215</v>
      </c>
      <c r="I48" s="21"/>
      <c r="J48" s="43">
        <v>2100</v>
      </c>
      <c r="K48" s="43">
        <f>400</f>
        <v>400</v>
      </c>
      <c r="L48" s="43">
        <f>300</f>
        <v>300</v>
      </c>
      <c r="M48" s="45"/>
      <c r="N48" s="43">
        <f>100</f>
        <v>100</v>
      </c>
      <c r="O48" s="43"/>
      <c r="P48" s="43"/>
      <c r="Q48" s="43"/>
      <c r="R48" s="43"/>
      <c r="S48" s="43"/>
      <c r="T48" s="45">
        <f>(J48+K48+L48+N48+O48)/176*144</f>
        <v>2372.73</v>
      </c>
      <c r="U48" s="43"/>
      <c r="V48" s="55">
        <f>SUM(J48:S48)-T48+U48</f>
        <v>527.27</v>
      </c>
      <c r="W48" s="56"/>
      <c r="X48" s="56"/>
      <c r="Y48" s="56"/>
      <c r="Z48" s="56"/>
      <c r="AA48" s="56"/>
      <c r="AB48" s="56"/>
      <c r="AC48" s="56"/>
      <c r="AD48" s="67"/>
      <c r="AE48" s="56"/>
      <c r="AF48" s="56"/>
      <c r="AG48" s="43"/>
      <c r="AH48" s="43"/>
      <c r="AI48" s="43">
        <v>419.31</v>
      </c>
      <c r="AJ48" s="77">
        <v>2581.82</v>
      </c>
      <c r="AK48" s="77">
        <v>0</v>
      </c>
      <c r="AL48" s="77">
        <v>5000</v>
      </c>
      <c r="AM48" s="74"/>
      <c r="AN48" s="74"/>
      <c r="AO48" s="74"/>
      <c r="AP48" s="74"/>
      <c r="AQ48" s="74"/>
      <c r="AR48" s="72">
        <f t="shared" si="31"/>
        <v>3109.09</v>
      </c>
      <c r="AS48" s="72">
        <f t="shared" si="32"/>
        <v>419.31</v>
      </c>
      <c r="AT48" s="73">
        <f t="shared" si="33"/>
        <v>10000</v>
      </c>
      <c r="AU48" s="73"/>
      <c r="AV48" s="72">
        <f t="shared" si="34"/>
        <v>-7310.22</v>
      </c>
      <c r="AW48" s="90">
        <f>5*MAX(0,AV48*{0.6;2;4;5;6;7;9}%-{0;504;3384;6384;10584;17184;36384})</f>
        <v>0</v>
      </c>
      <c r="AX48" s="96">
        <v>0</v>
      </c>
      <c r="AY48" s="90">
        <f t="shared" si="37"/>
        <v>0</v>
      </c>
      <c r="AZ48" s="54"/>
      <c r="BA48" s="91">
        <f t="shared" si="35"/>
        <v>107.96</v>
      </c>
      <c r="BB48" s="104" t="s">
        <v>216</v>
      </c>
    </row>
    <row r="49" s="6" customFormat="1" ht="23" customHeight="1" spans="1:54">
      <c r="A49" s="23"/>
      <c r="B49" s="24" t="s">
        <v>217</v>
      </c>
      <c r="C49" s="25"/>
      <c r="D49" s="26"/>
      <c r="E49" s="26"/>
      <c r="F49" s="26"/>
      <c r="G49" s="22"/>
      <c r="H49" s="27"/>
      <c r="I49" s="26"/>
      <c r="J49" s="44">
        <f>SUM(J40:J48)</f>
        <v>12600</v>
      </c>
      <c r="K49" s="44">
        <f t="shared" ref="J49:V49" si="38">SUM(K40:K48)</f>
        <v>9100</v>
      </c>
      <c r="L49" s="44">
        <f t="shared" si="38"/>
        <v>6992.21</v>
      </c>
      <c r="M49" s="44">
        <f t="shared" si="38"/>
        <v>1000</v>
      </c>
      <c r="N49" s="44">
        <f t="shared" si="38"/>
        <v>600</v>
      </c>
      <c r="O49" s="44">
        <f t="shared" si="38"/>
        <v>300</v>
      </c>
      <c r="P49" s="44">
        <f t="shared" si="38"/>
        <v>240</v>
      </c>
      <c r="Q49" s="44">
        <f t="shared" si="38"/>
        <v>0</v>
      </c>
      <c r="R49" s="44">
        <f t="shared" si="38"/>
        <v>398.27</v>
      </c>
      <c r="S49" s="44">
        <f t="shared" si="38"/>
        <v>0</v>
      </c>
      <c r="T49" s="44">
        <f t="shared" si="38"/>
        <v>2372.73</v>
      </c>
      <c r="U49" s="44">
        <f t="shared" si="38"/>
        <v>80</v>
      </c>
      <c r="V49" s="44">
        <f t="shared" si="38"/>
        <v>34937.75</v>
      </c>
      <c r="W49" s="44">
        <f t="shared" ref="W49:BA49" si="39">SUM(W40:W48)</f>
        <v>1325.12</v>
      </c>
      <c r="X49" s="44">
        <f t="shared" si="39"/>
        <v>58.26</v>
      </c>
      <c r="Y49" s="44">
        <f t="shared" si="39"/>
        <v>631.02</v>
      </c>
      <c r="Z49" s="44">
        <f t="shared" si="39"/>
        <v>97.08</v>
      </c>
      <c r="AA49" s="44">
        <f t="shared" si="39"/>
        <v>21.84</v>
      </c>
      <c r="AB49" s="44">
        <f t="shared" si="39"/>
        <v>77.67</v>
      </c>
      <c r="AC49" s="44">
        <f t="shared" si="39"/>
        <v>351</v>
      </c>
      <c r="AD49" s="44">
        <f t="shared" si="39"/>
        <v>1700.16</v>
      </c>
      <c r="AE49" s="44">
        <f t="shared" si="39"/>
        <v>425.04</v>
      </c>
      <c r="AF49" s="44">
        <f t="shared" si="39"/>
        <v>85</v>
      </c>
      <c r="AG49" s="44">
        <f t="shared" si="39"/>
        <v>684</v>
      </c>
      <c r="AH49" s="44">
        <f t="shared" si="39"/>
        <v>0</v>
      </c>
      <c r="AI49" s="44">
        <f t="shared" si="39"/>
        <v>3313.51</v>
      </c>
      <c r="AJ49" s="44">
        <f t="shared" si="39"/>
        <v>32895.54</v>
      </c>
      <c r="AK49" s="44">
        <f t="shared" si="39"/>
        <v>2894.2</v>
      </c>
      <c r="AL49" s="44">
        <f t="shared" si="39"/>
        <v>45000</v>
      </c>
      <c r="AM49" s="44">
        <f t="shared" si="39"/>
        <v>1000</v>
      </c>
      <c r="AN49" s="44">
        <f t="shared" si="39"/>
        <v>2000</v>
      </c>
      <c r="AO49" s="44">
        <f t="shared" si="39"/>
        <v>1000</v>
      </c>
      <c r="AP49" s="44">
        <f t="shared" si="39"/>
        <v>0</v>
      </c>
      <c r="AQ49" s="44">
        <f t="shared" si="39"/>
        <v>0</v>
      </c>
      <c r="AR49" s="44">
        <f t="shared" si="39"/>
        <v>67833.29</v>
      </c>
      <c r="AS49" s="44">
        <f t="shared" si="39"/>
        <v>6207.71</v>
      </c>
      <c r="AT49" s="44">
        <f t="shared" si="39"/>
        <v>90000</v>
      </c>
      <c r="AU49" s="44">
        <f t="shared" si="39"/>
        <v>8000</v>
      </c>
      <c r="AV49" s="44">
        <f t="shared" si="39"/>
        <v>-36374.42</v>
      </c>
      <c r="AW49" s="44">
        <f t="shared" si="39"/>
        <v>78.29</v>
      </c>
      <c r="AX49" s="44">
        <f t="shared" si="39"/>
        <v>59.78</v>
      </c>
      <c r="AY49" s="44">
        <f t="shared" si="39"/>
        <v>22.53</v>
      </c>
      <c r="AZ49" s="44">
        <f t="shared" si="39"/>
        <v>0</v>
      </c>
      <c r="BA49" s="44">
        <f>SUM(BA40:BA48)</f>
        <v>31601.71</v>
      </c>
      <c r="BB49" s="109"/>
    </row>
    <row r="50" s="6" customFormat="1" ht="30" customHeight="1" spans="1:54">
      <c r="A50" s="33" t="s">
        <v>218</v>
      </c>
      <c r="B50" s="34"/>
      <c r="C50" s="35"/>
      <c r="D50" s="35"/>
      <c r="E50" s="35"/>
      <c r="F50" s="35"/>
      <c r="G50" s="36"/>
      <c r="H50" s="37"/>
      <c r="I50" s="37" t="e">
        <f>I49+I39+#REF!+#REF!+#REF!+I6+#REF!</f>
        <v>#REF!</v>
      </c>
      <c r="J50" s="37">
        <f t="shared" ref="J50:AZ50" si="40">J49+J39+J9+J6+J11</f>
        <v>83183.34</v>
      </c>
      <c r="K50" s="37">
        <f t="shared" si="40"/>
        <v>39611.93</v>
      </c>
      <c r="L50" s="37">
        <f t="shared" si="40"/>
        <v>29603.38</v>
      </c>
      <c r="M50" s="37">
        <f t="shared" si="40"/>
        <v>6200</v>
      </c>
      <c r="N50" s="37">
        <f t="shared" si="40"/>
        <v>3600</v>
      </c>
      <c r="O50" s="37">
        <f t="shared" si="40"/>
        <v>3282.1</v>
      </c>
      <c r="P50" s="37">
        <f t="shared" si="40"/>
        <v>2040</v>
      </c>
      <c r="Q50" s="37">
        <f t="shared" si="40"/>
        <v>0</v>
      </c>
      <c r="R50" s="37">
        <f t="shared" si="40"/>
        <v>7893.1</v>
      </c>
      <c r="S50" s="37">
        <f t="shared" si="40"/>
        <v>5700</v>
      </c>
      <c r="T50" s="37">
        <f t="shared" si="40"/>
        <v>5745.39</v>
      </c>
      <c r="U50" s="37">
        <f t="shared" si="40"/>
        <v>64.39</v>
      </c>
      <c r="V50" s="37">
        <f>V49+V39+V9+V6+V11</f>
        <v>182532.85</v>
      </c>
      <c r="W50" s="37">
        <f t="shared" si="40"/>
        <v>8710.94</v>
      </c>
      <c r="X50" s="37">
        <f t="shared" si="40"/>
        <v>598.74</v>
      </c>
      <c r="Y50" s="37">
        <f t="shared" si="40"/>
        <v>4239.16</v>
      </c>
      <c r="Z50" s="37">
        <f t="shared" si="40"/>
        <v>654.48</v>
      </c>
      <c r="AA50" s="37">
        <f t="shared" si="40"/>
        <v>171.49</v>
      </c>
      <c r="AB50" s="37">
        <f t="shared" si="40"/>
        <v>624.8</v>
      </c>
      <c r="AC50" s="37">
        <f t="shared" si="40"/>
        <v>2409.76</v>
      </c>
      <c r="AD50" s="37">
        <f t="shared" si="40"/>
        <v>11512.08</v>
      </c>
      <c r="AE50" s="37">
        <f t="shared" si="40"/>
        <v>2881.02</v>
      </c>
      <c r="AF50" s="37">
        <f t="shared" si="40"/>
        <v>581.39</v>
      </c>
      <c r="AG50" s="37">
        <f t="shared" si="40"/>
        <v>4800</v>
      </c>
      <c r="AH50" s="37">
        <f t="shared" si="40"/>
        <v>0</v>
      </c>
      <c r="AI50" s="37">
        <f t="shared" si="40"/>
        <v>20193.8</v>
      </c>
      <c r="AJ50" s="37">
        <f t="shared" si="40"/>
        <v>163685.98</v>
      </c>
      <c r="AK50" s="37">
        <f t="shared" si="40"/>
        <v>19866.7</v>
      </c>
      <c r="AL50" s="37">
        <f t="shared" si="40"/>
        <v>205000</v>
      </c>
      <c r="AM50" s="37">
        <f t="shared" si="40"/>
        <v>5000</v>
      </c>
      <c r="AN50" s="37">
        <f t="shared" si="40"/>
        <v>4000</v>
      </c>
      <c r="AO50" s="37">
        <f t="shared" si="40"/>
        <v>2000</v>
      </c>
      <c r="AP50" s="37">
        <f t="shared" si="40"/>
        <v>0</v>
      </c>
      <c r="AQ50" s="37">
        <f t="shared" si="40"/>
        <v>0</v>
      </c>
      <c r="AR50" s="37">
        <f t="shared" si="40"/>
        <v>346218.83</v>
      </c>
      <c r="AS50" s="37">
        <f t="shared" si="40"/>
        <v>40060.5</v>
      </c>
      <c r="AT50" s="37">
        <f t="shared" si="40"/>
        <v>410000</v>
      </c>
      <c r="AU50" s="37">
        <f t="shared" si="40"/>
        <v>22000</v>
      </c>
      <c r="AV50" s="37">
        <f t="shared" si="40"/>
        <v>-111567.01</v>
      </c>
      <c r="AW50" s="37">
        <f t="shared" si="40"/>
        <v>433.27</v>
      </c>
      <c r="AX50" s="37">
        <f t="shared" si="40"/>
        <v>254.75</v>
      </c>
      <c r="AY50" s="37">
        <f t="shared" si="40"/>
        <v>188.63</v>
      </c>
      <c r="AZ50" s="37">
        <f t="shared" si="40"/>
        <v>0</v>
      </c>
      <c r="BA50" s="37">
        <f>BA49+BA39+BA9+BA6+BA11</f>
        <v>162150.42</v>
      </c>
      <c r="BB50" s="110"/>
    </row>
    <row r="51" s="7" customFormat="1" ht="29.1" customHeight="1" spans="1:54">
      <c r="A51" s="38" t="s">
        <v>219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</row>
    <row r="52" s="7" customFormat="1" spans="7:53">
      <c r="G52" s="39"/>
      <c r="H52" s="39"/>
      <c r="V52" s="61"/>
      <c r="W52" s="61"/>
      <c r="X52" s="61"/>
      <c r="Y52" s="61"/>
      <c r="Z52" s="61"/>
      <c r="AA52" s="61"/>
      <c r="AB52" s="61"/>
      <c r="AC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BA52" s="61"/>
    </row>
    <row r="56" spans="10:20">
      <c r="J56" s="46"/>
      <c r="K56" s="46"/>
      <c r="L56" s="46"/>
      <c r="R56" s="46"/>
      <c r="T56" s="46"/>
    </row>
    <row r="57" spans="8:22">
      <c r="H57" s="40"/>
      <c r="J57" s="46"/>
      <c r="K57" s="46"/>
      <c r="L57" s="46"/>
      <c r="P57" s="47"/>
      <c r="Q57" s="47"/>
      <c r="R57" s="62"/>
      <c r="S57" s="63"/>
      <c r="T57" s="62"/>
      <c r="U57" s="63"/>
      <c r="V57" s="64"/>
    </row>
    <row r="58" spans="16:22">
      <c r="P58" s="47"/>
      <c r="Q58" s="47"/>
      <c r="R58" s="63"/>
      <c r="S58" s="63"/>
      <c r="T58" s="47"/>
      <c r="U58" s="63"/>
      <c r="V58" s="64"/>
    </row>
    <row r="59" spans="16:22">
      <c r="P59" s="47"/>
      <c r="Q59" s="47"/>
      <c r="R59" s="63"/>
      <c r="S59" s="63"/>
      <c r="T59" s="47"/>
      <c r="U59" s="63"/>
      <c r="V59" s="65"/>
    </row>
    <row r="60" spans="16:22">
      <c r="P60" s="48"/>
      <c r="Q60" s="48"/>
      <c r="R60" s="48"/>
      <c r="S60" s="48"/>
      <c r="T60" s="48"/>
      <c r="U60" s="48"/>
      <c r="V60" s="64"/>
    </row>
    <row r="61" spans="5:19">
      <c r="E61" t="s">
        <v>220</v>
      </c>
      <c r="P61" s="49"/>
      <c r="R61" s="38"/>
      <c r="S61" s="38"/>
    </row>
    <row r="62" spans="16:19">
      <c r="P62" s="49"/>
      <c r="R62" s="38"/>
      <c r="S62" s="38"/>
    </row>
    <row r="63" spans="16:19">
      <c r="P63" s="49"/>
      <c r="R63" s="38"/>
      <c r="S63" s="38"/>
    </row>
    <row r="74" spans="18:20">
      <c r="R74" s="38"/>
      <c r="S74" s="38"/>
      <c r="T74" s="38"/>
    </row>
    <row r="75" spans="18:20">
      <c r="R75" s="38"/>
      <c r="S75" s="38"/>
      <c r="T75" s="49"/>
    </row>
    <row r="76" spans="18:20">
      <c r="R76" s="38"/>
      <c r="S76" s="38"/>
      <c r="T76" s="49"/>
    </row>
  </sheetData>
  <autoFilter ref="A1:BB63">
    <extLst/>
  </autoFilter>
  <mergeCells count="46">
    <mergeCell ref="A1:BB1"/>
    <mergeCell ref="W2:AC2"/>
    <mergeCell ref="AD2:AI2"/>
    <mergeCell ref="AM2:AQ2"/>
    <mergeCell ref="B6:C6"/>
    <mergeCell ref="B9:C9"/>
    <mergeCell ref="B11:C11"/>
    <mergeCell ref="B49:C49"/>
    <mergeCell ref="A50:C50"/>
    <mergeCell ref="A51:BB51"/>
    <mergeCell ref="P60:R60"/>
    <mergeCell ref="S60:U60"/>
    <mergeCell ref="R74:T74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0784722222222222" bottom="0.118055555555556" header="0.156944444444444" footer="0.200694444444444"/>
  <pageSetup paperSize="9" scale="63" orientation="landscape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A1" sqref="A1"/>
    </sheetView>
  </sheetViews>
  <sheetFormatPr defaultColWidth="9" defaultRowHeight="13.5" outlineLevelCol="7"/>
  <sheetData>
    <row r="1" spans="5:8">
      <c r="E1" t="s">
        <v>1</v>
      </c>
      <c r="F1" t="s">
        <v>221</v>
      </c>
      <c r="G1">
        <v>2</v>
      </c>
      <c r="H1">
        <v>0</v>
      </c>
    </row>
    <row r="2" spans="5:8">
      <c r="E2" t="s">
        <v>2</v>
      </c>
      <c r="F2" t="s">
        <v>222</v>
      </c>
      <c r="G2">
        <v>2</v>
      </c>
      <c r="H2">
        <v>0</v>
      </c>
    </row>
    <row r="3" spans="5:8">
      <c r="E3" t="s">
        <v>3</v>
      </c>
      <c r="F3" t="s">
        <v>223</v>
      </c>
      <c r="G3">
        <v>2</v>
      </c>
      <c r="H3">
        <v>0</v>
      </c>
    </row>
    <row r="4" spans="5:8">
      <c r="E4" t="s">
        <v>4</v>
      </c>
      <c r="F4" t="s">
        <v>224</v>
      </c>
      <c r="G4">
        <v>2</v>
      </c>
      <c r="H4">
        <v>0</v>
      </c>
    </row>
    <row r="5" spans="5:8">
      <c r="E5" t="s">
        <v>5</v>
      </c>
      <c r="F5" t="s">
        <v>225</v>
      </c>
      <c r="G5">
        <v>2</v>
      </c>
      <c r="H5">
        <v>0</v>
      </c>
    </row>
    <row r="6" spans="5:8">
      <c r="E6" t="s">
        <v>6</v>
      </c>
      <c r="F6" t="s">
        <v>226</v>
      </c>
      <c r="G6">
        <v>2</v>
      </c>
      <c r="H6">
        <v>0</v>
      </c>
    </row>
    <row r="7" spans="1:8">
      <c r="A7" t="s">
        <v>227</v>
      </c>
      <c r="B7" t="s">
        <v>228</v>
      </c>
      <c r="E7" t="s">
        <v>7</v>
      </c>
      <c r="F7" t="s">
        <v>229</v>
      </c>
      <c r="G7">
        <v>2</v>
      </c>
      <c r="H7">
        <v>0</v>
      </c>
    </row>
    <row r="8" ht="27" spans="1:8">
      <c r="A8" t="s">
        <v>230</v>
      </c>
      <c r="B8">
        <v>5</v>
      </c>
      <c r="E8" s="1" t="s">
        <v>8</v>
      </c>
      <c r="F8" t="s">
        <v>231</v>
      </c>
      <c r="G8">
        <v>2</v>
      </c>
      <c r="H8">
        <v>0</v>
      </c>
    </row>
    <row r="9" ht="27" spans="5:8">
      <c r="E9" s="1" t="s">
        <v>9</v>
      </c>
      <c r="F9" t="s">
        <v>232</v>
      </c>
      <c r="G9">
        <v>2</v>
      </c>
      <c r="H9">
        <v>0</v>
      </c>
    </row>
    <row r="10" ht="27" spans="5:8">
      <c r="E10" s="1" t="s">
        <v>10</v>
      </c>
      <c r="F10" t="s">
        <v>233</v>
      </c>
      <c r="G10">
        <v>2</v>
      </c>
      <c r="H10">
        <v>0</v>
      </c>
    </row>
    <row r="11" spans="5:8">
      <c r="E11" t="s">
        <v>234</v>
      </c>
      <c r="F11" t="s">
        <v>235</v>
      </c>
      <c r="G11">
        <v>2</v>
      </c>
      <c r="H11">
        <v>0</v>
      </c>
    </row>
    <row r="12" spans="5:8">
      <c r="E12" t="s">
        <v>236</v>
      </c>
      <c r="F12" t="s">
        <v>237</v>
      </c>
      <c r="G12">
        <v>2</v>
      </c>
      <c r="H12">
        <v>0</v>
      </c>
    </row>
    <row r="13" spans="1:8">
      <c r="A13" t="s">
        <v>238</v>
      </c>
      <c r="B13" t="s">
        <v>1</v>
      </c>
      <c r="E13" t="s">
        <v>14</v>
      </c>
      <c r="F13" t="s">
        <v>239</v>
      </c>
      <c r="G13">
        <v>2</v>
      </c>
      <c r="H13">
        <v>0</v>
      </c>
    </row>
    <row r="14" spans="1:8">
      <c r="A14" t="s">
        <v>240</v>
      </c>
      <c r="B14" t="s">
        <v>36</v>
      </c>
      <c r="E14" t="s">
        <v>241</v>
      </c>
      <c r="F14" t="s">
        <v>242</v>
      </c>
      <c r="G14">
        <v>2</v>
      </c>
      <c r="H14">
        <v>0</v>
      </c>
    </row>
    <row r="15" spans="5:8">
      <c r="E15" t="s">
        <v>243</v>
      </c>
      <c r="F15" t="s">
        <v>244</v>
      </c>
      <c r="G15">
        <v>2</v>
      </c>
      <c r="H15">
        <v>0</v>
      </c>
    </row>
    <row r="16" spans="5:8">
      <c r="E16" t="s">
        <v>18</v>
      </c>
      <c r="F16" t="s">
        <v>245</v>
      </c>
      <c r="G16">
        <v>2</v>
      </c>
      <c r="H16">
        <v>0</v>
      </c>
    </row>
    <row r="17" spans="1:8">
      <c r="A17" t="s">
        <v>246</v>
      </c>
      <c r="B17" t="s">
        <v>247</v>
      </c>
      <c r="E17" t="s">
        <v>19</v>
      </c>
      <c r="F17" t="s">
        <v>248</v>
      </c>
      <c r="G17">
        <v>2</v>
      </c>
      <c r="H17">
        <v>0</v>
      </c>
    </row>
    <row r="18" ht="27" spans="5:8">
      <c r="E18" s="1" t="s">
        <v>249</v>
      </c>
      <c r="F18" t="s">
        <v>250</v>
      </c>
      <c r="G18">
        <v>2</v>
      </c>
      <c r="H18">
        <v>0</v>
      </c>
    </row>
    <row r="19" spans="5:8">
      <c r="E19" t="s">
        <v>22</v>
      </c>
      <c r="F19" t="s">
        <v>251</v>
      </c>
      <c r="G19">
        <v>2</v>
      </c>
      <c r="H19">
        <v>5</v>
      </c>
    </row>
    <row r="20" spans="5:8">
      <c r="E20" t="s">
        <v>39</v>
      </c>
      <c r="F20" t="s">
        <v>252</v>
      </c>
      <c r="G20">
        <v>2</v>
      </c>
      <c r="H20">
        <v>0</v>
      </c>
    </row>
    <row r="21" spans="5:8">
      <c r="E21" t="s">
        <v>41</v>
      </c>
      <c r="F21" t="s">
        <v>253</v>
      </c>
      <c r="G21">
        <v>2</v>
      </c>
      <c r="H21">
        <v>0</v>
      </c>
    </row>
    <row r="22" spans="5:8">
      <c r="E22" t="s">
        <v>40</v>
      </c>
      <c r="F22" t="s">
        <v>254</v>
      </c>
      <c r="G22">
        <v>2</v>
      </c>
      <c r="H22">
        <v>0</v>
      </c>
    </row>
    <row r="23" spans="5:8">
      <c r="E23" t="s">
        <v>45</v>
      </c>
      <c r="F23" t="s">
        <v>255</v>
      </c>
      <c r="G23">
        <v>2</v>
      </c>
      <c r="H23">
        <v>0</v>
      </c>
    </row>
    <row r="24" ht="27" spans="5:8">
      <c r="E24" s="1" t="s">
        <v>256</v>
      </c>
      <c r="F24" t="s">
        <v>257</v>
      </c>
      <c r="G24">
        <v>2</v>
      </c>
      <c r="H24">
        <v>0</v>
      </c>
    </row>
    <row r="25" spans="5:8">
      <c r="E25" t="s">
        <v>258</v>
      </c>
      <c r="F25" t="s">
        <v>259</v>
      </c>
      <c r="G25">
        <v>2</v>
      </c>
      <c r="H25">
        <v>0</v>
      </c>
    </row>
    <row r="26" spans="5:8">
      <c r="E26" t="s">
        <v>260</v>
      </c>
      <c r="F26" t="s">
        <v>261</v>
      </c>
      <c r="G26">
        <v>2</v>
      </c>
      <c r="H26">
        <v>0</v>
      </c>
    </row>
    <row r="27" spans="5:8">
      <c r="E27" t="s">
        <v>262</v>
      </c>
      <c r="F27" t="s">
        <v>263</v>
      </c>
      <c r="G27">
        <v>2</v>
      </c>
      <c r="H27">
        <v>0</v>
      </c>
    </row>
    <row r="28" spans="5:8">
      <c r="E28" t="s">
        <v>264</v>
      </c>
      <c r="F28" t="s">
        <v>265</v>
      </c>
      <c r="G28">
        <v>2</v>
      </c>
      <c r="H28">
        <v>0</v>
      </c>
    </row>
    <row r="29" spans="5:8">
      <c r="E29" t="s">
        <v>266</v>
      </c>
      <c r="F29" t="s">
        <v>267</v>
      </c>
      <c r="G29">
        <v>2</v>
      </c>
      <c r="H29">
        <v>0</v>
      </c>
    </row>
    <row r="30" spans="5:8">
      <c r="E30" t="s">
        <v>268</v>
      </c>
      <c r="F30" t="s">
        <v>269</v>
      </c>
      <c r="G30">
        <v>2</v>
      </c>
      <c r="H30">
        <v>0</v>
      </c>
    </row>
    <row r="31" spans="5:8">
      <c r="E31" t="s">
        <v>270</v>
      </c>
      <c r="F31" t="s">
        <v>271</v>
      </c>
      <c r="G31">
        <v>2</v>
      </c>
      <c r="H31">
        <v>0</v>
      </c>
    </row>
    <row r="32" spans="5:8">
      <c r="E32" t="s">
        <v>272</v>
      </c>
      <c r="F32" t="s">
        <v>273</v>
      </c>
      <c r="G32">
        <v>2</v>
      </c>
      <c r="H32">
        <v>0</v>
      </c>
    </row>
    <row r="33" spans="5:8">
      <c r="E33" t="s">
        <v>274</v>
      </c>
      <c r="F33" t="s">
        <v>275</v>
      </c>
      <c r="G33">
        <v>2</v>
      </c>
      <c r="H33">
        <v>0</v>
      </c>
    </row>
    <row r="34" spans="5:8">
      <c r="E34" t="s">
        <v>276</v>
      </c>
      <c r="F34" t="s">
        <v>277</v>
      </c>
      <c r="G34">
        <v>2</v>
      </c>
      <c r="H34">
        <v>0</v>
      </c>
    </row>
    <row r="35" spans="5:8">
      <c r="E35" t="s">
        <v>278</v>
      </c>
      <c r="F35" t="s">
        <v>279</v>
      </c>
      <c r="G35">
        <v>2</v>
      </c>
      <c r="H35">
        <v>0</v>
      </c>
    </row>
    <row r="36" spans="5:8">
      <c r="E36" t="s">
        <v>280</v>
      </c>
      <c r="F36" t="s">
        <v>281</v>
      </c>
      <c r="G36">
        <v>2</v>
      </c>
      <c r="H36">
        <v>0</v>
      </c>
    </row>
    <row r="37" spans="5:8">
      <c r="E37" t="s">
        <v>282</v>
      </c>
      <c r="F37" t="s">
        <v>283</v>
      </c>
      <c r="G37">
        <v>2</v>
      </c>
      <c r="H37">
        <v>0</v>
      </c>
    </row>
    <row r="38" spans="5:8">
      <c r="E38" t="s">
        <v>284</v>
      </c>
      <c r="F38" t="s">
        <v>285</v>
      </c>
      <c r="G38">
        <v>2</v>
      </c>
      <c r="H38">
        <v>0</v>
      </c>
    </row>
    <row r="39" spans="5:8">
      <c r="E39" t="s">
        <v>286</v>
      </c>
      <c r="F39" t="s">
        <v>287</v>
      </c>
      <c r="G39">
        <v>2</v>
      </c>
      <c r="H39">
        <v>0</v>
      </c>
    </row>
    <row r="40" spans="5:8">
      <c r="E40" t="s">
        <v>288</v>
      </c>
      <c r="F40" t="s">
        <v>289</v>
      </c>
      <c r="G40">
        <v>2</v>
      </c>
      <c r="H40">
        <v>0</v>
      </c>
    </row>
    <row r="41" spans="5:8">
      <c r="E41" t="s">
        <v>290</v>
      </c>
      <c r="F41" t="s">
        <v>291</v>
      </c>
      <c r="G41">
        <v>2</v>
      </c>
      <c r="H41">
        <v>0</v>
      </c>
    </row>
    <row r="42" spans="5:8">
      <c r="E42" t="s">
        <v>292</v>
      </c>
      <c r="F42" t="s">
        <v>293</v>
      </c>
      <c r="G42">
        <v>2</v>
      </c>
      <c r="H42">
        <v>0</v>
      </c>
    </row>
    <row r="43" spans="5:8">
      <c r="E43" t="s">
        <v>294</v>
      </c>
      <c r="F43" t="s">
        <v>295</v>
      </c>
      <c r="G43">
        <v>2</v>
      </c>
      <c r="H43">
        <v>0</v>
      </c>
    </row>
    <row r="44" spans="5:8">
      <c r="E44" t="s">
        <v>296</v>
      </c>
      <c r="F44" t="s">
        <v>297</v>
      </c>
      <c r="G44">
        <v>2</v>
      </c>
      <c r="H44">
        <v>0</v>
      </c>
    </row>
    <row r="45" spans="5:8">
      <c r="E45" t="s">
        <v>298</v>
      </c>
      <c r="F45" t="s">
        <v>299</v>
      </c>
      <c r="G45">
        <v>2</v>
      </c>
      <c r="H45">
        <v>0</v>
      </c>
    </row>
    <row r="46" spans="5:8">
      <c r="E46" t="s">
        <v>300</v>
      </c>
      <c r="F46" t="s">
        <v>301</v>
      </c>
      <c r="G46">
        <v>2</v>
      </c>
      <c r="H46">
        <v>0</v>
      </c>
    </row>
    <row r="47" spans="5:8">
      <c r="E47" t="s">
        <v>302</v>
      </c>
      <c r="F47" t="s">
        <v>303</v>
      </c>
      <c r="G47">
        <v>2</v>
      </c>
      <c r="H47">
        <v>0</v>
      </c>
    </row>
    <row r="48" spans="5:8">
      <c r="E48" t="s">
        <v>304</v>
      </c>
      <c r="F48" t="s">
        <v>305</v>
      </c>
      <c r="G48">
        <v>2</v>
      </c>
      <c r="H48">
        <v>0</v>
      </c>
    </row>
    <row r="49" spans="5:8">
      <c r="E49" t="s">
        <v>306</v>
      </c>
      <c r="F49" t="s">
        <v>307</v>
      </c>
      <c r="G49">
        <v>2</v>
      </c>
      <c r="H49">
        <v>0</v>
      </c>
    </row>
    <row r="50" spans="5:8">
      <c r="E50" t="s">
        <v>308</v>
      </c>
      <c r="F50" t="s">
        <v>309</v>
      </c>
      <c r="G50">
        <v>2</v>
      </c>
      <c r="H50">
        <v>0</v>
      </c>
    </row>
    <row r="51" spans="5:8">
      <c r="E51" t="s">
        <v>310</v>
      </c>
      <c r="F51" t="s">
        <v>311</v>
      </c>
      <c r="G51">
        <v>2</v>
      </c>
      <c r="H51">
        <v>0</v>
      </c>
    </row>
    <row r="52" spans="5:8">
      <c r="E52" t="s">
        <v>312</v>
      </c>
      <c r="F52" t="s">
        <v>313</v>
      </c>
      <c r="G52">
        <v>2</v>
      </c>
      <c r="H52">
        <v>0</v>
      </c>
    </row>
    <row r="53" spans="5:8">
      <c r="E53" t="s">
        <v>314</v>
      </c>
      <c r="F53" t="s">
        <v>315</v>
      </c>
      <c r="G53">
        <v>2</v>
      </c>
      <c r="H53">
        <v>0</v>
      </c>
    </row>
    <row r="54" spans="5:8">
      <c r="E54" t="s">
        <v>316</v>
      </c>
      <c r="F54" t="s">
        <v>317</v>
      </c>
      <c r="G54">
        <v>2</v>
      </c>
      <c r="H54">
        <v>0</v>
      </c>
    </row>
    <row r="55" spans="5:8">
      <c r="E55" t="s">
        <v>318</v>
      </c>
      <c r="F55" t="s">
        <v>319</v>
      </c>
      <c r="G55">
        <v>2</v>
      </c>
      <c r="H55">
        <v>0</v>
      </c>
    </row>
    <row r="56" spans="5:8">
      <c r="E56" t="s">
        <v>320</v>
      </c>
      <c r="F56" t="s">
        <v>321</v>
      </c>
      <c r="G56">
        <v>2</v>
      </c>
      <c r="H56">
        <v>0</v>
      </c>
    </row>
    <row r="57" spans="5:8">
      <c r="E57" t="s">
        <v>322</v>
      </c>
      <c r="F57" t="s">
        <v>323</v>
      </c>
      <c r="G57">
        <v>2</v>
      </c>
      <c r="H57">
        <v>0</v>
      </c>
    </row>
    <row r="58" spans="5:8">
      <c r="E58" t="s">
        <v>324</v>
      </c>
      <c r="F58" t="s">
        <v>325</v>
      </c>
      <c r="G58">
        <v>2</v>
      </c>
      <c r="H58">
        <v>0</v>
      </c>
    </row>
    <row r="59" spans="5:8">
      <c r="E59" t="s">
        <v>326</v>
      </c>
      <c r="F59" t="s">
        <v>327</v>
      </c>
      <c r="G59">
        <v>2</v>
      </c>
      <c r="H59">
        <v>0</v>
      </c>
    </row>
    <row r="60" spans="5:8">
      <c r="E60" t="s">
        <v>328</v>
      </c>
      <c r="F60" t="s">
        <v>329</v>
      </c>
      <c r="G60">
        <v>2</v>
      </c>
      <c r="H60">
        <v>0</v>
      </c>
    </row>
    <row r="61" spans="5:8">
      <c r="E61" t="s">
        <v>330</v>
      </c>
      <c r="F61" t="s">
        <v>331</v>
      </c>
      <c r="G61">
        <v>2</v>
      </c>
      <c r="H61">
        <v>0</v>
      </c>
    </row>
    <row r="62" spans="5:8">
      <c r="E62" t="s">
        <v>332</v>
      </c>
      <c r="F62" t="s">
        <v>333</v>
      </c>
      <c r="G62">
        <v>2</v>
      </c>
      <c r="H62">
        <v>0</v>
      </c>
    </row>
    <row r="63" spans="5:8">
      <c r="E63" t="s">
        <v>334</v>
      </c>
      <c r="F63" t="s">
        <v>335</v>
      </c>
      <c r="G63">
        <v>2</v>
      </c>
      <c r="H63">
        <v>0</v>
      </c>
    </row>
    <row r="64" spans="5:8">
      <c r="E64" t="s">
        <v>29</v>
      </c>
      <c r="F64" t="s">
        <v>336</v>
      </c>
      <c r="G64">
        <v>2</v>
      </c>
      <c r="H64">
        <v>0</v>
      </c>
    </row>
    <row r="65" spans="5:8">
      <c r="E65" t="s">
        <v>284</v>
      </c>
      <c r="F65" t="s">
        <v>337</v>
      </c>
      <c r="G65">
        <v>2</v>
      </c>
      <c r="H65">
        <v>0</v>
      </c>
    </row>
    <row r="66" spans="5:8">
      <c r="E66" t="s">
        <v>338</v>
      </c>
      <c r="F66" t="s">
        <v>339</v>
      </c>
      <c r="G66">
        <v>2</v>
      </c>
      <c r="H66">
        <v>0</v>
      </c>
    </row>
    <row r="67" spans="5:8">
      <c r="E67" t="s">
        <v>340</v>
      </c>
      <c r="F67" t="s">
        <v>341</v>
      </c>
      <c r="G67">
        <v>2</v>
      </c>
      <c r="H67">
        <v>0</v>
      </c>
    </row>
    <row r="68" spans="5:8">
      <c r="E68" t="s">
        <v>342</v>
      </c>
      <c r="F68" t="s">
        <v>343</v>
      </c>
      <c r="G68">
        <v>2</v>
      </c>
      <c r="H68">
        <v>0</v>
      </c>
    </row>
    <row r="69" spans="5:8">
      <c r="E69" t="s">
        <v>344</v>
      </c>
      <c r="F69" t="s">
        <v>345</v>
      </c>
      <c r="G69">
        <v>2</v>
      </c>
      <c r="H69">
        <v>0</v>
      </c>
    </row>
    <row r="70" spans="5:8">
      <c r="E70" t="s">
        <v>346</v>
      </c>
      <c r="F70" t="s">
        <v>347</v>
      </c>
      <c r="G70">
        <v>2</v>
      </c>
      <c r="H70">
        <v>0</v>
      </c>
    </row>
    <row r="71" spans="5:8">
      <c r="E71" t="s">
        <v>348</v>
      </c>
      <c r="F71" t="s">
        <v>349</v>
      </c>
      <c r="G71">
        <v>2</v>
      </c>
      <c r="H71">
        <v>0</v>
      </c>
    </row>
    <row r="72" spans="5:8">
      <c r="E72" t="s">
        <v>350</v>
      </c>
      <c r="F72" t="s">
        <v>351</v>
      </c>
      <c r="G72">
        <v>2</v>
      </c>
      <c r="H72">
        <v>0</v>
      </c>
    </row>
    <row r="73" spans="5:8">
      <c r="E73" t="s">
        <v>352</v>
      </c>
      <c r="F73" t="s">
        <v>353</v>
      </c>
      <c r="G73">
        <v>2</v>
      </c>
      <c r="H73">
        <v>0</v>
      </c>
    </row>
    <row r="74" spans="5:8">
      <c r="E74" t="s">
        <v>354</v>
      </c>
      <c r="F74" t="s">
        <v>355</v>
      </c>
      <c r="G74">
        <v>2</v>
      </c>
      <c r="H74">
        <v>0</v>
      </c>
    </row>
    <row r="75" spans="5:8">
      <c r="E75" t="s">
        <v>356</v>
      </c>
      <c r="F75" t="s">
        <v>357</v>
      </c>
      <c r="G75">
        <v>2</v>
      </c>
      <c r="H75">
        <v>0</v>
      </c>
    </row>
    <row r="76" spans="5:8">
      <c r="E76" t="s">
        <v>358</v>
      </c>
      <c r="F76" t="s">
        <v>359</v>
      </c>
      <c r="G76">
        <v>2</v>
      </c>
      <c r="H76">
        <v>0</v>
      </c>
    </row>
    <row r="77" spans="5:8">
      <c r="E77" t="s">
        <v>360</v>
      </c>
      <c r="F77" t="s">
        <v>361</v>
      </c>
      <c r="G77">
        <v>2</v>
      </c>
      <c r="H77">
        <v>0</v>
      </c>
    </row>
    <row r="78" spans="5:8">
      <c r="E78" t="s">
        <v>362</v>
      </c>
      <c r="F78" t="s">
        <v>363</v>
      </c>
      <c r="G78">
        <v>2</v>
      </c>
      <c r="H78">
        <v>0</v>
      </c>
    </row>
    <row r="79" spans="5:8">
      <c r="E79" t="s">
        <v>364</v>
      </c>
      <c r="F79" t="s">
        <v>365</v>
      </c>
      <c r="G79">
        <v>2</v>
      </c>
      <c r="H79">
        <v>0</v>
      </c>
    </row>
    <row r="80" spans="5:8">
      <c r="E80" t="s">
        <v>366</v>
      </c>
      <c r="F80" t="s">
        <v>367</v>
      </c>
      <c r="G80">
        <v>2</v>
      </c>
      <c r="H80">
        <v>0</v>
      </c>
    </row>
    <row r="81" ht="27" spans="5:8">
      <c r="E81" s="1" t="s">
        <v>34</v>
      </c>
      <c r="F81" t="s">
        <v>368</v>
      </c>
      <c r="G81">
        <v>2</v>
      </c>
      <c r="H81">
        <v>0</v>
      </c>
    </row>
    <row r="82" ht="27" spans="5:8">
      <c r="E82" s="1" t="s">
        <v>369</v>
      </c>
      <c r="F82" t="s">
        <v>370</v>
      </c>
      <c r="G82">
        <v>2</v>
      </c>
      <c r="H82">
        <v>0</v>
      </c>
    </row>
    <row r="83" spans="5:8">
      <c r="E83" t="s">
        <v>36</v>
      </c>
      <c r="F83" t="s">
        <v>371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2023-02-27T02:52:00Z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 linkTarget="0">
    <vt:lpwstr>1</vt:lpwstr>
  </property>
  <property fmtid="{D5CDD505-2E9C-101B-9397-08002B2CF9AE}" pid="4" name="ICV">
    <vt:lpwstr>E70B929B9E7D48D49B28A98EEF5D396B</vt:lpwstr>
  </property>
</Properties>
</file>