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J6L降本副驾骨架-2023.2.11\"/>
    </mc:Choice>
  </mc:AlternateContent>
  <xr:revisionPtr revIDLastSave="0" documentId="13_ncr:1_{CA1E9557-DEE3-4F45-9C36-9D4732F61894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副驾底支架" sheetId="1" r:id="rId1"/>
    <sheet name="主副驾靠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8" i="1" l="1"/>
  <c r="AD94" i="2"/>
  <c r="AE3" i="1"/>
  <c r="Z94" i="2" l="1"/>
  <c r="K88" i="2" l="1"/>
  <c r="T87" i="2"/>
  <c r="T86" i="2"/>
  <c r="K86" i="2"/>
  <c r="T85" i="2"/>
  <c r="T84" i="2"/>
  <c r="K84" i="2"/>
  <c r="T80" i="2"/>
  <c r="K87" i="2" l="1"/>
  <c r="Z90" i="2" l="1"/>
  <c r="Z89" i="2"/>
  <c r="K83" i="2"/>
  <c r="T82" i="2"/>
  <c r="K82" i="2"/>
  <c r="P81" i="2"/>
  <c r="K81" i="2" s="1"/>
  <c r="K80" i="2"/>
  <c r="Z79" i="2"/>
  <c r="K78" i="2"/>
  <c r="Z77" i="2"/>
  <c r="Q77" i="2"/>
  <c r="T77" i="2" s="1"/>
  <c r="K77" i="2"/>
  <c r="R76" i="2"/>
  <c r="T76" i="2" s="1"/>
  <c r="K76" i="2"/>
  <c r="Z75" i="2"/>
  <c r="Z72" i="2"/>
  <c r="Z71" i="2"/>
  <c r="Z70" i="2"/>
  <c r="Q70" i="2"/>
  <c r="T70" i="2" s="1"/>
  <c r="Z69" i="2"/>
  <c r="P69" i="2"/>
  <c r="O69" i="2"/>
  <c r="Z68" i="2"/>
  <c r="Z66" i="2"/>
  <c r="Z65" i="2"/>
  <c r="Q65" i="2"/>
  <c r="T65" i="2" s="1"/>
  <c r="W60" i="2"/>
  <c r="Z60" i="2" s="1"/>
  <c r="Z59" i="2"/>
  <c r="T57" i="2"/>
  <c r="Z56" i="2"/>
  <c r="T56" i="2"/>
  <c r="K55" i="2"/>
  <c r="T54" i="2"/>
  <c r="K54" i="2"/>
  <c r="P53" i="2"/>
  <c r="T53" i="2" s="1"/>
  <c r="K52" i="2"/>
  <c r="Z51" i="2"/>
  <c r="K50" i="2"/>
  <c r="Z49" i="2"/>
  <c r="Q49" i="2"/>
  <c r="T49" i="2" s="1"/>
  <c r="K49" i="2"/>
  <c r="Z48" i="2"/>
  <c r="K47" i="2"/>
  <c r="Z46" i="2"/>
  <c r="Q46" i="2"/>
  <c r="T46" i="2" s="1"/>
  <c r="K46" i="2"/>
  <c r="R45" i="2"/>
  <c r="T45" i="2" s="1"/>
  <c r="K45" i="2"/>
  <c r="Z44" i="2"/>
  <c r="Z41" i="2"/>
  <c r="Z40" i="2"/>
  <c r="Z39" i="2"/>
  <c r="Q39" i="2"/>
  <c r="T39" i="2" s="1"/>
  <c r="Z38" i="2"/>
  <c r="P38" i="2"/>
  <c r="O38" i="2"/>
  <c r="Z37" i="2"/>
  <c r="Z35" i="2"/>
  <c r="Z34" i="2"/>
  <c r="Q34" i="2"/>
  <c r="T34" i="2" s="1"/>
  <c r="Z29" i="2"/>
  <c r="Z28" i="2"/>
  <c r="K27" i="2"/>
  <c r="T26" i="2"/>
  <c r="K26" i="2"/>
  <c r="P25" i="2"/>
  <c r="K25" i="2" s="1"/>
  <c r="K24" i="2"/>
  <c r="Z23" i="2"/>
  <c r="K22" i="2"/>
  <c r="Z21" i="2"/>
  <c r="Q21" i="2"/>
  <c r="T21" i="2" s="1"/>
  <c r="K21" i="2"/>
  <c r="T20" i="2"/>
  <c r="K20" i="2"/>
  <c r="Z19" i="2"/>
  <c r="K19" i="2"/>
  <c r="Z18" i="2"/>
  <c r="P18" i="2"/>
  <c r="T18" i="2" s="1"/>
  <c r="O18" i="2"/>
  <c r="Z17" i="2"/>
  <c r="K16" i="2"/>
  <c r="Z15" i="2"/>
  <c r="Q15" i="2"/>
  <c r="T15" i="2" s="1"/>
  <c r="K15" i="2"/>
  <c r="R14" i="2"/>
  <c r="T14" i="2" s="1"/>
  <c r="K14" i="2"/>
  <c r="Z13" i="2"/>
  <c r="Z10" i="2"/>
  <c r="Z9" i="2"/>
  <c r="Z8" i="2"/>
  <c r="Q8" i="2"/>
  <c r="T8" i="2" s="1"/>
  <c r="Z7" i="2"/>
  <c r="P7" i="2"/>
  <c r="O7" i="2"/>
  <c r="Z6" i="2"/>
  <c r="Z4" i="2"/>
  <c r="Z3" i="2"/>
  <c r="Q3" i="2"/>
  <c r="T3" i="2" s="1"/>
  <c r="Q38" i="2" l="1"/>
  <c r="T38" i="2" s="1"/>
  <c r="Q69" i="2"/>
  <c r="T69" i="2" s="1"/>
  <c r="P93" i="2"/>
  <c r="Q7" i="2"/>
  <c r="T64" i="2"/>
  <c r="T81" i="2"/>
  <c r="Z64" i="2"/>
  <c r="P32" i="2"/>
  <c r="T25" i="2"/>
  <c r="K53" i="2"/>
  <c r="P63" i="2"/>
  <c r="T7" i="2"/>
  <c r="Z33" i="2"/>
  <c r="K18" i="2"/>
  <c r="T94" i="2" l="1"/>
  <c r="AA94" i="2" s="1"/>
  <c r="AI94" i="2" s="1"/>
  <c r="T33" i="2"/>
  <c r="AA33" i="2" s="1"/>
  <c r="AD33" i="2" s="1"/>
  <c r="AI33" i="2" s="1"/>
  <c r="AA64" i="2"/>
  <c r="AD64" i="2" s="1"/>
  <c r="AI64" i="2" s="1"/>
  <c r="Z47" i="1" l="1"/>
  <c r="Z45" i="1"/>
  <c r="O44" i="1"/>
  <c r="T44" i="1" s="1"/>
  <c r="O42" i="1" l="1"/>
  <c r="T42" i="1" s="1"/>
  <c r="O43" i="1"/>
  <c r="T43" i="1" s="1"/>
  <c r="O41" i="1"/>
  <c r="T41" i="1" s="1"/>
  <c r="O40" i="1"/>
  <c r="T40" i="1" s="1"/>
  <c r="O39" i="1"/>
  <c r="T39" i="1" s="1"/>
  <c r="O38" i="1"/>
  <c r="T38" i="1" s="1"/>
  <c r="Z36" i="1"/>
  <c r="Z35" i="1"/>
  <c r="Q35" i="1"/>
  <c r="S35" i="1" s="1"/>
  <c r="W28" i="1"/>
  <c r="Z28" i="1" s="1"/>
  <c r="Z27" i="1"/>
  <c r="T34" i="1"/>
  <c r="T33" i="1"/>
  <c r="T35" i="1" l="1"/>
  <c r="Z32" i="1"/>
  <c r="Z31" i="1"/>
  <c r="Z30" i="1"/>
  <c r="Z29" i="1"/>
  <c r="Q29" i="1"/>
  <c r="Q25" i="1"/>
  <c r="Z26" i="1"/>
  <c r="Z25" i="1"/>
  <c r="Z24" i="1"/>
  <c r="Z23" i="1"/>
  <c r="Q23" i="1"/>
  <c r="Z22" i="1"/>
  <c r="Q22" i="1"/>
  <c r="W21" i="1"/>
  <c r="Z21" i="1" s="1"/>
  <c r="Z18" i="1"/>
  <c r="Z19" i="1"/>
  <c r="Z16" i="1"/>
  <c r="Z17" i="1"/>
  <c r="Z15" i="1"/>
  <c r="S23" i="1" l="1"/>
  <c r="T23" i="1" s="1"/>
  <c r="S29" i="1"/>
  <c r="T29" i="1" s="1"/>
  <c r="S25" i="1"/>
  <c r="T25" i="1" s="1"/>
  <c r="S22" i="1"/>
  <c r="T22" i="1" s="1"/>
  <c r="L15" i="1" l="1"/>
  <c r="Q15" i="1" s="1"/>
  <c r="S15" i="1" s="1"/>
  <c r="T15" i="1" s="1"/>
  <c r="Z20" i="1"/>
  <c r="Q20" i="1"/>
  <c r="Z14" i="1"/>
  <c r="T14" i="1"/>
  <c r="Q13" i="1"/>
  <c r="S13" i="1" s="1"/>
  <c r="T13" i="1" s="1"/>
  <c r="Z13" i="1"/>
  <c r="Z12" i="1"/>
  <c r="Z11" i="1"/>
  <c r="Q11" i="1"/>
  <c r="Z10" i="1"/>
  <c r="Z9" i="1"/>
  <c r="Z8" i="1"/>
  <c r="Z7" i="1"/>
  <c r="Q7" i="1"/>
  <c r="S7" i="1" s="1"/>
  <c r="T7" i="1" s="1"/>
  <c r="Z6" i="1"/>
  <c r="Z5" i="1"/>
  <c r="Z4" i="1"/>
  <c r="S20" i="1" l="1"/>
  <c r="T20" i="1" s="1"/>
  <c r="S11" i="1"/>
  <c r="T11" i="1" s="1"/>
  <c r="Q3" i="1"/>
  <c r="S3" i="1" s="1"/>
  <c r="Z3" i="1"/>
  <c r="Z48" i="1" s="1"/>
  <c r="T3" i="1" l="1"/>
  <c r="T48" i="1" s="1"/>
  <c r="AG3" i="1" l="1"/>
  <c r="AD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R11" authorId="0" shapeId="0" xr:uid="{127E5415-00ED-444F-89ED-0A70522CEA9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图纸数据与BOM有差异</t>
        </r>
      </text>
    </comment>
    <comment ref="R25" authorId="0" shapeId="0" xr:uid="{B1A82C6D-C111-4229-B2AF-4643F375F42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图纸重量与测算重量不一致</t>
        </r>
      </text>
    </comment>
    <comment ref="H35" authorId="0" shapeId="0" xr:uid="{B883A4AF-DE47-4F00-B404-33F989F8FF7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设变</t>
        </r>
      </text>
    </comment>
    <comment ref="N35" authorId="0" shapeId="0" xr:uid="{63FCC743-1B39-4134-9042-1F9D16E9DC4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BOM上2.0厚</t>
        </r>
      </text>
    </comment>
    <comment ref="H37" authorId="0" shapeId="0" xr:uid="{DA50FA85-0FD6-4B1F-9C6E-FA356FC7FD9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取消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G14" authorId="0" shapeId="0" xr:uid="{AF3CE507-E7BB-4529-8883-A2F2C4E9CA3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G45" authorId="0" shapeId="0" xr:uid="{20EBCE44-919E-495D-B058-110390EBAE5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G76" authorId="0" shapeId="0" xr:uid="{A75CD404-D48E-46CD-B79A-6209F32C102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</commentList>
</comments>
</file>

<file path=xl/sharedStrings.xml><?xml version="1.0" encoding="utf-8"?>
<sst xmlns="http://schemas.openxmlformats.org/spreadsheetml/2006/main" count="493" uniqueCount="216">
  <si>
    <t>副司机底座焊接总成</t>
    <phoneticPr fontId="2" type="noConversion"/>
  </si>
  <si>
    <t>200T</t>
    <phoneticPr fontId="2" type="noConversion"/>
  </si>
  <si>
    <t>焊接</t>
    <phoneticPr fontId="2" type="noConversion"/>
  </si>
  <si>
    <t>整形</t>
    <phoneticPr fontId="2" type="noConversion"/>
  </si>
  <si>
    <t>电泳</t>
    <phoneticPr fontId="2" type="noConversion"/>
  </si>
  <si>
    <t>材料合计：</t>
  </si>
  <si>
    <t>序</t>
  </si>
  <si>
    <t>厂家</t>
  </si>
  <si>
    <t>核价区间</t>
  </si>
  <si>
    <t>QAD号</t>
  </si>
  <si>
    <t>物料代码</t>
  </si>
  <si>
    <t>名称</t>
  </si>
  <si>
    <t>材质</t>
  </si>
  <si>
    <t>数量</t>
  </si>
  <si>
    <t>下料尺寸</t>
  </si>
  <si>
    <t>未税单价</t>
    <phoneticPr fontId="2" type="noConversion"/>
  </si>
  <si>
    <t>重量</t>
  </si>
  <si>
    <t>材料费</t>
  </si>
  <si>
    <t>加工成本</t>
  </si>
  <si>
    <t>包装</t>
    <phoneticPr fontId="2" type="noConversion"/>
  </si>
  <si>
    <t>运输</t>
    <phoneticPr fontId="2" type="noConversion"/>
  </si>
  <si>
    <t>系数</t>
    <phoneticPr fontId="2" type="noConversion"/>
  </si>
  <si>
    <t>未税价格</t>
    <phoneticPr fontId="2" type="noConversion"/>
  </si>
  <si>
    <t>未税模具费</t>
  </si>
  <si>
    <t>摊销件数</t>
  </si>
  <si>
    <t>含模摊未税单价</t>
    <phoneticPr fontId="2" type="noConversion"/>
  </si>
  <si>
    <t>厂家未税单价（不含模摊费）</t>
    <phoneticPr fontId="2" type="noConversion"/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</si>
  <si>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</si>
  <si>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</si>
  <si>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</si>
  <si>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</si>
  <si>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</si>
  <si>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</si>
  <si>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</si>
  <si>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</si>
  <si>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</si>
  <si>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</si>
  <si>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</si>
  <si>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</si>
  <si>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</si>
  <si>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SHT0014466</t>
    <phoneticPr fontId="2" type="noConversion"/>
  </si>
  <si>
    <t>副司机底支架焊接总成</t>
    <phoneticPr fontId="2" type="noConversion"/>
  </si>
  <si>
    <t>SHT0014467</t>
  </si>
  <si>
    <t>副司机底支架前地脚</t>
  </si>
  <si>
    <t>单件名称</t>
    <phoneticPr fontId="2" type="noConversion"/>
  </si>
  <si>
    <t>SPFH590</t>
  </si>
  <si>
    <t>QAD</t>
    <phoneticPr fontId="2" type="noConversion"/>
  </si>
  <si>
    <t>落料</t>
    <phoneticPr fontId="2" type="noConversion"/>
  </si>
  <si>
    <t>类别</t>
    <phoneticPr fontId="2" type="noConversion"/>
  </si>
  <si>
    <t>25T</t>
  </si>
  <si>
    <t>40T</t>
  </si>
  <si>
    <t>63T</t>
  </si>
  <si>
    <t>80T</t>
  </si>
  <si>
    <t>成型</t>
    <phoneticPr fontId="2" type="noConversion"/>
  </si>
  <si>
    <t>冲孔</t>
    <phoneticPr fontId="2" type="noConversion"/>
  </si>
  <si>
    <t>SHT0014468</t>
  </si>
  <si>
    <t>副司机底支架后地脚</t>
  </si>
  <si>
    <t>SHT0014469</t>
  </si>
  <si>
    <t>副司机底支架U型管</t>
  </si>
  <si>
    <t>Q195</t>
  </si>
  <si>
    <t>Q195 t=1.5mm</t>
    <phoneticPr fontId="2" type="noConversion"/>
  </si>
  <si>
    <t>断料</t>
    <phoneticPr fontId="2" type="noConversion"/>
  </si>
  <si>
    <t>折弯</t>
    <phoneticPr fontId="2" type="noConversion"/>
  </si>
  <si>
    <t>RC02 6802 404</t>
  </si>
  <si>
    <t>左围框接头</t>
  </si>
  <si>
    <t>Q370C10</t>
  </si>
  <si>
    <t>焊接六角螺母</t>
  </si>
  <si>
    <t>SQXM3000-6901101</t>
  </si>
  <si>
    <t>安全带锁扣固定座</t>
  </si>
  <si>
    <t>——</t>
  </si>
  <si>
    <t>45#</t>
  </si>
  <si>
    <t>冲压件</t>
    <phoneticPr fontId="2" type="noConversion"/>
  </si>
  <si>
    <t>管类</t>
    <phoneticPr fontId="2" type="noConversion"/>
  </si>
  <si>
    <t>标准件</t>
    <phoneticPr fontId="2" type="noConversion"/>
  </si>
  <si>
    <t>机加件</t>
    <phoneticPr fontId="2" type="noConversion"/>
  </si>
  <si>
    <t>落料冲孔</t>
    <phoneticPr fontId="2" type="noConversion"/>
  </si>
  <si>
    <t>60T</t>
    <phoneticPr fontId="2" type="noConversion"/>
  </si>
  <si>
    <t>点焊</t>
    <phoneticPr fontId="2" type="noConversion"/>
  </si>
  <si>
    <t>SHT0001103</t>
  </si>
  <si>
    <t>安全带连接限位片</t>
  </si>
  <si>
    <t>Q235</t>
  </si>
  <si>
    <t>车床</t>
    <phoneticPr fontId="2" type="noConversion"/>
  </si>
  <si>
    <t>钻孔</t>
    <phoneticPr fontId="2" type="noConversion"/>
  </si>
  <si>
    <t>攻丝</t>
    <phoneticPr fontId="2" type="noConversion"/>
  </si>
  <si>
    <t>倒角</t>
    <phoneticPr fontId="2" type="noConversion"/>
  </si>
  <si>
    <t>SQXM3000-6901107</t>
  </si>
  <si>
    <t>后横管</t>
  </si>
  <si>
    <t>SQXM3000-6901105</t>
  </si>
  <si>
    <t>上纵管</t>
  </si>
  <si>
    <t>M4-6907009</t>
  </si>
  <si>
    <t>塑料件固定钣金</t>
  </si>
  <si>
    <t>SHT0015061</t>
  </si>
  <si>
    <t>底支架连接板总成</t>
  </si>
  <si>
    <t>SHT0014964</t>
  </si>
  <si>
    <t>底支架连接板</t>
  </si>
  <si>
    <t>座椅靠背调节限位柱B</t>
  </si>
  <si>
    <t>中排独立软带轴承</t>
  </si>
  <si>
    <t>SHT0014965</t>
  </si>
  <si>
    <t>SHT0014966</t>
  </si>
  <si>
    <t>扭力杆固定片</t>
  </si>
  <si>
    <t>SHT0014967</t>
  </si>
  <si>
    <t>横支撑钢丝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</si>
  <si>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</si>
  <si>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</si>
  <si>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</si>
  <si>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</si>
  <si>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</si>
  <si>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</si>
  <si>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</si>
  <si>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</si>
  <si>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</si>
  <si>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</si>
  <si>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</si>
  <si>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</si>
  <si>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321721801400</t>
    <phoneticPr fontId="2" type="noConversion"/>
  </si>
  <si>
    <t>DC01 0.5</t>
  </si>
  <si>
    <t>刻口</t>
    <phoneticPr fontId="2" type="noConversion"/>
  </si>
  <si>
    <t>40T</t>
    <phoneticPr fontId="2" type="noConversion"/>
  </si>
  <si>
    <t>SLT0010907</t>
    <phoneticPr fontId="2" type="noConversion"/>
  </si>
  <si>
    <t>125T</t>
    <phoneticPr fontId="2" type="noConversion"/>
  </si>
  <si>
    <t>分总成</t>
    <phoneticPr fontId="2" type="noConversion"/>
  </si>
  <si>
    <t>铆接轴承</t>
    <phoneticPr fontId="2" type="noConversion"/>
  </si>
  <si>
    <t>焊接限位柱B</t>
    <phoneticPr fontId="2" type="noConversion"/>
  </si>
  <si>
    <t>底支架加强钣金</t>
    <phoneticPr fontId="2" type="noConversion"/>
  </si>
  <si>
    <t>钢丝</t>
    <phoneticPr fontId="2" type="noConversion"/>
  </si>
  <si>
    <t>按照吉林智恒到长春运费报价1元</t>
    <phoneticPr fontId="2" type="noConversion"/>
  </si>
  <si>
    <t>取消</t>
    <phoneticPr fontId="2" type="noConversion"/>
  </si>
  <si>
    <t>使用单位</t>
  </si>
  <si>
    <t>QAD编码</t>
  </si>
  <si>
    <t>总成名称</t>
  </si>
  <si>
    <t>自制/外协</t>
  </si>
  <si>
    <t>材质（净尺寸）</t>
    <phoneticPr fontId="2" type="noConversion"/>
  </si>
  <si>
    <t>净重尺寸</t>
  </si>
  <si>
    <t>未税单价</t>
  </si>
  <si>
    <t>系数</t>
  </si>
  <si>
    <t>是否单独算运费</t>
  </si>
  <si>
    <t>是否单独算包装费</t>
  </si>
  <si>
    <t>未税价</t>
  </si>
  <si>
    <t>模具分摊数量</t>
  </si>
  <si>
    <t>模摊费</t>
  </si>
  <si>
    <t>材料</t>
  </si>
  <si>
    <t>长春</t>
  </si>
  <si>
    <t>SHT0012550</t>
    <phoneticPr fontId="2" type="noConversion"/>
  </si>
  <si>
    <t>靠背骨架总成-气动腰托</t>
  </si>
  <si>
    <t>SHT0012225头枕主体管</t>
  </si>
  <si>
    <t>自制</t>
  </si>
  <si>
    <t>Q195 Ø25*1.5*464</t>
    <phoneticPr fontId="2" type="noConversion"/>
  </si>
  <si>
    <t>1.5</t>
  </si>
  <si>
    <t>切管</t>
  </si>
  <si>
    <t>折弯*2</t>
  </si>
  <si>
    <t>切弧*2</t>
  </si>
  <si>
    <t>冲孔</t>
  </si>
  <si>
    <t>SHT0014489头枕支撑条</t>
  </si>
  <si>
    <t>Q235 15*1.8*260</t>
    <phoneticPr fontId="2" type="noConversion"/>
  </si>
  <si>
    <t>2</t>
  </si>
  <si>
    <t>切断</t>
  </si>
  <si>
    <t>SHT0012507靠背主体管</t>
  </si>
  <si>
    <t>Q195 Ø25*2.0*1750</t>
    <phoneticPr fontId="2" type="noConversion"/>
  </si>
  <si>
    <t>折弯</t>
  </si>
  <si>
    <t>校正</t>
    <phoneticPr fontId="2" type="noConversion"/>
  </si>
  <si>
    <t>拍扁</t>
  </si>
  <si>
    <t>冲流水孔*3</t>
  </si>
  <si>
    <t xml:space="preserve">SHT0015058靠背横向支撑钢丝 </t>
    <phoneticPr fontId="2" type="noConversion"/>
  </si>
  <si>
    <t>Q235 直径6</t>
    <phoneticPr fontId="2" type="noConversion"/>
  </si>
  <si>
    <t>2.0</t>
  </si>
  <si>
    <t>钢丝包工包料未税7.9646元</t>
    <phoneticPr fontId="2" type="noConversion"/>
  </si>
  <si>
    <t>H5-6802114靠背钢管上横管</t>
  </si>
  <si>
    <t>Q195 Ø25*2.0*365</t>
    <phoneticPr fontId="2" type="noConversion"/>
  </si>
  <si>
    <t>冲流水孔*2</t>
    <phoneticPr fontId="2" type="noConversion"/>
  </si>
  <si>
    <t>D04-6802106腰托固定衬条1</t>
  </si>
  <si>
    <t>SQX3000-6802113支撑钢丝</t>
  </si>
  <si>
    <t>Q235 Ø5*250</t>
    <phoneticPr fontId="2" type="noConversion"/>
  </si>
  <si>
    <t>SHT0012313靠背钢管下支撑管</t>
  </si>
  <si>
    <t>外购</t>
  </si>
  <si>
    <t>SHT0012506侧翼支撑钢丝</t>
  </si>
  <si>
    <t>Q235 Ø8</t>
  </si>
  <si>
    <t>8</t>
  </si>
  <si>
    <t>SHT0012448靠背骨架内衬管</t>
  </si>
  <si>
    <t>Q235 Ø20*2.0*370</t>
    <phoneticPr fontId="2" type="noConversion"/>
  </si>
  <si>
    <t>Q235 Ø6</t>
  </si>
  <si>
    <t>6</t>
  </si>
  <si>
    <t>Q37C10 M10点焊螺母</t>
  </si>
  <si>
    <t>预焊1序</t>
    <phoneticPr fontId="2" type="noConversion"/>
  </si>
  <si>
    <t>焊接2序</t>
    <phoneticPr fontId="2" type="noConversion"/>
  </si>
  <si>
    <t>螺母焊接</t>
  </si>
  <si>
    <t>电泳㎡</t>
  </si>
  <si>
    <t>靠背骨架总成-机械腰托</t>
    <phoneticPr fontId="2" type="noConversion"/>
  </si>
  <si>
    <t>H4A-6802123腰托上固定片</t>
  </si>
  <si>
    <t>1</t>
  </si>
  <si>
    <t>H4A-6802124腰托下固定片</t>
  </si>
  <si>
    <t>H3-6802103旋转轴固定板</t>
  </si>
  <si>
    <t>2.5</t>
  </si>
  <si>
    <t>按照智恒发长春工厂1元/件计算</t>
    <phoneticPr fontId="2" type="noConversion"/>
  </si>
  <si>
    <t>SHT0014977</t>
    <phoneticPr fontId="2" type="noConversion"/>
  </si>
  <si>
    <t>靠背骨架焊接总成（副驾）</t>
    <phoneticPr fontId="2" type="noConversion"/>
  </si>
  <si>
    <t>SHT0015549支撑框线</t>
    <phoneticPr fontId="2" type="noConversion"/>
  </si>
  <si>
    <t>SHT00155499支撑框线</t>
    <phoneticPr fontId="2" type="noConversion"/>
  </si>
  <si>
    <t>自制</t>
    <phoneticPr fontId="2" type="noConversion"/>
  </si>
  <si>
    <t>SHT0012448靠背骨架内衬管</t>
    <phoneticPr fontId="2" type="noConversion"/>
  </si>
  <si>
    <t>SHT0014978靠背主体管</t>
    <phoneticPr fontId="2" type="noConversion"/>
  </si>
  <si>
    <t>SPCC Ø25*1.5</t>
    <phoneticPr fontId="2" type="noConversion"/>
  </si>
  <si>
    <t>SHT0014979侧翼支撑钢丝(右)</t>
    <phoneticPr fontId="2" type="noConversion"/>
  </si>
  <si>
    <t>SHT0015059靠背横向支撑钢丝</t>
    <phoneticPr fontId="2" type="noConversion"/>
  </si>
  <si>
    <t>Q235 Ø6*390</t>
    <phoneticPr fontId="2" type="noConversion"/>
  </si>
  <si>
    <t>SHT0015166侧翼支撑钢丝(左)</t>
    <phoneticPr fontId="2" type="noConversion"/>
  </si>
  <si>
    <t>SHT0014980靠背骨架内衬管</t>
    <phoneticPr fontId="2" type="noConversion"/>
  </si>
  <si>
    <t>Q235 Ø20*1.5*370</t>
    <phoneticPr fontId="2" type="noConversion"/>
  </si>
  <si>
    <t>Q235 Ø20*1.5</t>
    <phoneticPr fontId="2" type="noConversion"/>
  </si>
  <si>
    <t>1B180-6805009司机背右旋转阶梯螺栓</t>
    <phoneticPr fontId="2" type="noConversion"/>
  </si>
  <si>
    <t>45# 20*24</t>
    <phoneticPr fontId="2" type="noConversion"/>
  </si>
  <si>
    <t>SPCC Ø25*1.5*365</t>
    <phoneticPr fontId="2" type="noConversion"/>
  </si>
  <si>
    <t>单件序号</t>
    <phoneticPr fontId="2" type="noConversion"/>
  </si>
  <si>
    <t>匹配单件序号</t>
    <phoneticPr fontId="2" type="noConversion"/>
  </si>
  <si>
    <t>厂家报价</t>
    <phoneticPr fontId="2" type="noConversion"/>
  </si>
  <si>
    <t>SHT0012551</t>
    <phoneticPr fontId="2" type="noConversion"/>
  </si>
  <si>
    <t>管理费2%
财务费3%
利润5%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</si>
</sst>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_ "/>
    <numFmt numFmtId="178" formatCode="0.000_);[Red]\(0.000\)"/>
    <numFmt numFmtId="179" formatCode="0.00_ "/>
    <numFmt numFmtId="180" formatCode="0.0000_ "/>
    <numFmt numFmtId="181" formatCode="0_ 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4"/>
      <color theme="1"/>
      <name val="等线"/>
      <family val="3"/>
      <charset val="134"/>
      <scheme val="minor"/>
    </font>
    <font>
      <sz val="9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2" applyNumberFormat="0" applyFill="0" applyBorder="0" applyAlignment="0" applyProtection="0">
      <alignment vertical="center"/>
    </xf>
  </cellStyleXfs>
  <cellXfs count="20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2" borderId="2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79" fontId="0" fillId="5" borderId="2" xfId="0" applyNumberForma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178" fontId="0" fillId="2" borderId="1" xfId="0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177" fontId="0" fillId="6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quotePrefix="1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horizontal="left" vertical="center"/>
    </xf>
    <xf numFmtId="0" fontId="6" fillId="0" borderId="2" xfId="6" applyNumberFormat="1" applyFont="1" applyFill="1" applyBorder="1" applyAlignment="1" applyProtection="1">
      <alignment horizontal="center" vertical="center" wrapText="1"/>
      <protection locked="0"/>
    </xf>
    <xf numFmtId="176" fontId="0" fillId="5" borderId="2" xfId="0" applyNumberFormat="1" applyFill="1" applyBorder="1" applyAlignment="1">
      <alignment vertical="center"/>
    </xf>
    <xf numFmtId="9" fontId="0" fillId="0" borderId="0" xfId="1" applyFont="1" applyAlignment="1"/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177" fontId="0" fillId="0" borderId="1" xfId="0" applyNumberForma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7" fontId="0" fillId="7" borderId="2" xfId="0" applyNumberFormat="1" applyFill="1" applyBorder="1" applyAlignment="1">
      <alignment horizontal="center" vertical="center" shrinkToFit="1"/>
    </xf>
    <xf numFmtId="177" fontId="12" fillId="2" borderId="2" xfId="6" applyNumberFormat="1" applyFont="1" applyFill="1" applyBorder="1" applyAlignment="1" applyProtection="1">
      <alignment horizontal="center" vertical="center" wrapText="1"/>
      <protection locked="0"/>
    </xf>
    <xf numFmtId="179" fontId="12" fillId="6" borderId="2" xfId="6" applyNumberFormat="1" applyFont="1" applyFill="1" applyBorder="1" applyAlignment="1" applyProtection="1">
      <alignment horizontal="center" vertical="center" wrapText="1"/>
      <protection locked="0"/>
    </xf>
    <xf numFmtId="179" fontId="12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vertical="center"/>
    </xf>
    <xf numFmtId="179" fontId="0" fillId="7" borderId="2" xfId="0" applyNumberForma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shrinkToFit="1"/>
    </xf>
    <xf numFmtId="177" fontId="4" fillId="4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vertical="center" wrapText="1"/>
    </xf>
    <xf numFmtId="177" fontId="12" fillId="7" borderId="2" xfId="0" applyNumberFormat="1" applyFont="1" applyFill="1" applyBorder="1" applyAlignment="1">
      <alignment horizontal="center" vertical="center" wrapText="1"/>
    </xf>
    <xf numFmtId="179" fontId="12" fillId="7" borderId="2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6" fontId="12" fillId="8" borderId="2" xfId="0" applyNumberFormat="1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177" fontId="12" fillId="8" borderId="2" xfId="0" applyNumberFormat="1" applyFont="1" applyFill="1" applyBorder="1" applyAlignment="1">
      <alignment horizontal="center" vertical="center" wrapText="1"/>
    </xf>
    <xf numFmtId="177" fontId="12" fillId="8" borderId="2" xfId="6" applyNumberFormat="1" applyFont="1" applyFill="1" applyBorder="1" applyAlignment="1" applyProtection="1">
      <alignment horizontal="center" vertical="center" wrapText="1"/>
      <protection locked="0"/>
    </xf>
    <xf numFmtId="179" fontId="12" fillId="8" borderId="2" xfId="6" applyNumberFormat="1" applyFont="1" applyFill="1" applyBorder="1" applyAlignment="1" applyProtection="1">
      <alignment horizontal="center" vertical="center" wrapText="1"/>
      <protection locked="0"/>
    </xf>
    <xf numFmtId="179" fontId="12" fillId="8" borderId="2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/>
    </xf>
    <xf numFmtId="179" fontId="0" fillId="8" borderId="2" xfId="0" applyNumberForma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77" fontId="12" fillId="2" borderId="2" xfId="3" applyNumberFormat="1" applyFont="1" applyFill="1" applyBorder="1" applyAlignment="1">
      <alignment horizontal="center" vertical="center"/>
    </xf>
    <xf numFmtId="179" fontId="12" fillId="7" borderId="2" xfId="6" applyNumberFormat="1" applyFont="1" applyFill="1" applyBorder="1" applyAlignment="1" applyProtection="1">
      <alignment horizontal="center" vertical="center" wrapText="1"/>
      <protection locked="0"/>
    </xf>
    <xf numFmtId="177" fontId="0" fillId="7" borderId="2" xfId="0" applyNumberFormat="1" applyFill="1" applyBorder="1" applyAlignment="1">
      <alignment horizontal="right" vertical="center"/>
    </xf>
    <xf numFmtId="181" fontId="12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vertical="center"/>
    </xf>
    <xf numFmtId="179" fontId="12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2" fillId="5" borderId="2" xfId="0" applyNumberFormat="1" applyFont="1" applyFill="1" applyBorder="1" applyAlignment="1">
      <alignment vertical="center" wrapText="1"/>
    </xf>
    <xf numFmtId="181" fontId="12" fillId="5" borderId="2" xfId="0" applyNumberFormat="1" applyFont="1" applyFill="1" applyBorder="1" applyAlignment="1">
      <alignment horizontal="center" vertical="center" wrapText="1"/>
    </xf>
    <xf numFmtId="179" fontId="4" fillId="5" borderId="2" xfId="0" applyNumberFormat="1" applyFont="1" applyFill="1" applyBorder="1" applyAlignment="1">
      <alignment vertical="center"/>
    </xf>
    <xf numFmtId="179" fontId="0" fillId="5" borderId="2" xfId="0" applyNumberForma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179" fontId="4" fillId="5" borderId="2" xfId="0" applyNumberFormat="1" applyFont="1" applyFill="1" applyBorder="1" applyAlignment="1">
      <alignment horizontal="center" vertical="center"/>
    </xf>
    <xf numFmtId="179" fontId="12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9" fontId="4" fillId="2" borderId="0" xfId="1" applyFont="1" applyFill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 shrinkToFit="1"/>
    </xf>
    <xf numFmtId="178" fontId="0" fillId="0" borderId="8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5" borderId="6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79" fontId="3" fillId="5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49" fontId="10" fillId="3" borderId="11" xfId="4" applyNumberFormat="1" applyFont="1" applyFill="1" applyBorder="1" applyAlignment="1">
      <alignment horizontal="center" vertical="center" wrapText="1"/>
    </xf>
    <xf numFmtId="49" fontId="10" fillId="3" borderId="1" xfId="4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179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177" fontId="12" fillId="5" borderId="8" xfId="0" applyNumberFormat="1" applyFont="1" applyFill="1" applyBorder="1" applyAlignment="1">
      <alignment horizontal="center" vertical="center" wrapText="1"/>
    </xf>
    <xf numFmtId="179" fontId="12" fillId="5" borderId="8" xfId="0" applyNumberFormat="1" applyFont="1" applyFill="1" applyBorder="1" applyAlignment="1">
      <alignment horizontal="center" vertical="center" wrapText="1"/>
    </xf>
    <xf numFmtId="179" fontId="12" fillId="5" borderId="7" xfId="0" applyNumberFormat="1" applyFont="1" applyFill="1" applyBorder="1" applyAlignment="1">
      <alignment horizontal="center" vertical="center" wrapText="1"/>
    </xf>
    <xf numFmtId="179" fontId="0" fillId="5" borderId="6" xfId="0" applyNumberFormat="1" applyFill="1" applyBorder="1" applyAlignment="1">
      <alignment horizontal="center" vertical="center"/>
    </xf>
    <xf numFmtId="179" fontId="0" fillId="5" borderId="7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0" fillId="7" borderId="1" xfId="1" applyFont="1" applyFill="1" applyBorder="1" applyAlignment="1">
      <alignment horizontal="center" vertical="center"/>
    </xf>
    <xf numFmtId="9" fontId="0" fillId="7" borderId="3" xfId="1" applyFont="1" applyFill="1" applyBorder="1" applyAlignment="1">
      <alignment horizontal="center" vertical="center"/>
    </xf>
    <xf numFmtId="9" fontId="0" fillId="7" borderId="4" xfId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center" vertical="center" wrapText="1"/>
    </xf>
    <xf numFmtId="176" fontId="3" fillId="2" borderId="9" xfId="1" applyNumberFormat="1" applyFont="1" applyFill="1" applyBorder="1" applyAlignment="1">
      <alignment horizontal="center" vertical="center" wrapText="1"/>
    </xf>
    <xf numFmtId="176" fontId="3" fillId="2" borderId="10" xfId="1" applyNumberFormat="1" applyFont="1" applyFill="1" applyBorder="1" applyAlignment="1">
      <alignment horizontal="center" vertical="center" wrapText="1"/>
    </xf>
    <xf numFmtId="176" fontId="3" fillId="2" borderId="14" xfId="1" applyNumberFormat="1" applyFont="1" applyFill="1" applyBorder="1" applyAlignment="1">
      <alignment horizontal="center" vertical="center" wrapText="1"/>
    </xf>
    <xf numFmtId="176" fontId="3" fillId="2" borderId="12" xfId="1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180" fontId="11" fillId="0" borderId="4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</cellXfs>
  <cellStyles count="7">
    <cellStyle name="BOM_Level_Below3 4" xfId="6" xr:uid="{A4237D99-564C-464C-8553-0BA7BA7F216B}"/>
    <cellStyle name="百分比" xfId="1" builtinId="5"/>
    <cellStyle name="常规" xfId="0" builtinId="0"/>
    <cellStyle name="常规 2" xfId="4" xr:uid="{6DF43C9D-F904-4A71-A4FF-F4FF2C5946F5}"/>
    <cellStyle name="常规 3" xfId="3" xr:uid="{F4FDA7CE-EB7B-4BB9-8AF6-85529A5FF436}"/>
    <cellStyle name="常规 41" xfId="5" xr:uid="{372120EF-63D5-4EC7-BB5C-0FF7985FE556}"/>
    <cellStyle name="표준_원가수정050816" xfId="2" xr:uid="{E7E7034F-0D2C-4A31-BEA9-AAE66E6A6F8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30</xdr:row>
      <xdr:rowOff>66676</xdr:rowOff>
    </xdr:from>
    <xdr:to>
      <xdr:col>5</xdr:col>
      <xdr:colOff>533400</xdr:colOff>
      <xdr:row>33</xdr:row>
      <xdr:rowOff>38101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38599BA-0712-46D0-8C0D-ACD01348D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7858126"/>
          <a:ext cx="46672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47</xdr:col>
      <xdr:colOff>214966</xdr:colOff>
      <xdr:row>21</xdr:row>
      <xdr:rowOff>39915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E5DC7ABB-46CD-4383-BE92-A99D13DDA2C7}"/>
            </a:ext>
          </a:extLst>
        </xdr:cNvPr>
        <xdr:cNvGrpSpPr/>
      </xdr:nvGrpSpPr>
      <xdr:grpSpPr>
        <a:xfrm>
          <a:off x="22466300" y="2057400"/>
          <a:ext cx="7530166" cy="5666015"/>
          <a:chOff x="21336000" y="93192600"/>
          <a:chExt cx="11432695" cy="7505700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D6BF883C-BC7D-5CA7-730F-63C2129D5B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082500" y="93243400"/>
            <a:ext cx="3466667" cy="6104762"/>
          </a:xfrm>
          <a:prstGeom prst="rect">
            <a:avLst/>
          </a:prstGeom>
        </xdr:spPr>
      </xdr:pic>
      <xdr:sp macro="" textlink="">
        <xdr:nvSpPr>
          <xdr:cNvPr id="4" name="对话气泡: 圆角矩形 3">
            <a:extLst>
              <a:ext uri="{FF2B5EF4-FFF2-40B4-BE49-F238E27FC236}">
                <a16:creationId xmlns:a16="http://schemas.microsoft.com/office/drawing/2014/main" id="{3779685C-F1EA-F6B8-A143-880CC47A5D6A}"/>
              </a:ext>
            </a:extLst>
          </xdr:cNvPr>
          <xdr:cNvSpPr/>
        </xdr:nvSpPr>
        <xdr:spPr>
          <a:xfrm>
            <a:off x="27025600" y="99758500"/>
            <a:ext cx="3467100" cy="939800"/>
          </a:xfrm>
          <a:prstGeom prst="wedgeRoundRectCallout">
            <a:avLst>
              <a:gd name="adj1" fmla="val -41712"/>
              <a:gd name="adj2" fmla="val -118581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C.</a:t>
            </a:r>
            <a:r>
              <a:rPr lang="zh-CN" altLang="en-US" sz="1100"/>
              <a:t>序号</a:t>
            </a:r>
            <a:r>
              <a:rPr lang="en-US" altLang="zh-CN" sz="1100"/>
              <a:t>11</a:t>
            </a:r>
            <a:r>
              <a:rPr lang="zh-CN" altLang="en-US" sz="1100"/>
              <a:t>支撑框线，</a:t>
            </a:r>
            <a:r>
              <a:rPr lang="en-US" altLang="zh-CN" sz="1100"/>
              <a:t>H5-6802149</a:t>
            </a:r>
            <a:r>
              <a:rPr lang="zh-CN" altLang="en-US" sz="1100"/>
              <a:t>变更为</a:t>
            </a:r>
            <a:r>
              <a:rPr lang="en-US" altLang="zh-CN" sz="1100"/>
              <a:t>SHT0015549</a:t>
            </a:r>
            <a:endParaRPr lang="zh-CN" altLang="en-US" sz="1100"/>
          </a:p>
        </xdr:txBody>
      </xdr:sp>
      <xdr:sp macro="" textlink="">
        <xdr:nvSpPr>
          <xdr:cNvPr id="5" name="对话气泡: 圆角矩形 4">
            <a:extLst>
              <a:ext uri="{FF2B5EF4-FFF2-40B4-BE49-F238E27FC236}">
                <a16:creationId xmlns:a16="http://schemas.microsoft.com/office/drawing/2014/main" id="{26F2E7EB-C163-9EAD-B6E4-86EFD3E90727}"/>
              </a:ext>
            </a:extLst>
          </xdr:cNvPr>
          <xdr:cNvSpPr/>
        </xdr:nvSpPr>
        <xdr:spPr>
          <a:xfrm>
            <a:off x="21336000" y="95338900"/>
            <a:ext cx="3467100" cy="939800"/>
          </a:xfrm>
          <a:prstGeom prst="wedgeRoundRectCallout">
            <a:avLst>
              <a:gd name="adj1" fmla="val 72574"/>
              <a:gd name="adj2" fmla="val -6419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a.</a:t>
            </a:r>
            <a:r>
              <a:rPr lang="zh-CN" altLang="en-US" sz="1100"/>
              <a:t>序号</a:t>
            </a:r>
            <a:r>
              <a:rPr lang="en-US" altLang="zh-CN" sz="1100"/>
              <a:t>4</a:t>
            </a:r>
            <a:r>
              <a:rPr lang="zh-CN" altLang="en-US" sz="1100"/>
              <a:t>靠背支撑板条，</a:t>
            </a:r>
            <a:r>
              <a:rPr lang="en-US" altLang="zh-CN" sz="1100"/>
              <a:t>H5-6802136</a:t>
            </a:r>
            <a:r>
              <a:rPr lang="zh-CN" altLang="en-US" sz="1100"/>
              <a:t>变更为</a:t>
            </a:r>
            <a:r>
              <a:rPr lang="en-US" altLang="zh-CN" sz="1100"/>
              <a:t>SHT0015058</a:t>
            </a:r>
            <a:endParaRPr lang="zh-CN" altLang="en-US" sz="1100"/>
          </a:p>
        </xdr:txBody>
      </xdr:sp>
      <xdr:pic>
        <xdr:nvPicPr>
          <xdr:cNvPr id="6" name="图片 5">
            <a:extLst>
              <a:ext uri="{FF2B5EF4-FFF2-40B4-BE49-F238E27FC236}">
                <a16:creationId xmlns:a16="http://schemas.microsoft.com/office/drawing/2014/main" id="{6274370A-E586-24CB-5521-C9F2505F7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930600" y="93192600"/>
            <a:ext cx="3838095" cy="6085714"/>
          </a:xfrm>
          <a:prstGeom prst="rect">
            <a:avLst/>
          </a:prstGeom>
        </xdr:spPr>
      </xdr:pic>
    </xdr:grpSp>
    <xdr:clientData/>
  </xdr:twoCellAnchor>
  <xdr:twoCellAnchor>
    <xdr:from>
      <xdr:col>35</xdr:col>
      <xdr:colOff>0</xdr:colOff>
      <xdr:row>33</xdr:row>
      <xdr:rowOff>0</xdr:rowOff>
    </xdr:from>
    <xdr:to>
      <xdr:col>47</xdr:col>
      <xdr:colOff>9072</xdr:colOff>
      <xdr:row>48</xdr:row>
      <xdr:rowOff>177800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06C6CA62-B3FB-4C2C-9419-040863D0FB6C}"/>
            </a:ext>
          </a:extLst>
        </xdr:cNvPr>
        <xdr:cNvGrpSpPr/>
      </xdr:nvGrpSpPr>
      <xdr:grpSpPr>
        <a:xfrm>
          <a:off x="22466300" y="12471400"/>
          <a:ext cx="7324272" cy="5753100"/>
          <a:chOff x="23088600" y="99060000"/>
          <a:chExt cx="10165890" cy="6757603"/>
        </a:xfrm>
      </xdr:grpSpPr>
      <xdr:pic>
        <xdr:nvPicPr>
          <xdr:cNvPr id="8" name="图片 7">
            <a:extLst>
              <a:ext uri="{FF2B5EF4-FFF2-40B4-BE49-F238E27FC236}">
                <a16:creationId xmlns:a16="http://schemas.microsoft.com/office/drawing/2014/main" id="{2F47C256-6375-8E5B-D30F-9E161BE2CB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578300" y="99060000"/>
            <a:ext cx="3676190" cy="5933267"/>
          </a:xfrm>
          <a:prstGeom prst="rect">
            <a:avLst/>
          </a:prstGeom>
        </xdr:spPr>
      </xdr:pic>
      <xdr:grpSp>
        <xdr:nvGrpSpPr>
          <xdr:cNvPr id="9" name="组合 8">
            <a:extLst>
              <a:ext uri="{FF2B5EF4-FFF2-40B4-BE49-F238E27FC236}">
                <a16:creationId xmlns:a16="http://schemas.microsoft.com/office/drawing/2014/main" id="{523E3204-5319-7B0D-016E-A816D3FA77DE}"/>
              </a:ext>
            </a:extLst>
          </xdr:cNvPr>
          <xdr:cNvGrpSpPr/>
        </xdr:nvGrpSpPr>
        <xdr:grpSpPr>
          <a:xfrm>
            <a:off x="23088600" y="99060000"/>
            <a:ext cx="8340207" cy="6757603"/>
            <a:chOff x="23088600" y="99060000"/>
            <a:chExt cx="8340207" cy="675760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0BAE3151-E2B7-979B-B720-598E96F22C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615900" y="99060000"/>
              <a:ext cx="3571429" cy="5885714"/>
            </a:xfrm>
            <a:prstGeom prst="rect">
              <a:avLst/>
            </a:prstGeom>
          </xdr:spPr>
        </xdr:pic>
        <xdr:sp macro="" textlink="">
          <xdr:nvSpPr>
            <xdr:cNvPr id="11" name="对话气泡: 圆角矩形 10">
              <a:extLst>
                <a:ext uri="{FF2B5EF4-FFF2-40B4-BE49-F238E27FC236}">
                  <a16:creationId xmlns:a16="http://schemas.microsoft.com/office/drawing/2014/main" id="{F804F0DE-5230-1999-9CDA-82349FEFC443}"/>
                </a:ext>
              </a:extLst>
            </xdr:cNvPr>
            <xdr:cNvSpPr/>
          </xdr:nvSpPr>
          <xdr:spPr>
            <a:xfrm>
              <a:off x="23393400" y="100787200"/>
              <a:ext cx="2323227" cy="712403"/>
            </a:xfrm>
            <a:prstGeom prst="wedgeRoundRectCallout">
              <a:avLst>
                <a:gd name="adj1" fmla="val 72574"/>
                <a:gd name="adj2" fmla="val -6419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4</a:t>
              </a:r>
              <a:r>
                <a:rPr lang="zh-CN" altLang="en-US" sz="1100"/>
                <a:t>靠背支撑板条，</a:t>
              </a:r>
              <a:r>
                <a:rPr lang="en-US" altLang="zh-CN" sz="1100"/>
                <a:t>H5-6802136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SHT0015058</a:t>
              </a:r>
              <a:endParaRPr lang="zh-CN" altLang="en-US" sz="1100"/>
            </a:p>
          </xdr:txBody>
        </xdr:sp>
        <xdr:sp macro="" textlink="">
          <xdr:nvSpPr>
            <xdr:cNvPr id="12" name="对话气泡: 圆角矩形 11">
              <a:extLst>
                <a:ext uri="{FF2B5EF4-FFF2-40B4-BE49-F238E27FC236}">
                  <a16:creationId xmlns:a16="http://schemas.microsoft.com/office/drawing/2014/main" id="{89D37704-6766-D7CA-177E-6BEA3FEB63C9}"/>
                </a:ext>
              </a:extLst>
            </xdr:cNvPr>
            <xdr:cNvSpPr/>
          </xdr:nvSpPr>
          <xdr:spPr>
            <a:xfrm>
              <a:off x="27800298" y="105105200"/>
              <a:ext cx="3628509" cy="712403"/>
            </a:xfrm>
            <a:prstGeom prst="wedgeRoundRectCallout">
              <a:avLst>
                <a:gd name="adj1" fmla="val -41712"/>
                <a:gd name="adj2" fmla="val -118581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C.</a:t>
              </a:r>
              <a:r>
                <a:rPr lang="zh-CN" altLang="en-US" sz="1100"/>
                <a:t>序号</a:t>
              </a:r>
              <a:r>
                <a:rPr lang="en-US" altLang="zh-CN" sz="1100"/>
                <a:t>11</a:t>
              </a:r>
              <a:r>
                <a:rPr lang="zh-CN" altLang="en-US" sz="1100"/>
                <a:t>支撑框线，</a:t>
              </a:r>
              <a:r>
                <a:rPr lang="en-US" altLang="zh-CN" sz="1100"/>
                <a:t>H5-6802149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SHT0015549</a:t>
              </a:r>
              <a:endParaRPr lang="zh-CN" altLang="en-US" sz="1100"/>
            </a:p>
          </xdr:txBody>
        </xdr:sp>
        <xdr:sp macro="" textlink="">
          <xdr:nvSpPr>
            <xdr:cNvPr id="13" name="对话气泡: 圆角矩形 12">
              <a:extLst>
                <a:ext uri="{FF2B5EF4-FFF2-40B4-BE49-F238E27FC236}">
                  <a16:creationId xmlns:a16="http://schemas.microsoft.com/office/drawing/2014/main" id="{AF75E432-7D90-CD39-EF9A-83954A502CDF}"/>
                </a:ext>
              </a:extLst>
            </xdr:cNvPr>
            <xdr:cNvSpPr/>
          </xdr:nvSpPr>
          <xdr:spPr>
            <a:xfrm>
              <a:off x="23088600" y="103060500"/>
              <a:ext cx="2323227" cy="712403"/>
            </a:xfrm>
            <a:prstGeom prst="wedgeRoundRectCallout">
              <a:avLst>
                <a:gd name="adj1" fmla="val 123413"/>
                <a:gd name="adj2" fmla="val -18898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13</a:t>
              </a:r>
              <a:r>
                <a:rPr lang="zh-CN" altLang="en-US" sz="1100"/>
                <a:t>、</a:t>
              </a:r>
              <a:r>
                <a:rPr lang="en-US" altLang="zh-CN" sz="1100"/>
                <a:t>14</a:t>
              </a:r>
              <a:r>
                <a:rPr lang="zh-CN" altLang="en-US" sz="1100"/>
                <a:t>腰托上下固定片的安装位置调整</a:t>
              </a:r>
            </a:p>
          </xdr:txBody>
        </xdr:sp>
      </xdr:grpSp>
    </xdr:grpSp>
    <xdr:clientData/>
  </xdr:twoCellAnchor>
  <xdr:twoCellAnchor>
    <xdr:from>
      <xdr:col>35</xdr:col>
      <xdr:colOff>0</xdr:colOff>
      <xdr:row>64</xdr:row>
      <xdr:rowOff>0</xdr:rowOff>
    </xdr:from>
    <xdr:to>
      <xdr:col>47</xdr:col>
      <xdr:colOff>9072</xdr:colOff>
      <xdr:row>76</xdr:row>
      <xdr:rowOff>177800</xdr:rowOff>
    </xdr:to>
    <xdr:grpSp>
      <xdr:nvGrpSpPr>
        <xdr:cNvPr id="14" name="组合 13">
          <a:extLst>
            <a:ext uri="{FF2B5EF4-FFF2-40B4-BE49-F238E27FC236}">
              <a16:creationId xmlns:a16="http://schemas.microsoft.com/office/drawing/2014/main" id="{80D7FC94-D461-4107-B24C-47EC37D93D61}"/>
            </a:ext>
          </a:extLst>
        </xdr:cNvPr>
        <xdr:cNvGrpSpPr/>
      </xdr:nvGrpSpPr>
      <xdr:grpSpPr>
        <a:xfrm>
          <a:off x="22466300" y="24460200"/>
          <a:ext cx="7324272" cy="4533900"/>
          <a:chOff x="23088600" y="99060000"/>
          <a:chExt cx="10165890" cy="6757603"/>
        </a:xfrm>
      </xdr:grpSpPr>
      <xdr:pic>
        <xdr:nvPicPr>
          <xdr:cNvPr id="15" name="图片 14">
            <a:extLst>
              <a:ext uri="{FF2B5EF4-FFF2-40B4-BE49-F238E27FC236}">
                <a16:creationId xmlns:a16="http://schemas.microsoft.com/office/drawing/2014/main" id="{D9EF2270-0C2B-29E7-2BC0-A9144EEE27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578300" y="99060000"/>
            <a:ext cx="3676190" cy="5933267"/>
          </a:xfrm>
          <a:prstGeom prst="rect">
            <a:avLst/>
          </a:prstGeom>
        </xdr:spPr>
      </xdr:pic>
      <xdr:grpSp>
        <xdr:nvGrpSpPr>
          <xdr:cNvPr id="16" name="组合 15">
            <a:extLst>
              <a:ext uri="{FF2B5EF4-FFF2-40B4-BE49-F238E27FC236}">
                <a16:creationId xmlns:a16="http://schemas.microsoft.com/office/drawing/2014/main" id="{26417732-25BD-3205-B430-5290A7B0C1CA}"/>
              </a:ext>
            </a:extLst>
          </xdr:cNvPr>
          <xdr:cNvGrpSpPr/>
        </xdr:nvGrpSpPr>
        <xdr:grpSpPr>
          <a:xfrm>
            <a:off x="23088600" y="99060000"/>
            <a:ext cx="7034927" cy="6757603"/>
            <a:chOff x="23088600" y="99060000"/>
            <a:chExt cx="7034927" cy="6757603"/>
          </a:xfrm>
        </xdr:grpSpPr>
        <xdr:pic>
          <xdr:nvPicPr>
            <xdr:cNvPr id="17" name="图片 16">
              <a:extLst>
                <a:ext uri="{FF2B5EF4-FFF2-40B4-BE49-F238E27FC236}">
                  <a16:creationId xmlns:a16="http://schemas.microsoft.com/office/drawing/2014/main" id="{270636C1-C2E9-5603-4A7C-C593BD12C0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615900" y="99060000"/>
              <a:ext cx="3571429" cy="5885714"/>
            </a:xfrm>
            <a:prstGeom prst="rect">
              <a:avLst/>
            </a:prstGeom>
          </xdr:spPr>
        </xdr:pic>
        <xdr:sp macro="" textlink="">
          <xdr:nvSpPr>
            <xdr:cNvPr id="18" name="对话气泡: 圆角矩形 17">
              <a:extLst>
                <a:ext uri="{FF2B5EF4-FFF2-40B4-BE49-F238E27FC236}">
                  <a16:creationId xmlns:a16="http://schemas.microsoft.com/office/drawing/2014/main" id="{CEB71631-6E02-814B-3707-007B077B5627}"/>
                </a:ext>
              </a:extLst>
            </xdr:cNvPr>
            <xdr:cNvSpPr/>
          </xdr:nvSpPr>
          <xdr:spPr>
            <a:xfrm>
              <a:off x="23393400" y="100787200"/>
              <a:ext cx="2323227" cy="712403"/>
            </a:xfrm>
            <a:prstGeom prst="wedgeRoundRectCallout">
              <a:avLst>
                <a:gd name="adj1" fmla="val 72574"/>
                <a:gd name="adj2" fmla="val -6419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4</a:t>
              </a:r>
              <a:r>
                <a:rPr lang="zh-CN" altLang="en-US" sz="1100"/>
                <a:t>靠背支撑板条，</a:t>
              </a:r>
              <a:r>
                <a:rPr lang="en-US" altLang="zh-CN" sz="1100"/>
                <a:t>H5-6802136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SHT0015058</a:t>
              </a:r>
              <a:endParaRPr lang="zh-CN" altLang="en-US" sz="1100"/>
            </a:p>
          </xdr:txBody>
        </xdr:sp>
        <xdr:sp macro="" textlink="">
          <xdr:nvSpPr>
            <xdr:cNvPr id="19" name="对话气泡: 圆角矩形 18">
              <a:extLst>
                <a:ext uri="{FF2B5EF4-FFF2-40B4-BE49-F238E27FC236}">
                  <a16:creationId xmlns:a16="http://schemas.microsoft.com/office/drawing/2014/main" id="{71E14219-DD0D-03FB-B1B9-3E476964073B}"/>
                </a:ext>
              </a:extLst>
            </xdr:cNvPr>
            <xdr:cNvSpPr/>
          </xdr:nvSpPr>
          <xdr:spPr>
            <a:xfrm>
              <a:off x="27800300" y="105105200"/>
              <a:ext cx="2323227" cy="712403"/>
            </a:xfrm>
            <a:prstGeom prst="wedgeRoundRectCallout">
              <a:avLst>
                <a:gd name="adj1" fmla="val -41712"/>
                <a:gd name="adj2" fmla="val -118581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C.</a:t>
              </a:r>
              <a:r>
                <a:rPr lang="zh-CN" altLang="en-US" sz="1100"/>
                <a:t>序号</a:t>
              </a:r>
              <a:r>
                <a:rPr lang="en-US" altLang="zh-CN" sz="1100"/>
                <a:t>11</a:t>
              </a:r>
              <a:r>
                <a:rPr lang="zh-CN" altLang="en-US" sz="1100"/>
                <a:t>支撑框线，</a:t>
              </a:r>
              <a:r>
                <a:rPr lang="en-US" altLang="zh-CN" sz="1100"/>
                <a:t>H5-6802149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SHT0015549</a:t>
              </a:r>
              <a:endParaRPr lang="zh-CN" altLang="en-US" sz="1100"/>
            </a:p>
          </xdr:txBody>
        </xdr:sp>
        <xdr:sp macro="" textlink="">
          <xdr:nvSpPr>
            <xdr:cNvPr id="20" name="对话气泡: 圆角矩形 19">
              <a:extLst>
                <a:ext uri="{FF2B5EF4-FFF2-40B4-BE49-F238E27FC236}">
                  <a16:creationId xmlns:a16="http://schemas.microsoft.com/office/drawing/2014/main" id="{276048D6-58F4-294D-0520-2BFE9CBC108F}"/>
                </a:ext>
              </a:extLst>
            </xdr:cNvPr>
            <xdr:cNvSpPr/>
          </xdr:nvSpPr>
          <xdr:spPr>
            <a:xfrm>
              <a:off x="23088600" y="103060500"/>
              <a:ext cx="2323227" cy="712403"/>
            </a:xfrm>
            <a:prstGeom prst="wedgeRoundRectCallout">
              <a:avLst>
                <a:gd name="adj1" fmla="val 123413"/>
                <a:gd name="adj2" fmla="val -18898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13</a:t>
              </a:r>
              <a:r>
                <a:rPr lang="zh-CN" altLang="en-US" sz="1100"/>
                <a:t>、</a:t>
              </a:r>
              <a:r>
                <a:rPr lang="en-US" altLang="zh-CN" sz="1100"/>
                <a:t>14</a:t>
              </a:r>
              <a:r>
                <a:rPr lang="zh-CN" altLang="en-US" sz="1100"/>
                <a:t>腰托上下固定片的安装位置调整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opLeftCell="A30" zoomScale="80" zoomScaleNormal="80" workbookViewId="0">
      <selection activeCell="D3" sqref="D3:D48"/>
    </sheetView>
  </sheetViews>
  <sheetFormatPr defaultRowHeight="13.8" x14ac:dyDescent="0.25"/>
  <cols>
    <col min="2" max="2" width="11.33203125" customWidth="1"/>
    <col min="7" max="7" width="21.77734375" customWidth="1"/>
    <col min="8" max="8" width="27.21875" customWidth="1"/>
    <col min="9" max="9" width="15.33203125" style="30" customWidth="1"/>
    <col min="10" max="10" width="8.77734375" style="30" customWidth="1"/>
    <col min="17" max="17" width="15" customWidth="1"/>
    <col min="21" max="21" width="13.21875" customWidth="1"/>
    <col min="29" max="29" width="12.33203125" customWidth="1"/>
  </cols>
  <sheetData>
    <row r="1" spans="1:35" s="13" customFormat="1" ht="13.5" customHeight="1" x14ac:dyDescent="0.25">
      <c r="A1" s="1" t="s">
        <v>6</v>
      </c>
      <c r="B1" s="113" t="s">
        <v>7</v>
      </c>
      <c r="C1" s="113" t="s">
        <v>8</v>
      </c>
      <c r="D1" s="113" t="s">
        <v>9</v>
      </c>
      <c r="E1" s="131" t="s">
        <v>10</v>
      </c>
      <c r="F1" s="133" t="s">
        <v>11</v>
      </c>
      <c r="G1" s="99" t="s">
        <v>46</v>
      </c>
      <c r="H1" s="137" t="s">
        <v>44</v>
      </c>
      <c r="I1" s="98" t="s">
        <v>12</v>
      </c>
      <c r="J1" s="136" t="s">
        <v>48</v>
      </c>
      <c r="K1" s="99" t="s">
        <v>13</v>
      </c>
      <c r="L1" s="101" t="s">
        <v>14</v>
      </c>
      <c r="M1" s="102"/>
      <c r="N1" s="102"/>
      <c r="O1" s="103" t="s">
        <v>15</v>
      </c>
      <c r="P1" s="104"/>
      <c r="Q1" s="105" t="s">
        <v>16</v>
      </c>
      <c r="R1" s="106"/>
      <c r="S1" s="107"/>
      <c r="T1" s="108" t="s">
        <v>17</v>
      </c>
      <c r="U1" s="103" t="s">
        <v>18</v>
      </c>
      <c r="V1" s="141"/>
      <c r="W1" s="141"/>
      <c r="X1" s="141"/>
      <c r="Y1" s="141"/>
      <c r="Z1" s="104"/>
      <c r="AA1" s="108" t="s">
        <v>19</v>
      </c>
      <c r="AB1" s="108" t="s">
        <v>20</v>
      </c>
      <c r="AC1" s="108" t="s">
        <v>21</v>
      </c>
      <c r="AD1" s="96" t="s">
        <v>22</v>
      </c>
      <c r="AE1" s="138" t="s">
        <v>23</v>
      </c>
      <c r="AF1" s="118" t="s">
        <v>24</v>
      </c>
      <c r="AG1" s="138" t="s">
        <v>25</v>
      </c>
      <c r="AH1" s="139" t="s">
        <v>26</v>
      </c>
      <c r="AI1" s="140"/>
    </row>
    <row r="2" spans="1:35" s="13" customFormat="1" ht="33" customHeight="1" x14ac:dyDescent="0.25">
      <c r="A2" s="16" t="s">
        <v>27</v>
      </c>
      <c r="B2" s="112"/>
      <c r="C2" s="130"/>
      <c r="D2" s="130"/>
      <c r="E2" s="132"/>
      <c r="F2" s="134"/>
      <c r="G2" s="135"/>
      <c r="H2" s="137"/>
      <c r="I2" s="98"/>
      <c r="J2" s="100"/>
      <c r="K2" s="100"/>
      <c r="L2" s="21" t="s">
        <v>28</v>
      </c>
      <c r="M2" s="21" t="s">
        <v>29</v>
      </c>
      <c r="N2" s="21" t="s">
        <v>30</v>
      </c>
      <c r="O2" s="22" t="s">
        <v>17</v>
      </c>
      <c r="P2" s="12" t="s">
        <v>31</v>
      </c>
      <c r="Q2" s="23" t="s">
        <v>32</v>
      </c>
      <c r="R2" s="24" t="s">
        <v>33</v>
      </c>
      <c r="S2" s="23" t="s">
        <v>31</v>
      </c>
      <c r="T2" s="109"/>
      <c r="U2" s="12" t="s">
        <v>34</v>
      </c>
      <c r="V2" s="12" t="s">
        <v>35</v>
      </c>
      <c r="W2" s="20" t="s">
        <v>36</v>
      </c>
      <c r="X2" s="12" t="s">
        <v>37</v>
      </c>
      <c r="Y2" s="20" t="s">
        <v>38</v>
      </c>
      <c r="Z2" s="25" t="s">
        <v>39</v>
      </c>
      <c r="AA2" s="142"/>
      <c r="AB2" s="142"/>
      <c r="AC2" s="142"/>
      <c r="AD2" s="97"/>
      <c r="AE2" s="134"/>
      <c r="AF2" s="133"/>
      <c r="AG2" s="134"/>
      <c r="AH2" s="139"/>
      <c r="AI2" s="140"/>
    </row>
    <row r="3" spans="1:35" s="13" customFormat="1" ht="20.399999999999999" customHeight="1" x14ac:dyDescent="0.25">
      <c r="A3" s="110">
        <v>1</v>
      </c>
      <c r="B3" s="138" t="s">
        <v>41</v>
      </c>
      <c r="C3" s="114"/>
      <c r="D3" s="115" t="s">
        <v>40</v>
      </c>
      <c r="E3" s="118"/>
      <c r="F3" s="118" t="s">
        <v>0</v>
      </c>
      <c r="G3" s="2" t="s">
        <v>42</v>
      </c>
      <c r="H3" s="3" t="s">
        <v>43</v>
      </c>
      <c r="I3" s="26" t="s">
        <v>45</v>
      </c>
      <c r="J3" s="26" t="s">
        <v>71</v>
      </c>
      <c r="K3" s="2">
        <v>1</v>
      </c>
      <c r="L3" s="4">
        <v>468</v>
      </c>
      <c r="M3" s="4">
        <v>77.5</v>
      </c>
      <c r="N3" s="4">
        <v>2.5</v>
      </c>
      <c r="O3" s="5">
        <v>5.32</v>
      </c>
      <c r="P3" s="6">
        <v>2.5</v>
      </c>
      <c r="Q3" s="7">
        <f>L3*M3*N3*7.85/1000000</f>
        <v>0.71179875000000004</v>
      </c>
      <c r="R3" s="8">
        <v>0.48</v>
      </c>
      <c r="S3" s="7">
        <f>Q3-R3</f>
        <v>0.23179875000000005</v>
      </c>
      <c r="T3" s="7">
        <f>(O3*Q3-P3*S3)*K3</f>
        <v>3.2072724750000003</v>
      </c>
      <c r="U3" s="9" t="s">
        <v>47</v>
      </c>
      <c r="V3" s="10" t="s">
        <v>1</v>
      </c>
      <c r="W3" s="10">
        <v>1</v>
      </c>
      <c r="X3" s="6">
        <v>0.15</v>
      </c>
      <c r="Y3" s="11">
        <v>1</v>
      </c>
      <c r="Z3" s="6">
        <f t="shared" ref="Z3:Z15" si="0">W3*X3/Y3</f>
        <v>0.15</v>
      </c>
      <c r="AA3" s="119" t="s">
        <v>125</v>
      </c>
      <c r="AB3" s="120"/>
      <c r="AC3" s="144" t="s">
        <v>215</v>
      </c>
      <c r="AD3" s="108"/>
      <c r="AE3" s="146">
        <f>130000+10000+14000</f>
        <v>154000</v>
      </c>
      <c r="AF3" s="146">
        <v>100000</v>
      </c>
      <c r="AG3" s="143">
        <f>AD3+AE3/AF3</f>
        <v>1.54</v>
      </c>
      <c r="AH3" s="110">
        <v>82.22</v>
      </c>
    </row>
    <row r="4" spans="1:35" s="13" customFormat="1" ht="20.399999999999999" customHeight="1" x14ac:dyDescent="0.25">
      <c r="A4" s="111"/>
      <c r="B4" s="134"/>
      <c r="C4" s="111"/>
      <c r="D4" s="116"/>
      <c r="E4" s="118"/>
      <c r="F4" s="118"/>
      <c r="G4" s="2"/>
      <c r="H4" s="2"/>
      <c r="I4" s="27"/>
      <c r="J4" s="27"/>
      <c r="K4" s="2"/>
      <c r="L4" s="4"/>
      <c r="M4" s="4"/>
      <c r="N4" s="4"/>
      <c r="O4" s="14"/>
      <c r="P4" s="6"/>
      <c r="Q4" s="7"/>
      <c r="R4" s="8"/>
      <c r="S4" s="7"/>
      <c r="T4" s="7"/>
      <c r="U4" s="9" t="s">
        <v>53</v>
      </c>
      <c r="V4" s="10" t="s">
        <v>1</v>
      </c>
      <c r="W4" s="10">
        <v>1</v>
      </c>
      <c r="X4" s="6">
        <v>0.15</v>
      </c>
      <c r="Y4" s="11">
        <v>1</v>
      </c>
      <c r="Z4" s="6">
        <f t="shared" si="0"/>
        <v>0.15</v>
      </c>
      <c r="AA4" s="121"/>
      <c r="AB4" s="122"/>
      <c r="AC4" s="145"/>
      <c r="AD4" s="109"/>
      <c r="AE4" s="146"/>
      <c r="AF4" s="146"/>
      <c r="AG4" s="143"/>
      <c r="AH4" s="111"/>
    </row>
    <row r="5" spans="1:35" s="13" customFormat="1" ht="20.399999999999999" customHeight="1" x14ac:dyDescent="0.25">
      <c r="A5" s="111"/>
      <c r="B5" s="134"/>
      <c r="C5" s="111"/>
      <c r="D5" s="116"/>
      <c r="E5" s="118"/>
      <c r="F5" s="118"/>
      <c r="G5" s="2"/>
      <c r="H5" s="2"/>
      <c r="I5" s="27"/>
      <c r="J5" s="27"/>
      <c r="K5" s="2"/>
      <c r="L5" s="4"/>
      <c r="M5" s="4"/>
      <c r="N5" s="4"/>
      <c r="O5" s="14"/>
      <c r="P5" s="6"/>
      <c r="Q5" s="7"/>
      <c r="R5" s="8"/>
      <c r="S5" s="7"/>
      <c r="T5" s="7"/>
      <c r="U5" s="9" t="s">
        <v>3</v>
      </c>
      <c r="V5" s="10" t="s">
        <v>1</v>
      </c>
      <c r="W5" s="10">
        <v>1</v>
      </c>
      <c r="X5" s="6">
        <v>0.15</v>
      </c>
      <c r="Y5" s="11">
        <v>1</v>
      </c>
      <c r="Z5" s="6">
        <f t="shared" si="0"/>
        <v>0.15</v>
      </c>
      <c r="AA5" s="121"/>
      <c r="AB5" s="122"/>
      <c r="AC5" s="145"/>
      <c r="AD5" s="109"/>
      <c r="AE5" s="146"/>
      <c r="AF5" s="146"/>
      <c r="AG5" s="143"/>
      <c r="AH5" s="111"/>
    </row>
    <row r="6" spans="1:35" s="13" customFormat="1" ht="20.399999999999999" customHeight="1" x14ac:dyDescent="0.25">
      <c r="A6" s="111"/>
      <c r="B6" s="134"/>
      <c r="C6" s="111"/>
      <c r="D6" s="116"/>
      <c r="E6" s="118"/>
      <c r="F6" s="118"/>
      <c r="G6" s="2"/>
      <c r="H6" s="2"/>
      <c r="I6" s="28"/>
      <c r="J6" s="28"/>
      <c r="K6" s="2"/>
      <c r="L6" s="4"/>
      <c r="M6" s="4"/>
      <c r="N6" s="4"/>
      <c r="O6" s="14"/>
      <c r="P6" s="6"/>
      <c r="Q6" s="7"/>
      <c r="R6" s="8"/>
      <c r="S6" s="7"/>
      <c r="T6" s="7"/>
      <c r="U6" s="9" t="s">
        <v>54</v>
      </c>
      <c r="V6" s="10" t="s">
        <v>1</v>
      </c>
      <c r="W6" s="10">
        <v>1</v>
      </c>
      <c r="X6" s="6">
        <v>0.15</v>
      </c>
      <c r="Y6" s="11">
        <v>1</v>
      </c>
      <c r="Z6" s="6">
        <f t="shared" si="0"/>
        <v>0.15</v>
      </c>
      <c r="AA6" s="121"/>
      <c r="AB6" s="122"/>
      <c r="AC6" s="145"/>
      <c r="AD6" s="109"/>
      <c r="AE6" s="146"/>
      <c r="AF6" s="146"/>
      <c r="AG6" s="143"/>
      <c r="AH6" s="111"/>
    </row>
    <row r="7" spans="1:35" s="13" customFormat="1" ht="20.399999999999999" customHeight="1" x14ac:dyDescent="0.25">
      <c r="A7" s="111"/>
      <c r="B7" s="134"/>
      <c r="C7" s="111"/>
      <c r="D7" s="116"/>
      <c r="E7" s="118"/>
      <c r="F7" s="118"/>
      <c r="G7" s="2" t="s">
        <v>55</v>
      </c>
      <c r="H7" s="3" t="s">
        <v>56</v>
      </c>
      <c r="I7" s="29" t="s">
        <v>45</v>
      </c>
      <c r="J7" s="26" t="s">
        <v>71</v>
      </c>
      <c r="K7" s="2">
        <v>1</v>
      </c>
      <c r="L7" s="4">
        <v>476</v>
      </c>
      <c r="M7" s="4">
        <v>86.5</v>
      </c>
      <c r="N7" s="4">
        <v>2.5</v>
      </c>
      <c r="O7" s="5">
        <v>5.32</v>
      </c>
      <c r="P7" s="6">
        <v>2.5</v>
      </c>
      <c r="Q7" s="7">
        <f>L7*M7*N7*7.85/1000000</f>
        <v>0.80803974999999995</v>
      </c>
      <c r="R7" s="8">
        <v>0.48</v>
      </c>
      <c r="S7" s="7">
        <f>Q7-R7</f>
        <v>0.32803974999999996</v>
      </c>
      <c r="T7" s="7">
        <f>(O7*Q7-P7*S7)*K7</f>
        <v>3.4786720950000003</v>
      </c>
      <c r="U7" s="9" t="s">
        <v>47</v>
      </c>
      <c r="V7" s="10" t="s">
        <v>1</v>
      </c>
      <c r="W7" s="10">
        <v>1</v>
      </c>
      <c r="X7" s="6">
        <v>0.15</v>
      </c>
      <c r="Y7" s="11">
        <v>1</v>
      </c>
      <c r="Z7" s="6">
        <f t="shared" si="0"/>
        <v>0.15</v>
      </c>
      <c r="AA7" s="121"/>
      <c r="AB7" s="122"/>
      <c r="AC7" s="145"/>
      <c r="AD7" s="109"/>
      <c r="AE7" s="146"/>
      <c r="AF7" s="146"/>
      <c r="AG7" s="143"/>
      <c r="AH7" s="111"/>
    </row>
    <row r="8" spans="1:35" s="13" customFormat="1" ht="20.399999999999999" customHeight="1" x14ac:dyDescent="0.25">
      <c r="A8" s="111"/>
      <c r="B8" s="134"/>
      <c r="C8" s="111"/>
      <c r="D8" s="116"/>
      <c r="E8" s="118"/>
      <c r="F8" s="118"/>
      <c r="G8" s="2"/>
      <c r="H8" s="2"/>
      <c r="I8" s="29"/>
      <c r="J8" s="29"/>
      <c r="K8" s="2"/>
      <c r="L8" s="4"/>
      <c r="M8" s="4"/>
      <c r="N8" s="4"/>
      <c r="O8" s="5"/>
      <c r="P8" s="6"/>
      <c r="Q8" s="7"/>
      <c r="R8" s="8"/>
      <c r="S8" s="7"/>
      <c r="T8" s="7"/>
      <c r="U8" s="9" t="s">
        <v>53</v>
      </c>
      <c r="V8" s="10" t="s">
        <v>1</v>
      </c>
      <c r="W8" s="10">
        <v>1</v>
      </c>
      <c r="X8" s="6">
        <v>0.15</v>
      </c>
      <c r="Y8" s="11">
        <v>1</v>
      </c>
      <c r="Z8" s="6">
        <f t="shared" si="0"/>
        <v>0.15</v>
      </c>
      <c r="AA8" s="121"/>
      <c r="AB8" s="122"/>
      <c r="AC8" s="145"/>
      <c r="AD8" s="109"/>
      <c r="AE8" s="146"/>
      <c r="AF8" s="146"/>
      <c r="AG8" s="143"/>
      <c r="AH8" s="111"/>
    </row>
    <row r="9" spans="1:35" s="13" customFormat="1" ht="20.399999999999999" customHeight="1" x14ac:dyDescent="0.25">
      <c r="A9" s="111"/>
      <c r="B9" s="134"/>
      <c r="C9" s="111"/>
      <c r="D9" s="116"/>
      <c r="E9" s="118"/>
      <c r="F9" s="118"/>
      <c r="G9" s="2"/>
      <c r="H9" s="2"/>
      <c r="I9" s="28"/>
      <c r="J9" s="28"/>
      <c r="K9" s="2"/>
      <c r="L9" s="4"/>
      <c r="M9" s="4"/>
      <c r="N9" s="4"/>
      <c r="O9" s="14"/>
      <c r="P9" s="6"/>
      <c r="Q9" s="7"/>
      <c r="R9" s="8"/>
      <c r="S9" s="7"/>
      <c r="T9" s="7"/>
      <c r="U9" s="9" t="s">
        <v>3</v>
      </c>
      <c r="V9" s="10" t="s">
        <v>1</v>
      </c>
      <c r="W9" s="10">
        <v>1</v>
      </c>
      <c r="X9" s="6">
        <v>0.15</v>
      </c>
      <c r="Y9" s="11">
        <v>1</v>
      </c>
      <c r="Z9" s="6">
        <f t="shared" si="0"/>
        <v>0.15</v>
      </c>
      <c r="AA9" s="121"/>
      <c r="AB9" s="122"/>
      <c r="AC9" s="145"/>
      <c r="AD9" s="109"/>
      <c r="AE9" s="146"/>
      <c r="AF9" s="146"/>
      <c r="AG9" s="143"/>
      <c r="AH9" s="111"/>
    </row>
    <row r="10" spans="1:35" s="13" customFormat="1" ht="20.399999999999999" customHeight="1" x14ac:dyDescent="0.25">
      <c r="A10" s="111"/>
      <c r="B10" s="134"/>
      <c r="C10" s="111"/>
      <c r="D10" s="116"/>
      <c r="E10" s="118"/>
      <c r="F10" s="118"/>
      <c r="G10" s="2"/>
      <c r="H10" s="2"/>
      <c r="I10" s="28"/>
      <c r="J10" s="28"/>
      <c r="K10" s="2"/>
      <c r="L10" s="4"/>
      <c r="M10" s="4"/>
      <c r="N10" s="4"/>
      <c r="O10" s="14"/>
      <c r="P10" s="6"/>
      <c r="Q10" s="7"/>
      <c r="R10" s="8"/>
      <c r="S10" s="7"/>
      <c r="T10" s="7"/>
      <c r="U10" s="9" t="s">
        <v>54</v>
      </c>
      <c r="V10" s="10" t="s">
        <v>1</v>
      </c>
      <c r="W10" s="10">
        <v>1</v>
      </c>
      <c r="X10" s="6">
        <v>0.15</v>
      </c>
      <c r="Y10" s="11">
        <v>1</v>
      </c>
      <c r="Z10" s="6">
        <f t="shared" si="0"/>
        <v>0.15</v>
      </c>
      <c r="AA10" s="121"/>
      <c r="AB10" s="122"/>
      <c r="AC10" s="145"/>
      <c r="AD10" s="109"/>
      <c r="AE10" s="146"/>
      <c r="AF10" s="146"/>
      <c r="AG10" s="143"/>
      <c r="AH10" s="111"/>
    </row>
    <row r="11" spans="1:35" s="13" customFormat="1" ht="20.399999999999999" customHeight="1" x14ac:dyDescent="0.25">
      <c r="A11" s="111"/>
      <c r="B11" s="134"/>
      <c r="C11" s="111"/>
      <c r="D11" s="116"/>
      <c r="E11" s="118"/>
      <c r="F11" s="118"/>
      <c r="G11" s="2" t="s">
        <v>57</v>
      </c>
      <c r="H11" s="2" t="s">
        <v>58</v>
      </c>
      <c r="I11" s="28" t="s">
        <v>60</v>
      </c>
      <c r="J11" s="28" t="s">
        <v>72</v>
      </c>
      <c r="K11" s="2">
        <v>2</v>
      </c>
      <c r="L11" s="4">
        <v>787.21518987341778</v>
      </c>
      <c r="M11" s="4"/>
      <c r="N11" s="4">
        <v>1.5</v>
      </c>
      <c r="O11" s="5">
        <v>4.34</v>
      </c>
      <c r="P11" s="6">
        <v>2</v>
      </c>
      <c r="Q11" s="7">
        <f>R11/0.9851</f>
        <v>1</v>
      </c>
      <c r="R11" s="32">
        <v>0.98509999999999998</v>
      </c>
      <c r="S11" s="7">
        <f>Q11-R11</f>
        <v>1.4900000000000024E-2</v>
      </c>
      <c r="T11" s="7">
        <f>(O11*Q11-P11*S11)*K11</f>
        <v>8.6204000000000001</v>
      </c>
      <c r="U11" s="15" t="s">
        <v>61</v>
      </c>
      <c r="V11" s="10"/>
      <c r="W11" s="10">
        <v>2</v>
      </c>
      <c r="X11" s="6">
        <v>0.08</v>
      </c>
      <c r="Y11" s="11">
        <v>1</v>
      </c>
      <c r="Z11" s="6">
        <f t="shared" si="0"/>
        <v>0.16</v>
      </c>
      <c r="AA11" s="121"/>
      <c r="AB11" s="122"/>
      <c r="AC11" s="145"/>
      <c r="AD11" s="109"/>
      <c r="AE11" s="146"/>
      <c r="AF11" s="146"/>
      <c r="AG11" s="143"/>
      <c r="AH11" s="111"/>
    </row>
    <row r="12" spans="1:35" s="13" customFormat="1" ht="20.399999999999999" customHeight="1" x14ac:dyDescent="0.25">
      <c r="A12" s="111"/>
      <c r="B12" s="134"/>
      <c r="C12" s="111"/>
      <c r="D12" s="116"/>
      <c r="E12" s="118"/>
      <c r="F12" s="11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15" t="s">
        <v>62</v>
      </c>
      <c r="V12" s="10"/>
      <c r="W12" s="10">
        <v>4</v>
      </c>
      <c r="X12" s="6">
        <v>0.08</v>
      </c>
      <c r="Y12" s="11">
        <v>1</v>
      </c>
      <c r="Z12" s="6">
        <f t="shared" si="0"/>
        <v>0.32</v>
      </c>
      <c r="AA12" s="121"/>
      <c r="AB12" s="122"/>
      <c r="AC12" s="145"/>
      <c r="AD12" s="109"/>
      <c r="AE12" s="146"/>
      <c r="AF12" s="146"/>
      <c r="AG12" s="143"/>
      <c r="AH12" s="111"/>
    </row>
    <row r="13" spans="1:35" s="13" customFormat="1" ht="20.399999999999999" customHeight="1" x14ac:dyDescent="0.25">
      <c r="A13" s="111"/>
      <c r="B13" s="134"/>
      <c r="C13" s="111"/>
      <c r="D13" s="116"/>
      <c r="E13" s="118"/>
      <c r="F13" s="118"/>
      <c r="G13" s="2" t="s">
        <v>63</v>
      </c>
      <c r="H13" s="2" t="s">
        <v>64</v>
      </c>
      <c r="I13" s="29" t="s">
        <v>45</v>
      </c>
      <c r="J13" s="26" t="s">
        <v>71</v>
      </c>
      <c r="K13" s="2">
        <v>1</v>
      </c>
      <c r="L13" s="4">
        <v>117</v>
      </c>
      <c r="M13" s="4">
        <v>53</v>
      </c>
      <c r="N13" s="4">
        <v>5</v>
      </c>
      <c r="O13" s="5">
        <v>5.32</v>
      </c>
      <c r="P13" s="6">
        <v>2.5</v>
      </c>
      <c r="Q13" s="7">
        <f>L13*M13*N13*7.85/1000000</f>
        <v>0.24338925</v>
      </c>
      <c r="R13" s="8">
        <v>0.15</v>
      </c>
      <c r="S13" s="7">
        <f>Q13-R13</f>
        <v>9.3389250000000007E-2</v>
      </c>
      <c r="T13" s="7">
        <f>(O13*Q13-P13*S13)*K13</f>
        <v>1.0613576850000002</v>
      </c>
      <c r="U13" s="9" t="s">
        <v>75</v>
      </c>
      <c r="V13" s="9" t="s">
        <v>76</v>
      </c>
      <c r="W13" s="10">
        <v>1</v>
      </c>
      <c r="X13" s="6">
        <v>0.04</v>
      </c>
      <c r="Y13" s="11">
        <v>1</v>
      </c>
      <c r="Z13" s="6">
        <f t="shared" si="0"/>
        <v>0.04</v>
      </c>
      <c r="AA13" s="121"/>
      <c r="AB13" s="122"/>
      <c r="AC13" s="145"/>
      <c r="AD13" s="109"/>
      <c r="AE13" s="146"/>
      <c r="AF13" s="146"/>
      <c r="AG13" s="143"/>
      <c r="AH13" s="111"/>
    </row>
    <row r="14" spans="1:35" s="13" customFormat="1" ht="20.399999999999999" customHeight="1" x14ac:dyDescent="0.25">
      <c r="A14" s="111"/>
      <c r="B14" s="134"/>
      <c r="C14" s="111"/>
      <c r="D14" s="116"/>
      <c r="E14" s="118"/>
      <c r="F14" s="118"/>
      <c r="G14" s="2" t="s">
        <v>65</v>
      </c>
      <c r="H14" s="2" t="s">
        <v>66</v>
      </c>
      <c r="I14" s="28" t="s">
        <v>69</v>
      </c>
      <c r="J14" s="28" t="s">
        <v>73</v>
      </c>
      <c r="K14" s="2">
        <v>2</v>
      </c>
      <c r="L14" s="4"/>
      <c r="M14" s="4"/>
      <c r="N14" s="4"/>
      <c r="O14" s="14">
        <v>0.11</v>
      </c>
      <c r="P14" s="6"/>
      <c r="Q14" s="7"/>
      <c r="R14" s="8">
        <v>9.5000000000000001E-2</v>
      </c>
      <c r="S14" s="7"/>
      <c r="T14" s="7">
        <f>K14*O14</f>
        <v>0.22</v>
      </c>
      <c r="U14" s="9" t="s">
        <v>77</v>
      </c>
      <c r="V14" s="9"/>
      <c r="W14" s="10">
        <v>2</v>
      </c>
      <c r="X14" s="6">
        <v>0.1</v>
      </c>
      <c r="Y14" s="11">
        <v>1</v>
      </c>
      <c r="Z14" s="6">
        <f t="shared" si="0"/>
        <v>0.2</v>
      </c>
      <c r="AA14" s="121"/>
      <c r="AB14" s="122"/>
      <c r="AC14" s="145"/>
      <c r="AD14" s="109"/>
      <c r="AE14" s="146"/>
      <c r="AF14" s="146"/>
      <c r="AG14" s="143"/>
      <c r="AH14" s="111"/>
    </row>
    <row r="15" spans="1:35" s="13" customFormat="1" ht="20.399999999999999" customHeight="1" x14ac:dyDescent="0.25">
      <c r="A15" s="111"/>
      <c r="B15" s="134"/>
      <c r="C15" s="111"/>
      <c r="D15" s="116"/>
      <c r="E15" s="118"/>
      <c r="F15" s="118"/>
      <c r="G15" s="2" t="s">
        <v>67</v>
      </c>
      <c r="H15" s="2" t="s">
        <v>68</v>
      </c>
      <c r="I15" s="28" t="s">
        <v>70</v>
      </c>
      <c r="J15" s="28" t="s">
        <v>74</v>
      </c>
      <c r="K15" s="2">
        <v>1</v>
      </c>
      <c r="L15" s="4">
        <f>27+2</f>
        <v>29</v>
      </c>
      <c r="M15" s="4">
        <v>25</v>
      </c>
      <c r="N15" s="4"/>
      <c r="O15" s="14">
        <v>5</v>
      </c>
      <c r="P15" s="6">
        <v>2</v>
      </c>
      <c r="Q15" s="7">
        <f>M15*M15*0.00617*L15/1000</f>
        <v>0.11183125000000001</v>
      </c>
      <c r="R15" s="8">
        <v>4.2900000000000001E-2</v>
      </c>
      <c r="S15" s="7">
        <f>Q15-R15</f>
        <v>6.8931249999999999E-2</v>
      </c>
      <c r="T15" s="7">
        <f>(O15*Q15-P15*S15)*K15</f>
        <v>0.42129375000000002</v>
      </c>
      <c r="U15" s="9" t="s">
        <v>61</v>
      </c>
      <c r="V15" s="9"/>
      <c r="W15" s="10">
        <v>1</v>
      </c>
      <c r="X15" s="6">
        <v>5.5555555555555559E-2</v>
      </c>
      <c r="Y15" s="11">
        <v>1</v>
      </c>
      <c r="Z15" s="6">
        <f t="shared" si="0"/>
        <v>5.5555555555555559E-2</v>
      </c>
      <c r="AA15" s="121"/>
      <c r="AB15" s="122"/>
      <c r="AC15" s="145"/>
      <c r="AD15" s="109"/>
      <c r="AE15" s="146"/>
      <c r="AF15" s="146"/>
      <c r="AG15" s="143"/>
      <c r="AH15" s="111"/>
    </row>
    <row r="16" spans="1:35" s="13" customFormat="1" ht="20.399999999999999" customHeight="1" x14ac:dyDescent="0.25">
      <c r="A16" s="111"/>
      <c r="B16" s="134"/>
      <c r="C16" s="111"/>
      <c r="D16" s="116"/>
      <c r="E16" s="118"/>
      <c r="F16" s="118"/>
      <c r="G16" s="2"/>
      <c r="H16" s="2"/>
      <c r="I16" s="28"/>
      <c r="J16" s="28"/>
      <c r="K16" s="2"/>
      <c r="L16" s="4"/>
      <c r="M16" s="4"/>
      <c r="N16" s="4"/>
      <c r="O16" s="14"/>
      <c r="P16" s="6"/>
      <c r="Q16" s="7"/>
      <c r="R16" s="8"/>
      <c r="S16" s="7"/>
      <c r="T16" s="7"/>
      <c r="U16" s="9" t="s">
        <v>81</v>
      </c>
      <c r="V16" s="9"/>
      <c r="W16" s="10">
        <v>1</v>
      </c>
      <c r="X16" s="6">
        <v>8.3333333333333329E-2</v>
      </c>
      <c r="Y16" s="11">
        <v>1</v>
      </c>
      <c r="Z16" s="6">
        <f t="shared" ref="Z16:Z17" si="1">W16*X16/Y16</f>
        <v>8.3333333333333329E-2</v>
      </c>
      <c r="AA16" s="121"/>
      <c r="AB16" s="122"/>
      <c r="AC16" s="145"/>
      <c r="AD16" s="109"/>
      <c r="AE16" s="146"/>
      <c r="AF16" s="146"/>
      <c r="AG16" s="143"/>
      <c r="AH16" s="111"/>
    </row>
    <row r="17" spans="1:34" s="13" customFormat="1" ht="20.399999999999999" customHeight="1" x14ac:dyDescent="0.25">
      <c r="A17" s="111"/>
      <c r="B17" s="134"/>
      <c r="C17" s="111"/>
      <c r="D17" s="116"/>
      <c r="E17" s="118"/>
      <c r="F17" s="118"/>
      <c r="G17" s="2"/>
      <c r="H17" s="2"/>
      <c r="I17" s="28"/>
      <c r="J17" s="28"/>
      <c r="K17" s="2"/>
      <c r="L17" s="4"/>
      <c r="M17" s="4"/>
      <c r="N17" s="4"/>
      <c r="O17" s="14"/>
      <c r="P17" s="6"/>
      <c r="Q17" s="7"/>
      <c r="R17" s="8"/>
      <c r="S17" s="7"/>
      <c r="T17" s="7"/>
      <c r="U17" s="9" t="s">
        <v>82</v>
      </c>
      <c r="V17" s="9"/>
      <c r="W17" s="10">
        <v>1</v>
      </c>
      <c r="X17" s="6">
        <v>6.25E-2</v>
      </c>
      <c r="Y17" s="11">
        <v>1</v>
      </c>
      <c r="Z17" s="6">
        <f t="shared" si="1"/>
        <v>6.25E-2</v>
      </c>
      <c r="AA17" s="121"/>
      <c r="AB17" s="122"/>
      <c r="AC17" s="145"/>
      <c r="AD17" s="109"/>
      <c r="AE17" s="146"/>
      <c r="AF17" s="146"/>
      <c r="AG17" s="143"/>
      <c r="AH17" s="111"/>
    </row>
    <row r="18" spans="1:34" s="13" customFormat="1" ht="20.399999999999999" customHeight="1" x14ac:dyDescent="0.25">
      <c r="A18" s="111"/>
      <c r="B18" s="134"/>
      <c r="C18" s="111"/>
      <c r="D18" s="116"/>
      <c r="E18" s="118"/>
      <c r="F18" s="118"/>
      <c r="G18" s="2"/>
      <c r="H18" s="2"/>
      <c r="I18" s="28"/>
      <c r="J18" s="28"/>
      <c r="K18" s="2"/>
      <c r="L18" s="4"/>
      <c r="M18" s="4"/>
      <c r="N18" s="4"/>
      <c r="O18" s="14"/>
      <c r="P18" s="6"/>
      <c r="Q18" s="7"/>
      <c r="R18" s="8"/>
      <c r="S18" s="7"/>
      <c r="T18" s="7"/>
      <c r="U18" s="9" t="s">
        <v>83</v>
      </c>
      <c r="V18" s="9"/>
      <c r="W18" s="10">
        <v>1</v>
      </c>
      <c r="X18" s="6">
        <v>0.04</v>
      </c>
      <c r="Y18" s="11">
        <v>1</v>
      </c>
      <c r="Z18" s="6">
        <f t="shared" ref="Z18" si="2">W18*X18/Y18</f>
        <v>0.04</v>
      </c>
      <c r="AA18" s="121"/>
      <c r="AB18" s="122"/>
      <c r="AC18" s="145"/>
      <c r="AD18" s="109"/>
      <c r="AE18" s="146"/>
      <c r="AF18" s="146"/>
      <c r="AG18" s="143"/>
      <c r="AH18" s="111"/>
    </row>
    <row r="19" spans="1:34" s="13" customFormat="1" ht="20.399999999999999" customHeight="1" x14ac:dyDescent="0.25">
      <c r="A19" s="111"/>
      <c r="B19" s="134"/>
      <c r="C19" s="111"/>
      <c r="D19" s="116"/>
      <c r="E19" s="118"/>
      <c r="F19" s="118"/>
      <c r="G19" s="2"/>
      <c r="H19" s="2"/>
      <c r="I19" s="28"/>
      <c r="J19" s="28"/>
      <c r="K19" s="2"/>
      <c r="L19" s="4"/>
      <c r="M19" s="4"/>
      <c r="N19" s="4"/>
      <c r="O19" s="14"/>
      <c r="P19" s="6"/>
      <c r="Q19" s="7"/>
      <c r="R19" s="8"/>
      <c r="S19" s="7"/>
      <c r="T19" s="7"/>
      <c r="U19" s="9" t="s">
        <v>84</v>
      </c>
      <c r="V19" s="9"/>
      <c r="W19" s="10">
        <v>1</v>
      </c>
      <c r="X19" s="6">
        <v>4.1666666666666664E-2</v>
      </c>
      <c r="Y19" s="11">
        <v>1</v>
      </c>
      <c r="Z19" s="6">
        <f t="shared" ref="Z19" si="3">W19*X19/Y19</f>
        <v>4.1666666666666664E-2</v>
      </c>
      <c r="AA19" s="121"/>
      <c r="AB19" s="122"/>
      <c r="AC19" s="145"/>
      <c r="AD19" s="109"/>
      <c r="AE19" s="146"/>
      <c r="AF19" s="146"/>
      <c r="AG19" s="143"/>
      <c r="AH19" s="111"/>
    </row>
    <row r="20" spans="1:34" s="13" customFormat="1" ht="20.399999999999999" customHeight="1" x14ac:dyDescent="0.25">
      <c r="A20" s="111"/>
      <c r="B20" s="134"/>
      <c r="C20" s="111"/>
      <c r="D20" s="116"/>
      <c r="E20" s="118"/>
      <c r="F20" s="118"/>
      <c r="G20" s="2" t="s">
        <v>78</v>
      </c>
      <c r="H20" s="28" t="s">
        <v>79</v>
      </c>
      <c r="I20" s="28" t="s">
        <v>80</v>
      </c>
      <c r="J20" s="26" t="s">
        <v>71</v>
      </c>
      <c r="K20" s="2">
        <v>1</v>
      </c>
      <c r="L20" s="4">
        <v>44</v>
      </c>
      <c r="M20" s="4">
        <v>33.5</v>
      </c>
      <c r="N20" s="4">
        <v>3</v>
      </c>
      <c r="O20" s="5">
        <v>4.8</v>
      </c>
      <c r="P20" s="6">
        <v>2.5</v>
      </c>
      <c r="Q20" s="7">
        <f>L20*M20*N20*7.85/1000000</f>
        <v>3.4712699999999999E-2</v>
      </c>
      <c r="R20" s="8">
        <v>1.52E-2</v>
      </c>
      <c r="S20" s="7">
        <f>Q20-R20</f>
        <v>1.9512700000000001E-2</v>
      </c>
      <c r="T20" s="7">
        <f>(O20*Q20-P20*S20)*K20</f>
        <v>0.11783920999999999</v>
      </c>
      <c r="U20" s="9" t="s">
        <v>75</v>
      </c>
      <c r="V20" s="9" t="s">
        <v>76</v>
      </c>
      <c r="W20" s="10">
        <v>1</v>
      </c>
      <c r="X20" s="6">
        <v>0.04</v>
      </c>
      <c r="Y20" s="11">
        <v>1</v>
      </c>
      <c r="Z20" s="6">
        <f t="shared" ref="Z20:Z32" si="4">W20*X20/Y20</f>
        <v>0.04</v>
      </c>
      <c r="AA20" s="121"/>
      <c r="AB20" s="122"/>
      <c r="AC20" s="145"/>
      <c r="AD20" s="109"/>
      <c r="AE20" s="146"/>
      <c r="AF20" s="146"/>
      <c r="AG20" s="143"/>
      <c r="AH20" s="111"/>
    </row>
    <row r="21" spans="1:34" s="13" customFormat="1" ht="20.399999999999999" customHeight="1" x14ac:dyDescent="0.25">
      <c r="A21" s="111"/>
      <c r="B21" s="134"/>
      <c r="C21" s="111"/>
      <c r="D21" s="116"/>
      <c r="E21" s="118"/>
      <c r="F21" s="118"/>
      <c r="G21" s="2"/>
      <c r="H21" s="28"/>
      <c r="I21" s="28"/>
      <c r="J21" s="26"/>
      <c r="K21" s="2"/>
      <c r="L21" s="4"/>
      <c r="M21" s="4"/>
      <c r="N21" s="4"/>
      <c r="O21" s="5"/>
      <c r="P21" s="6"/>
      <c r="Q21" s="7"/>
      <c r="R21" s="8"/>
      <c r="S21" s="7"/>
      <c r="T21" s="7"/>
      <c r="U21" s="9" t="s">
        <v>2</v>
      </c>
      <c r="V21" s="9"/>
      <c r="W21" s="10">
        <f>2.5*3.14</f>
        <v>7.8500000000000005</v>
      </c>
      <c r="X21" s="6">
        <v>0.05</v>
      </c>
      <c r="Y21" s="11">
        <v>1</v>
      </c>
      <c r="Z21" s="6">
        <f t="shared" si="4"/>
        <v>0.39250000000000007</v>
      </c>
      <c r="AA21" s="121"/>
      <c r="AB21" s="122"/>
      <c r="AC21" s="145"/>
      <c r="AD21" s="109"/>
      <c r="AE21" s="146"/>
      <c r="AF21" s="146"/>
      <c r="AG21" s="143"/>
      <c r="AH21" s="111"/>
    </row>
    <row r="22" spans="1:34" s="13" customFormat="1" ht="20.399999999999999" customHeight="1" x14ac:dyDescent="0.25">
      <c r="A22" s="111"/>
      <c r="B22" s="134"/>
      <c r="C22" s="111"/>
      <c r="D22" s="116"/>
      <c r="E22" s="118"/>
      <c r="F22" s="118"/>
      <c r="G22" s="2" t="s">
        <v>85</v>
      </c>
      <c r="H22" s="28" t="s">
        <v>86</v>
      </c>
      <c r="I22" s="28" t="s">
        <v>59</v>
      </c>
      <c r="J22" s="28" t="s">
        <v>72</v>
      </c>
      <c r="K22" s="2">
        <v>1</v>
      </c>
      <c r="L22" s="4">
        <v>375.70771001150752</v>
      </c>
      <c r="M22" s="4">
        <v>25</v>
      </c>
      <c r="N22" s="4">
        <v>2.5</v>
      </c>
      <c r="O22" s="5">
        <v>4.34</v>
      </c>
      <c r="P22" s="6">
        <v>2</v>
      </c>
      <c r="Q22" s="7">
        <f>R22/0.9734</f>
        <v>0.32648448736387919</v>
      </c>
      <c r="R22" s="8">
        <v>0.31780000000000003</v>
      </c>
      <c r="S22" s="7">
        <f>Q22-R22</f>
        <v>8.6844873638791675E-3</v>
      </c>
      <c r="T22" s="7">
        <f>(O22*Q22-P22*S22)*K22</f>
        <v>1.3995737004314772</v>
      </c>
      <c r="U22" s="15" t="s">
        <v>61</v>
      </c>
      <c r="V22" s="10"/>
      <c r="W22" s="10">
        <v>1</v>
      </c>
      <c r="X22" s="6">
        <v>0.08</v>
      </c>
      <c r="Y22" s="11">
        <v>1</v>
      </c>
      <c r="Z22" s="6">
        <f t="shared" si="4"/>
        <v>0.08</v>
      </c>
      <c r="AA22" s="121"/>
      <c r="AB22" s="122"/>
      <c r="AC22" s="145"/>
      <c r="AD22" s="109"/>
      <c r="AE22" s="146"/>
      <c r="AF22" s="146"/>
      <c r="AG22" s="143"/>
      <c r="AH22" s="111"/>
    </row>
    <row r="23" spans="1:34" s="13" customFormat="1" ht="20.399999999999999" customHeight="1" x14ac:dyDescent="0.25">
      <c r="A23" s="111"/>
      <c r="B23" s="134"/>
      <c r="C23" s="111"/>
      <c r="D23" s="116"/>
      <c r="E23" s="118"/>
      <c r="F23" s="118"/>
      <c r="G23" s="2" t="s">
        <v>87</v>
      </c>
      <c r="H23" s="28" t="s">
        <v>88</v>
      </c>
      <c r="I23" s="28" t="s">
        <v>59</v>
      </c>
      <c r="J23" s="28" t="s">
        <v>72</v>
      </c>
      <c r="K23" s="2">
        <v>2</v>
      </c>
      <c r="L23" s="4">
        <v>451.8872266973533</v>
      </c>
      <c r="M23" s="4">
        <v>25</v>
      </c>
      <c r="N23" s="4">
        <v>1.5</v>
      </c>
      <c r="O23" s="5">
        <v>4.34</v>
      </c>
      <c r="P23" s="6">
        <v>2</v>
      </c>
      <c r="Q23" s="7">
        <f>R23/0.9734</f>
        <v>0.39449352784055886</v>
      </c>
      <c r="R23" s="8">
        <v>0.38400000000000001</v>
      </c>
      <c r="S23" s="7">
        <f>Q23-R23</f>
        <v>1.0493527840558847E-2</v>
      </c>
      <c r="T23" s="7">
        <f>(O23*Q23-P23*S23)*K23</f>
        <v>3.3822297102938155</v>
      </c>
      <c r="U23" s="15" t="s">
        <v>61</v>
      </c>
      <c r="V23" s="10"/>
      <c r="W23" s="10">
        <v>1</v>
      </c>
      <c r="X23" s="6">
        <v>0.08</v>
      </c>
      <c r="Y23" s="11">
        <v>1</v>
      </c>
      <c r="Z23" s="6">
        <f t="shared" si="4"/>
        <v>0.08</v>
      </c>
      <c r="AA23" s="121"/>
      <c r="AB23" s="122"/>
      <c r="AC23" s="145"/>
      <c r="AD23" s="109"/>
      <c r="AE23" s="146"/>
      <c r="AF23" s="146"/>
      <c r="AG23" s="143"/>
      <c r="AH23" s="111"/>
    </row>
    <row r="24" spans="1:34" s="13" customFormat="1" ht="20.399999999999999" customHeight="1" x14ac:dyDescent="0.25">
      <c r="A24" s="111"/>
      <c r="B24" s="134"/>
      <c r="C24" s="111"/>
      <c r="D24" s="116"/>
      <c r="E24" s="118"/>
      <c r="F24" s="118"/>
      <c r="G24" s="2"/>
      <c r="H24" s="28"/>
      <c r="I24" s="28"/>
      <c r="J24" s="28"/>
      <c r="K24" s="2"/>
      <c r="L24" s="4"/>
      <c r="M24" s="4"/>
      <c r="N24" s="4"/>
      <c r="O24" s="5"/>
      <c r="P24" s="6"/>
      <c r="Q24" s="7"/>
      <c r="R24" s="8"/>
      <c r="S24" s="7"/>
      <c r="T24" s="7"/>
      <c r="U24" s="15" t="s">
        <v>116</v>
      </c>
      <c r="V24" s="10"/>
      <c r="W24" s="10">
        <v>2</v>
      </c>
      <c r="X24" s="6">
        <v>0.08</v>
      </c>
      <c r="Y24" s="11">
        <v>1</v>
      </c>
      <c r="Z24" s="6">
        <f t="shared" si="4"/>
        <v>0.16</v>
      </c>
      <c r="AA24" s="121"/>
      <c r="AB24" s="122"/>
      <c r="AC24" s="145"/>
      <c r="AD24" s="109"/>
      <c r="AE24" s="146"/>
      <c r="AF24" s="146"/>
      <c r="AG24" s="143"/>
      <c r="AH24" s="111"/>
    </row>
    <row r="25" spans="1:34" s="13" customFormat="1" ht="20.399999999999999" customHeight="1" x14ac:dyDescent="0.25">
      <c r="A25" s="111"/>
      <c r="B25" s="134"/>
      <c r="C25" s="111"/>
      <c r="D25" s="116"/>
      <c r="E25" s="118"/>
      <c r="F25" s="118"/>
      <c r="G25" s="2" t="s">
        <v>89</v>
      </c>
      <c r="H25" s="28" t="s">
        <v>90</v>
      </c>
      <c r="I25" s="28" t="s">
        <v>80</v>
      </c>
      <c r="J25" s="26" t="s">
        <v>71</v>
      </c>
      <c r="K25" s="2">
        <v>1</v>
      </c>
      <c r="L25" s="4">
        <v>65</v>
      </c>
      <c r="M25" s="4">
        <v>25.5</v>
      </c>
      <c r="N25" s="4">
        <v>2</v>
      </c>
      <c r="O25" s="5">
        <v>4.8</v>
      </c>
      <c r="P25" s="6">
        <v>2.5</v>
      </c>
      <c r="Q25" s="32">
        <f>R25/0.7676</f>
        <v>4.2470036477331941E-2</v>
      </c>
      <c r="R25" s="32">
        <v>3.2599999999999997E-2</v>
      </c>
      <c r="S25" s="7">
        <f>Q25-R25</f>
        <v>9.8700364773319435E-3</v>
      </c>
      <c r="T25" s="7">
        <f>(O25*Q25-P25*S25)*K25</f>
        <v>0.17918108389786344</v>
      </c>
      <c r="U25" s="9" t="s">
        <v>75</v>
      </c>
      <c r="V25" s="9" t="s">
        <v>117</v>
      </c>
      <c r="W25" s="10">
        <v>1</v>
      </c>
      <c r="X25" s="6">
        <v>0.04</v>
      </c>
      <c r="Y25" s="11">
        <v>1</v>
      </c>
      <c r="Z25" s="6">
        <f t="shared" si="4"/>
        <v>0.04</v>
      </c>
      <c r="AA25" s="121"/>
      <c r="AB25" s="122"/>
      <c r="AC25" s="145"/>
      <c r="AD25" s="109"/>
      <c r="AE25" s="146"/>
      <c r="AF25" s="146"/>
      <c r="AG25" s="143"/>
      <c r="AH25" s="111"/>
    </row>
    <row r="26" spans="1:34" s="13" customFormat="1" ht="20.399999999999999" customHeight="1" x14ac:dyDescent="0.25">
      <c r="A26" s="111"/>
      <c r="B26" s="134"/>
      <c r="C26" s="111"/>
      <c r="D26" s="116"/>
      <c r="E26" s="118"/>
      <c r="F26" s="118"/>
      <c r="G26" s="2"/>
      <c r="H26" s="28"/>
      <c r="I26" s="28"/>
      <c r="J26" s="26"/>
      <c r="K26" s="2"/>
      <c r="L26" s="4"/>
      <c r="M26" s="4"/>
      <c r="N26" s="4"/>
      <c r="O26" s="5"/>
      <c r="P26" s="6"/>
      <c r="Q26" s="7"/>
      <c r="R26" s="8"/>
      <c r="S26" s="7"/>
      <c r="T26" s="7"/>
      <c r="U26" s="9" t="s">
        <v>53</v>
      </c>
      <c r="V26" s="9" t="s">
        <v>117</v>
      </c>
      <c r="W26" s="10">
        <v>1</v>
      </c>
      <c r="X26" s="6">
        <v>0.04</v>
      </c>
      <c r="Y26" s="11">
        <v>1</v>
      </c>
      <c r="Z26" s="6">
        <f t="shared" si="4"/>
        <v>0.04</v>
      </c>
      <c r="AA26" s="121"/>
      <c r="AB26" s="122"/>
      <c r="AC26" s="145"/>
      <c r="AD26" s="109"/>
      <c r="AE26" s="146"/>
      <c r="AF26" s="146"/>
      <c r="AG26" s="143"/>
      <c r="AH26" s="111"/>
    </row>
    <row r="27" spans="1:34" s="13" customFormat="1" ht="20.399999999999999" customHeight="1" x14ac:dyDescent="0.25">
      <c r="A27" s="111"/>
      <c r="B27" s="134"/>
      <c r="C27" s="111"/>
      <c r="D27" s="116"/>
      <c r="E27" s="118"/>
      <c r="F27" s="118"/>
      <c r="G27" s="2" t="s">
        <v>91</v>
      </c>
      <c r="H27" s="28" t="s">
        <v>92</v>
      </c>
      <c r="I27" s="28" t="s">
        <v>80</v>
      </c>
      <c r="J27" s="26" t="s">
        <v>120</v>
      </c>
      <c r="K27" s="2">
        <v>1</v>
      </c>
      <c r="L27" s="4"/>
      <c r="M27" s="4"/>
      <c r="N27" s="4"/>
      <c r="O27" s="5"/>
      <c r="P27" s="6"/>
      <c r="Q27" s="7"/>
      <c r="R27" s="8"/>
      <c r="S27" s="7"/>
      <c r="T27" s="7"/>
      <c r="U27" s="9" t="s">
        <v>121</v>
      </c>
      <c r="V27" s="9"/>
      <c r="W27" s="10">
        <v>1</v>
      </c>
      <c r="X27" s="6">
        <v>0.04</v>
      </c>
      <c r="Y27" s="11">
        <v>1</v>
      </c>
      <c r="Z27" s="6">
        <f t="shared" si="4"/>
        <v>0.04</v>
      </c>
      <c r="AA27" s="121"/>
      <c r="AB27" s="122"/>
      <c r="AC27" s="145"/>
      <c r="AD27" s="109"/>
      <c r="AE27" s="146"/>
      <c r="AF27" s="146"/>
      <c r="AG27" s="143"/>
      <c r="AH27" s="111"/>
    </row>
    <row r="28" spans="1:34" s="13" customFormat="1" ht="20.399999999999999" customHeight="1" x14ac:dyDescent="0.25">
      <c r="A28" s="111"/>
      <c r="B28" s="134"/>
      <c r="C28" s="111"/>
      <c r="D28" s="116"/>
      <c r="E28" s="118"/>
      <c r="F28" s="118"/>
      <c r="G28" s="2"/>
      <c r="H28" s="28"/>
      <c r="I28" s="28"/>
      <c r="J28" s="26"/>
      <c r="K28" s="2"/>
      <c r="L28" s="4"/>
      <c r="M28" s="4"/>
      <c r="N28" s="4"/>
      <c r="O28" s="5"/>
      <c r="P28" s="6"/>
      <c r="Q28" s="7"/>
      <c r="R28" s="8"/>
      <c r="S28" s="7"/>
      <c r="T28" s="7"/>
      <c r="U28" s="9" t="s">
        <v>122</v>
      </c>
      <c r="V28" s="9"/>
      <c r="W28" s="10">
        <f>1.1*3.14*2</f>
        <v>6.9080000000000013</v>
      </c>
      <c r="X28" s="6">
        <v>0.05</v>
      </c>
      <c r="Y28" s="11">
        <v>1</v>
      </c>
      <c r="Z28" s="6">
        <f t="shared" si="4"/>
        <v>0.3454000000000001</v>
      </c>
      <c r="AA28" s="121"/>
      <c r="AB28" s="122"/>
      <c r="AC28" s="145"/>
      <c r="AD28" s="109"/>
      <c r="AE28" s="146"/>
      <c r="AF28" s="146"/>
      <c r="AG28" s="143"/>
      <c r="AH28" s="111"/>
    </row>
    <row r="29" spans="1:34" s="13" customFormat="1" ht="20.399999999999999" customHeight="1" x14ac:dyDescent="0.25">
      <c r="A29" s="111"/>
      <c r="B29" s="134"/>
      <c r="C29" s="111"/>
      <c r="D29" s="116"/>
      <c r="E29" s="118"/>
      <c r="F29" s="118"/>
      <c r="G29" s="2" t="s">
        <v>93</v>
      </c>
      <c r="H29" s="28" t="s">
        <v>94</v>
      </c>
      <c r="I29" s="28" t="s">
        <v>80</v>
      </c>
      <c r="J29" s="26" t="s">
        <v>71</v>
      </c>
      <c r="K29" s="2">
        <v>1</v>
      </c>
      <c r="L29" s="4">
        <v>180</v>
      </c>
      <c r="M29" s="4">
        <v>160</v>
      </c>
      <c r="N29" s="4">
        <v>2.5</v>
      </c>
      <c r="O29" s="5">
        <v>4.8</v>
      </c>
      <c r="P29" s="6">
        <v>2.5</v>
      </c>
      <c r="Q29" s="7">
        <f>L29*M29*N29*7.85/1000000</f>
        <v>0.56520000000000004</v>
      </c>
      <c r="R29" s="8">
        <v>0.35539999999999999</v>
      </c>
      <c r="S29" s="7">
        <f>Q29-R29</f>
        <v>0.20980000000000004</v>
      </c>
      <c r="T29" s="7">
        <f>(O29*Q29-P29*S29)*K29</f>
        <v>2.1884600000000001</v>
      </c>
      <c r="U29" s="9" t="s">
        <v>47</v>
      </c>
      <c r="V29" s="10" t="s">
        <v>119</v>
      </c>
      <c r="W29" s="10">
        <v>1</v>
      </c>
      <c r="X29" s="6">
        <v>0.08</v>
      </c>
      <c r="Y29" s="11">
        <v>1</v>
      </c>
      <c r="Z29" s="6">
        <f t="shared" si="4"/>
        <v>0.08</v>
      </c>
      <c r="AA29" s="121"/>
      <c r="AB29" s="122"/>
      <c r="AC29" s="145"/>
      <c r="AD29" s="109"/>
      <c r="AE29" s="146"/>
      <c r="AF29" s="146"/>
      <c r="AG29" s="143"/>
      <c r="AH29" s="111"/>
    </row>
    <row r="30" spans="1:34" s="13" customFormat="1" ht="20.399999999999999" customHeight="1" x14ac:dyDescent="0.25">
      <c r="A30" s="111"/>
      <c r="B30" s="134"/>
      <c r="C30" s="111"/>
      <c r="D30" s="116"/>
      <c r="E30" s="118"/>
      <c r="F30" s="118"/>
      <c r="G30" s="2"/>
      <c r="H30" s="28"/>
      <c r="I30" s="28"/>
      <c r="J30" s="26"/>
      <c r="K30" s="2"/>
      <c r="L30" s="4"/>
      <c r="M30" s="4"/>
      <c r="N30" s="4"/>
      <c r="O30" s="5"/>
      <c r="P30" s="6"/>
      <c r="Q30" s="7"/>
      <c r="R30" s="8"/>
      <c r="S30" s="7"/>
      <c r="T30" s="7"/>
      <c r="U30" s="9" t="s">
        <v>53</v>
      </c>
      <c r="V30" s="10" t="s">
        <v>119</v>
      </c>
      <c r="W30" s="10">
        <v>1</v>
      </c>
      <c r="X30" s="6">
        <v>0.08</v>
      </c>
      <c r="Y30" s="11">
        <v>1</v>
      </c>
      <c r="Z30" s="6">
        <f t="shared" si="4"/>
        <v>0.08</v>
      </c>
      <c r="AA30" s="121"/>
      <c r="AB30" s="122"/>
      <c r="AC30" s="145"/>
      <c r="AD30" s="109"/>
      <c r="AE30" s="146"/>
      <c r="AF30" s="146"/>
      <c r="AG30" s="143"/>
      <c r="AH30" s="111"/>
    </row>
    <row r="31" spans="1:34" s="13" customFormat="1" ht="20.399999999999999" customHeight="1" x14ac:dyDescent="0.25">
      <c r="A31" s="111"/>
      <c r="B31" s="134"/>
      <c r="C31" s="111"/>
      <c r="D31" s="116"/>
      <c r="E31" s="118"/>
      <c r="F31" s="118"/>
      <c r="G31" s="2"/>
      <c r="H31" s="28"/>
      <c r="I31" s="28"/>
      <c r="J31" s="26"/>
      <c r="K31" s="2"/>
      <c r="L31" s="4"/>
      <c r="M31" s="4"/>
      <c r="N31" s="4"/>
      <c r="O31" s="5"/>
      <c r="P31" s="6"/>
      <c r="Q31" s="7"/>
      <c r="R31" s="8"/>
      <c r="S31" s="7"/>
      <c r="T31" s="7"/>
      <c r="U31" s="9" t="s">
        <v>3</v>
      </c>
      <c r="V31" s="10" t="s">
        <v>119</v>
      </c>
      <c r="W31" s="10">
        <v>1</v>
      </c>
      <c r="X31" s="6">
        <v>0.08</v>
      </c>
      <c r="Y31" s="11">
        <v>1</v>
      </c>
      <c r="Z31" s="6">
        <f t="shared" si="4"/>
        <v>0.08</v>
      </c>
      <c r="AA31" s="121"/>
      <c r="AB31" s="122"/>
      <c r="AC31" s="145"/>
      <c r="AD31" s="109"/>
      <c r="AE31" s="146"/>
      <c r="AF31" s="146"/>
      <c r="AG31" s="143"/>
      <c r="AH31" s="111"/>
    </row>
    <row r="32" spans="1:34" s="13" customFormat="1" ht="20.399999999999999" customHeight="1" x14ac:dyDescent="0.25">
      <c r="A32" s="111"/>
      <c r="B32" s="134"/>
      <c r="C32" s="111"/>
      <c r="D32" s="116"/>
      <c r="E32" s="118"/>
      <c r="F32" s="118"/>
      <c r="G32" s="2"/>
      <c r="H32" s="28"/>
      <c r="I32" s="28"/>
      <c r="J32" s="26"/>
      <c r="K32" s="2"/>
      <c r="L32" s="4"/>
      <c r="M32" s="4"/>
      <c r="N32" s="4"/>
      <c r="O32" s="5"/>
      <c r="P32" s="6"/>
      <c r="Q32" s="7"/>
      <c r="R32" s="8"/>
      <c r="S32" s="7"/>
      <c r="T32" s="7"/>
      <c r="U32" s="9" t="s">
        <v>54</v>
      </c>
      <c r="V32" s="10" t="s">
        <v>119</v>
      </c>
      <c r="W32" s="10">
        <v>1</v>
      </c>
      <c r="X32" s="6">
        <v>0.08</v>
      </c>
      <c r="Y32" s="11">
        <v>1</v>
      </c>
      <c r="Z32" s="6">
        <f t="shared" si="4"/>
        <v>0.08</v>
      </c>
      <c r="AA32" s="121"/>
      <c r="AB32" s="122"/>
      <c r="AC32" s="145"/>
      <c r="AD32" s="109"/>
      <c r="AE32" s="146"/>
      <c r="AF32" s="146"/>
      <c r="AG32" s="143"/>
      <c r="AH32" s="111"/>
    </row>
    <row r="33" spans="1:34" s="13" customFormat="1" ht="20.399999999999999" customHeight="1" x14ac:dyDescent="0.25">
      <c r="A33" s="111"/>
      <c r="B33" s="134"/>
      <c r="C33" s="111"/>
      <c r="D33" s="116"/>
      <c r="E33" s="118"/>
      <c r="F33" s="118"/>
      <c r="G33" s="2" t="s">
        <v>118</v>
      </c>
      <c r="H33" s="28" t="s">
        <v>95</v>
      </c>
      <c r="I33" s="28" t="s">
        <v>80</v>
      </c>
      <c r="J33" s="28" t="s">
        <v>74</v>
      </c>
      <c r="K33" s="2">
        <v>2</v>
      </c>
      <c r="L33" s="4"/>
      <c r="M33" s="4"/>
      <c r="N33" s="4"/>
      <c r="O33" s="5">
        <v>0.16</v>
      </c>
      <c r="P33" s="6"/>
      <c r="Q33" s="7"/>
      <c r="R33" s="8"/>
      <c r="S33" s="7"/>
      <c r="T33" s="7">
        <f>K33*O33</f>
        <v>0.32</v>
      </c>
      <c r="U33" s="9"/>
      <c r="V33" s="9"/>
      <c r="W33" s="10"/>
      <c r="X33" s="6"/>
      <c r="Y33" s="11"/>
      <c r="Z33" s="6"/>
      <c r="AA33" s="121"/>
      <c r="AB33" s="122"/>
      <c r="AC33" s="145"/>
      <c r="AD33" s="109"/>
      <c r="AE33" s="146"/>
      <c r="AF33" s="146"/>
      <c r="AG33" s="143"/>
      <c r="AH33" s="111"/>
    </row>
    <row r="34" spans="1:34" s="13" customFormat="1" ht="20.399999999999999" customHeight="1" x14ac:dyDescent="0.25">
      <c r="A34" s="111"/>
      <c r="B34" s="134"/>
      <c r="C34" s="111"/>
      <c r="D34" s="116"/>
      <c r="E34" s="118"/>
      <c r="F34" s="118"/>
      <c r="G34" s="34" t="s">
        <v>114</v>
      </c>
      <c r="H34" s="28" t="s">
        <v>96</v>
      </c>
      <c r="I34" s="28" t="s">
        <v>115</v>
      </c>
      <c r="J34" s="26" t="s">
        <v>73</v>
      </c>
      <c r="K34" s="2">
        <v>1</v>
      </c>
      <c r="L34" s="4"/>
      <c r="M34" s="4"/>
      <c r="N34" s="4"/>
      <c r="O34" s="5">
        <v>0.34</v>
      </c>
      <c r="P34" s="6"/>
      <c r="Q34" s="7"/>
      <c r="R34" s="8"/>
      <c r="S34" s="7"/>
      <c r="T34" s="7">
        <f>K34*O34</f>
        <v>0.34</v>
      </c>
      <c r="U34" s="9"/>
      <c r="V34" s="9"/>
      <c r="W34" s="10"/>
      <c r="X34" s="6"/>
      <c r="Y34" s="11"/>
      <c r="Z34" s="6"/>
      <c r="AA34" s="121"/>
      <c r="AB34" s="122"/>
      <c r="AC34" s="145"/>
      <c r="AD34" s="109"/>
      <c r="AE34" s="146"/>
      <c r="AF34" s="146"/>
      <c r="AG34" s="143"/>
      <c r="AH34" s="111"/>
    </row>
    <row r="35" spans="1:34" s="13" customFormat="1" ht="20.399999999999999" customHeight="1" x14ac:dyDescent="0.25">
      <c r="A35" s="111"/>
      <c r="B35" s="134"/>
      <c r="C35" s="111"/>
      <c r="D35" s="116"/>
      <c r="E35" s="118"/>
      <c r="F35" s="118"/>
      <c r="G35" s="17" t="s">
        <v>97</v>
      </c>
      <c r="H35" s="36" t="s">
        <v>123</v>
      </c>
      <c r="I35" s="28" t="s">
        <v>80</v>
      </c>
      <c r="J35" s="26" t="s">
        <v>71</v>
      </c>
      <c r="K35" s="2">
        <v>1</v>
      </c>
      <c r="L35" s="4">
        <v>64</v>
      </c>
      <c r="M35" s="4">
        <v>17.5</v>
      </c>
      <c r="N35" s="35">
        <v>5</v>
      </c>
      <c r="O35" s="5">
        <v>4.8</v>
      </c>
      <c r="P35" s="6">
        <v>2.5</v>
      </c>
      <c r="Q35" s="7">
        <f>L35*M35*N35*7.85/1000000</f>
        <v>4.3959999999999999E-2</v>
      </c>
      <c r="R35" s="8">
        <v>1.47E-2</v>
      </c>
      <c r="S35" s="7">
        <f>Q35-R35</f>
        <v>2.9260000000000001E-2</v>
      </c>
      <c r="T35" s="7">
        <f>(O35*Q35-P35*S35)*K35</f>
        <v>0.13785799999999998</v>
      </c>
      <c r="U35" s="9" t="s">
        <v>47</v>
      </c>
      <c r="V35" s="10" t="s">
        <v>1</v>
      </c>
      <c r="W35" s="10">
        <v>1</v>
      </c>
      <c r="X35" s="6">
        <v>0.15</v>
      </c>
      <c r="Y35" s="11">
        <v>1</v>
      </c>
      <c r="Z35" s="6">
        <f>W35*X35/Y35</f>
        <v>0.15</v>
      </c>
      <c r="AA35" s="121"/>
      <c r="AB35" s="122"/>
      <c r="AC35" s="145"/>
      <c r="AD35" s="109"/>
      <c r="AE35" s="146"/>
      <c r="AF35" s="146"/>
      <c r="AG35" s="143"/>
      <c r="AH35" s="111"/>
    </row>
    <row r="36" spans="1:34" s="13" customFormat="1" ht="20.399999999999999" customHeight="1" x14ac:dyDescent="0.25">
      <c r="A36" s="111"/>
      <c r="B36" s="134"/>
      <c r="C36" s="111"/>
      <c r="D36" s="116"/>
      <c r="E36" s="118"/>
      <c r="F36" s="118"/>
      <c r="G36" s="2"/>
      <c r="H36" s="28"/>
      <c r="I36" s="28"/>
      <c r="J36" s="26"/>
      <c r="K36" s="2"/>
      <c r="L36" s="4"/>
      <c r="M36" s="4"/>
      <c r="N36" s="4"/>
      <c r="O36" s="5"/>
      <c r="P36" s="6"/>
      <c r="Q36" s="7"/>
      <c r="R36" s="8"/>
      <c r="S36" s="7"/>
      <c r="T36" s="7"/>
      <c r="U36" s="9" t="s">
        <v>53</v>
      </c>
      <c r="V36" s="10" t="s">
        <v>1</v>
      </c>
      <c r="W36" s="10">
        <v>1</v>
      </c>
      <c r="X36" s="6">
        <v>0.15</v>
      </c>
      <c r="Y36" s="11">
        <v>1</v>
      </c>
      <c r="Z36" s="6">
        <f>W36*X36/Y36</f>
        <v>0.15</v>
      </c>
      <c r="AA36" s="121"/>
      <c r="AB36" s="122"/>
      <c r="AC36" s="145"/>
      <c r="AD36" s="109"/>
      <c r="AE36" s="146"/>
      <c r="AF36" s="146"/>
      <c r="AG36" s="143"/>
      <c r="AH36" s="111"/>
    </row>
    <row r="37" spans="1:34" s="13" customFormat="1" ht="20.399999999999999" customHeight="1" x14ac:dyDescent="0.25">
      <c r="A37" s="111"/>
      <c r="B37" s="134"/>
      <c r="C37" s="111"/>
      <c r="D37" s="116"/>
      <c r="E37" s="118"/>
      <c r="F37" s="118"/>
      <c r="G37" s="17" t="s">
        <v>98</v>
      </c>
      <c r="H37" s="36" t="s">
        <v>99</v>
      </c>
      <c r="I37" s="28" t="s">
        <v>80</v>
      </c>
      <c r="J37" s="26" t="s">
        <v>71</v>
      </c>
      <c r="K37" s="2">
        <v>3</v>
      </c>
      <c r="L37" s="4"/>
      <c r="M37" s="4"/>
      <c r="N37" s="4"/>
      <c r="O37" s="5"/>
      <c r="P37" s="6"/>
      <c r="Q37" s="7"/>
      <c r="R37" s="8"/>
      <c r="S37" s="7"/>
      <c r="T37" s="7"/>
      <c r="U37" s="9" t="s">
        <v>126</v>
      </c>
      <c r="V37" s="9"/>
      <c r="W37" s="10"/>
      <c r="X37" s="6"/>
      <c r="Y37" s="11"/>
      <c r="Z37" s="6"/>
      <c r="AA37" s="121"/>
      <c r="AB37" s="122"/>
      <c r="AC37" s="145"/>
      <c r="AD37" s="109"/>
      <c r="AE37" s="146"/>
      <c r="AF37" s="146"/>
      <c r="AG37" s="143"/>
      <c r="AH37" s="111"/>
    </row>
    <row r="38" spans="1:34" s="13" customFormat="1" ht="20.399999999999999" customHeight="1" x14ac:dyDescent="0.25">
      <c r="A38" s="111"/>
      <c r="B38" s="134"/>
      <c r="C38" s="111"/>
      <c r="D38" s="116"/>
      <c r="E38" s="118"/>
      <c r="F38" s="118"/>
      <c r="G38" s="2" t="s">
        <v>100</v>
      </c>
      <c r="H38" s="28" t="s">
        <v>101</v>
      </c>
      <c r="I38" s="28" t="s">
        <v>80</v>
      </c>
      <c r="J38" s="26" t="s">
        <v>124</v>
      </c>
      <c r="K38" s="2">
        <v>3</v>
      </c>
      <c r="L38" s="4"/>
      <c r="M38" s="4"/>
      <c r="N38" s="4"/>
      <c r="O38" s="5">
        <f>9/1.13</f>
        <v>7.9646017699115053</v>
      </c>
      <c r="P38" s="6"/>
      <c r="Q38" s="7"/>
      <c r="R38" s="8">
        <v>3.9699999999999999E-2</v>
      </c>
      <c r="S38" s="7"/>
      <c r="T38" s="7">
        <f t="shared" ref="T38:T44" si="5">O38*R38*K38</f>
        <v>0.94858407079646023</v>
      </c>
      <c r="U38" s="9"/>
      <c r="V38" s="9"/>
      <c r="W38" s="10"/>
      <c r="X38" s="6"/>
      <c r="Y38" s="11"/>
      <c r="Z38" s="6"/>
      <c r="AA38" s="121"/>
      <c r="AB38" s="122"/>
      <c r="AC38" s="145"/>
      <c r="AD38" s="109"/>
      <c r="AE38" s="146"/>
      <c r="AF38" s="146"/>
      <c r="AG38" s="143"/>
      <c r="AH38" s="111"/>
    </row>
    <row r="39" spans="1:34" s="13" customFormat="1" ht="20.399999999999999" customHeight="1" x14ac:dyDescent="0.25">
      <c r="A39" s="111"/>
      <c r="B39" s="134"/>
      <c r="C39" s="111"/>
      <c r="D39" s="116"/>
      <c r="E39" s="118"/>
      <c r="F39" s="118"/>
      <c r="G39" s="2" t="s">
        <v>102</v>
      </c>
      <c r="H39" s="28" t="s">
        <v>103</v>
      </c>
      <c r="I39" s="28" t="s">
        <v>80</v>
      </c>
      <c r="J39" s="26" t="s">
        <v>124</v>
      </c>
      <c r="K39" s="2">
        <v>1</v>
      </c>
      <c r="L39" s="4"/>
      <c r="M39" s="4"/>
      <c r="N39" s="4"/>
      <c r="O39" s="5">
        <f>9/1.13</f>
        <v>7.9646017699115053</v>
      </c>
      <c r="P39" s="6"/>
      <c r="Q39" s="7"/>
      <c r="R39" s="8">
        <v>8.7300000000000003E-2</v>
      </c>
      <c r="S39" s="7"/>
      <c r="T39" s="7">
        <f t="shared" si="5"/>
        <v>0.69530973451327438</v>
      </c>
      <c r="U39" s="9"/>
      <c r="V39" s="9"/>
      <c r="W39" s="10"/>
      <c r="X39" s="6"/>
      <c r="Y39" s="11"/>
      <c r="Z39" s="6"/>
      <c r="AA39" s="121"/>
      <c r="AB39" s="122"/>
      <c r="AC39" s="145"/>
      <c r="AD39" s="109"/>
      <c r="AE39" s="146"/>
      <c r="AF39" s="146"/>
      <c r="AG39" s="143"/>
      <c r="AH39" s="111"/>
    </row>
    <row r="40" spans="1:34" s="13" customFormat="1" ht="20.399999999999999" customHeight="1" x14ac:dyDescent="0.25">
      <c r="A40" s="111"/>
      <c r="B40" s="134"/>
      <c r="C40" s="111"/>
      <c r="D40" s="116"/>
      <c r="E40" s="118"/>
      <c r="F40" s="118"/>
      <c r="G40" s="2" t="s">
        <v>104</v>
      </c>
      <c r="H40" s="28" t="s">
        <v>105</v>
      </c>
      <c r="I40" s="28" t="s">
        <v>80</v>
      </c>
      <c r="J40" s="26" t="s">
        <v>124</v>
      </c>
      <c r="K40" s="2">
        <v>1</v>
      </c>
      <c r="L40" s="4"/>
      <c r="M40" s="4"/>
      <c r="N40" s="4"/>
      <c r="O40" s="5">
        <f>9/1.13</f>
        <v>7.9646017699115053</v>
      </c>
      <c r="P40" s="6"/>
      <c r="Q40" s="7"/>
      <c r="R40" s="8">
        <v>8.7300000000000003E-2</v>
      </c>
      <c r="S40" s="7"/>
      <c r="T40" s="7">
        <f t="shared" si="5"/>
        <v>0.69530973451327438</v>
      </c>
      <c r="U40" s="9"/>
      <c r="V40" s="9"/>
      <c r="W40" s="10"/>
      <c r="X40" s="6"/>
      <c r="Y40" s="11"/>
      <c r="Z40" s="6"/>
      <c r="AA40" s="121"/>
      <c r="AB40" s="122"/>
      <c r="AC40" s="145"/>
      <c r="AD40" s="109"/>
      <c r="AE40" s="146"/>
      <c r="AF40" s="146"/>
      <c r="AG40" s="143"/>
      <c r="AH40" s="111"/>
    </row>
    <row r="41" spans="1:34" s="13" customFormat="1" ht="20.399999999999999" customHeight="1" x14ac:dyDescent="0.25">
      <c r="A41" s="111"/>
      <c r="B41" s="134"/>
      <c r="C41" s="111"/>
      <c r="D41" s="116"/>
      <c r="E41" s="118"/>
      <c r="F41" s="118"/>
      <c r="G41" s="2" t="s">
        <v>106</v>
      </c>
      <c r="H41" s="28" t="s">
        <v>107</v>
      </c>
      <c r="I41" s="28" t="s">
        <v>80</v>
      </c>
      <c r="J41" s="26" t="s">
        <v>124</v>
      </c>
      <c r="K41" s="2">
        <v>2</v>
      </c>
      <c r="L41" s="4"/>
      <c r="M41" s="4"/>
      <c r="N41" s="4"/>
      <c r="O41" s="5">
        <f>9/1.13</f>
        <v>7.9646017699115053</v>
      </c>
      <c r="P41" s="6"/>
      <c r="Q41" s="7"/>
      <c r="R41" s="8">
        <v>7.4800000000000005E-2</v>
      </c>
      <c r="S41" s="7"/>
      <c r="T41" s="7">
        <f t="shared" si="5"/>
        <v>1.1915044247787612</v>
      </c>
      <c r="U41" s="9"/>
      <c r="V41" s="9"/>
      <c r="W41" s="10"/>
      <c r="X41" s="6"/>
      <c r="Y41" s="11"/>
      <c r="Z41" s="6"/>
      <c r="AA41" s="121"/>
      <c r="AB41" s="122"/>
      <c r="AC41" s="145"/>
      <c r="AD41" s="109"/>
      <c r="AE41" s="146"/>
      <c r="AF41" s="146"/>
      <c r="AG41" s="143"/>
      <c r="AH41" s="111"/>
    </row>
    <row r="42" spans="1:34" s="13" customFormat="1" ht="20.399999999999999" customHeight="1" x14ac:dyDescent="0.25">
      <c r="A42" s="111"/>
      <c r="B42" s="134"/>
      <c r="C42" s="111"/>
      <c r="D42" s="116"/>
      <c r="E42" s="118"/>
      <c r="F42" s="118"/>
      <c r="G42" s="2" t="s">
        <v>108</v>
      </c>
      <c r="H42" s="28" t="s">
        <v>109</v>
      </c>
      <c r="I42" s="28" t="s">
        <v>80</v>
      </c>
      <c r="J42" s="26" t="s">
        <v>124</v>
      </c>
      <c r="K42" s="2">
        <v>1</v>
      </c>
      <c r="L42" s="4"/>
      <c r="M42" s="4"/>
      <c r="N42" s="4"/>
      <c r="O42" s="5">
        <f t="shared" ref="O42:O44" si="6">9/1.13</f>
        <v>7.9646017699115053</v>
      </c>
      <c r="P42" s="6"/>
      <c r="Q42" s="7"/>
      <c r="R42" s="8">
        <v>6.5000000000000002E-2</v>
      </c>
      <c r="S42" s="7"/>
      <c r="T42" s="7">
        <f t="shared" si="5"/>
        <v>0.51769911504424782</v>
      </c>
      <c r="U42" s="9"/>
      <c r="V42" s="9"/>
      <c r="W42" s="10"/>
      <c r="X42" s="6"/>
      <c r="Y42" s="11"/>
      <c r="Z42" s="6"/>
      <c r="AA42" s="121"/>
      <c r="AB42" s="122"/>
      <c r="AC42" s="145"/>
      <c r="AD42" s="109"/>
      <c r="AE42" s="146"/>
      <c r="AF42" s="146"/>
      <c r="AG42" s="143"/>
      <c r="AH42" s="111"/>
    </row>
    <row r="43" spans="1:34" s="13" customFormat="1" ht="20.399999999999999" customHeight="1" x14ac:dyDescent="0.25">
      <c r="A43" s="111"/>
      <c r="B43" s="134"/>
      <c r="C43" s="111"/>
      <c r="D43" s="116"/>
      <c r="E43" s="118"/>
      <c r="F43" s="118"/>
      <c r="G43" s="2" t="s">
        <v>110</v>
      </c>
      <c r="H43" s="28" t="s">
        <v>111</v>
      </c>
      <c r="I43" s="28" t="s">
        <v>80</v>
      </c>
      <c r="J43" s="26" t="s">
        <v>124</v>
      </c>
      <c r="K43" s="2">
        <v>1</v>
      </c>
      <c r="L43" s="4"/>
      <c r="M43" s="4"/>
      <c r="N43" s="4"/>
      <c r="O43" s="5">
        <f t="shared" si="6"/>
        <v>7.9646017699115053</v>
      </c>
      <c r="P43" s="6"/>
      <c r="Q43" s="7"/>
      <c r="R43" s="8">
        <v>8.8700000000000001E-2</v>
      </c>
      <c r="S43" s="7"/>
      <c r="T43" s="7">
        <f t="shared" si="5"/>
        <v>0.70646017699115049</v>
      </c>
      <c r="U43" s="9"/>
      <c r="V43" s="9"/>
      <c r="W43" s="10"/>
      <c r="X43" s="6"/>
      <c r="Y43" s="11"/>
      <c r="Z43" s="6"/>
      <c r="AA43" s="121"/>
      <c r="AB43" s="122"/>
      <c r="AC43" s="145"/>
      <c r="AD43" s="109"/>
      <c r="AE43" s="146"/>
      <c r="AF43" s="146"/>
      <c r="AG43" s="143"/>
      <c r="AH43" s="111"/>
    </row>
    <row r="44" spans="1:34" s="13" customFormat="1" ht="20.399999999999999" customHeight="1" x14ac:dyDescent="0.25">
      <c r="A44" s="111"/>
      <c r="B44" s="134"/>
      <c r="C44" s="111"/>
      <c r="D44" s="116"/>
      <c r="E44" s="118"/>
      <c r="F44" s="118"/>
      <c r="G44" s="2" t="s">
        <v>112</v>
      </c>
      <c r="H44" s="28" t="s">
        <v>113</v>
      </c>
      <c r="I44" s="28" t="s">
        <v>80</v>
      </c>
      <c r="J44" s="26" t="s">
        <v>124</v>
      </c>
      <c r="K44" s="2">
        <v>1</v>
      </c>
      <c r="L44" s="4"/>
      <c r="M44" s="4"/>
      <c r="N44" s="4"/>
      <c r="O44" s="5">
        <f t="shared" si="6"/>
        <v>7.9646017699115053</v>
      </c>
      <c r="P44" s="6"/>
      <c r="Q44" s="7"/>
      <c r="R44" s="8">
        <v>5.8400000000000001E-2</v>
      </c>
      <c r="S44" s="7"/>
      <c r="T44" s="7">
        <f t="shared" si="5"/>
        <v>0.46513274336283189</v>
      </c>
      <c r="U44" s="9"/>
      <c r="V44" s="9"/>
      <c r="W44" s="10"/>
      <c r="X44" s="6"/>
      <c r="Y44" s="11"/>
      <c r="Z44" s="6"/>
      <c r="AA44" s="121"/>
      <c r="AB44" s="122"/>
      <c r="AC44" s="145"/>
      <c r="AD44" s="109"/>
      <c r="AE44" s="146"/>
      <c r="AF44" s="146"/>
      <c r="AG44" s="143"/>
      <c r="AH44" s="111"/>
    </row>
    <row r="45" spans="1:34" s="13" customFormat="1" ht="20.399999999999999" customHeight="1" x14ac:dyDescent="0.25">
      <c r="A45" s="111"/>
      <c r="B45" s="134"/>
      <c r="C45" s="111"/>
      <c r="D45" s="116"/>
      <c r="E45" s="118"/>
      <c r="F45" s="118"/>
      <c r="G45" s="2"/>
      <c r="H45" s="28"/>
      <c r="I45" s="28"/>
      <c r="J45" s="26"/>
      <c r="K45" s="2"/>
      <c r="L45" s="4"/>
      <c r="M45" s="4"/>
      <c r="N45" s="4"/>
      <c r="O45" s="5"/>
      <c r="P45" s="6"/>
      <c r="Q45" s="7"/>
      <c r="R45" s="8"/>
      <c r="S45" s="7"/>
      <c r="T45" s="7"/>
      <c r="U45" s="9" t="s">
        <v>2</v>
      </c>
      <c r="V45" s="37"/>
      <c r="W45" s="10">
        <v>55</v>
      </c>
      <c r="X45" s="6">
        <v>0.05</v>
      </c>
      <c r="Y45" s="11">
        <v>1</v>
      </c>
      <c r="Z45" s="6">
        <f>W45*X45/Y45</f>
        <v>2.75</v>
      </c>
      <c r="AA45" s="121"/>
      <c r="AB45" s="122"/>
      <c r="AC45" s="145"/>
      <c r="AD45" s="109"/>
      <c r="AE45" s="146"/>
      <c r="AF45" s="146"/>
      <c r="AG45" s="143"/>
      <c r="AH45" s="111"/>
    </row>
    <row r="46" spans="1:34" s="13" customFormat="1" ht="20.399999999999999" customHeight="1" x14ac:dyDescent="0.25">
      <c r="A46" s="111"/>
      <c r="B46" s="134"/>
      <c r="C46" s="111"/>
      <c r="D46" s="116"/>
      <c r="E46" s="118"/>
      <c r="F46" s="118"/>
      <c r="G46" s="2"/>
      <c r="H46" s="28"/>
      <c r="I46" s="28"/>
      <c r="J46" s="26"/>
      <c r="K46" s="2"/>
      <c r="L46" s="4"/>
      <c r="M46" s="4"/>
      <c r="N46" s="4"/>
      <c r="O46" s="5"/>
      <c r="P46" s="6"/>
      <c r="Q46" s="7"/>
      <c r="R46" s="8"/>
      <c r="S46" s="7"/>
      <c r="T46" s="7"/>
      <c r="U46" s="9" t="s">
        <v>3</v>
      </c>
      <c r="V46" s="9"/>
      <c r="W46" s="10">
        <v>1</v>
      </c>
      <c r="X46" s="6">
        <v>0.5</v>
      </c>
      <c r="Y46" s="11">
        <v>1</v>
      </c>
      <c r="Z46" s="6">
        <v>0.5</v>
      </c>
      <c r="AA46" s="121"/>
      <c r="AB46" s="122"/>
      <c r="AC46" s="145"/>
      <c r="AD46" s="109"/>
      <c r="AE46" s="146"/>
      <c r="AF46" s="146"/>
      <c r="AG46" s="143"/>
      <c r="AH46" s="111"/>
    </row>
    <row r="47" spans="1:34" s="13" customFormat="1" ht="20.399999999999999" customHeight="1" x14ac:dyDescent="0.25">
      <c r="A47" s="111"/>
      <c r="B47" s="134"/>
      <c r="C47" s="111"/>
      <c r="D47" s="116"/>
      <c r="E47" s="118"/>
      <c r="F47" s="118"/>
      <c r="G47" s="2"/>
      <c r="H47" s="28"/>
      <c r="I47" s="28"/>
      <c r="J47" s="26"/>
      <c r="K47" s="2"/>
      <c r="L47" s="4"/>
      <c r="M47" s="4"/>
      <c r="N47" s="4"/>
      <c r="O47" s="5"/>
      <c r="P47" s="6"/>
      <c r="Q47" s="7"/>
      <c r="R47" s="8"/>
      <c r="S47" s="7"/>
      <c r="T47" s="7"/>
      <c r="U47" s="9" t="s">
        <v>4</v>
      </c>
      <c r="V47" s="9"/>
      <c r="W47" s="10">
        <v>0.65290000000000004</v>
      </c>
      <c r="X47" s="6">
        <v>7</v>
      </c>
      <c r="Y47" s="11">
        <v>1</v>
      </c>
      <c r="Z47" s="6">
        <f>W47*X47/Y47</f>
        <v>4.5703000000000005</v>
      </c>
      <c r="AA47" s="123"/>
      <c r="AB47" s="124"/>
      <c r="AC47" s="145"/>
      <c r="AD47" s="109"/>
      <c r="AE47" s="146"/>
      <c r="AF47" s="146"/>
      <c r="AG47" s="143"/>
      <c r="AH47" s="112"/>
    </row>
    <row r="48" spans="1:34" s="13" customFormat="1" x14ac:dyDescent="0.25">
      <c r="A48" s="112"/>
      <c r="B48" s="151"/>
      <c r="C48" s="112"/>
      <c r="D48" s="117"/>
      <c r="E48" s="118"/>
      <c r="F48" s="118"/>
      <c r="G48" s="127" t="s">
        <v>5</v>
      </c>
      <c r="H48" s="127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8">
        <f>SUM(T3:T47)</f>
        <v>30.294137709623158</v>
      </c>
      <c r="U48" s="129"/>
      <c r="V48" s="129"/>
      <c r="W48" s="129"/>
      <c r="X48" s="129"/>
      <c r="Y48" s="129"/>
      <c r="Z48" s="19">
        <f>SUM(Z3:Z47)</f>
        <v>11.861255555555557</v>
      </c>
      <c r="AA48" s="125">
        <v>1</v>
      </c>
      <c r="AB48" s="126"/>
      <c r="AC48" s="19">
        <v>1.1000000000000001</v>
      </c>
      <c r="AD48" s="38">
        <f>(T48+Z48)*AC48+AA48</f>
        <v>47.370932591696594</v>
      </c>
      <c r="AE48" s="146"/>
      <c r="AF48" s="146"/>
      <c r="AG48" s="143"/>
      <c r="AH48" s="93">
        <v>82.22</v>
      </c>
    </row>
    <row r="49" spans="30:30" x14ac:dyDescent="0.25">
      <c r="AD49">
        <v>82.22</v>
      </c>
    </row>
    <row r="50" spans="30:30" x14ac:dyDescent="0.25">
      <c r="AD50" s="39">
        <f>(AD49-AD48)/AD48</f>
        <v>0.73566352827961679</v>
      </c>
    </row>
  </sheetData>
  <mergeCells count="40">
    <mergeCell ref="AH1:AH2"/>
    <mergeCell ref="AI1:AI2"/>
    <mergeCell ref="AH3:AH47"/>
    <mergeCell ref="U1:Z1"/>
    <mergeCell ref="AA1:AA2"/>
    <mergeCell ref="AB1:AB2"/>
    <mergeCell ref="AE1:AE2"/>
    <mergeCell ref="AF1:AF2"/>
    <mergeCell ref="AG3:AG48"/>
    <mergeCell ref="AC3:AC47"/>
    <mergeCell ref="AE3:AE48"/>
    <mergeCell ref="AF3:AF48"/>
    <mergeCell ref="AC1:AC2"/>
    <mergeCell ref="G1:G2"/>
    <mergeCell ref="F3:F48"/>
    <mergeCell ref="J1:J2"/>
    <mergeCell ref="H1:H2"/>
    <mergeCell ref="AG1:AG2"/>
    <mergeCell ref="B1:B2"/>
    <mergeCell ref="C1:C2"/>
    <mergeCell ref="D1:D2"/>
    <mergeCell ref="E1:E2"/>
    <mergeCell ref="F1:F2"/>
    <mergeCell ref="AD3:AD47"/>
    <mergeCell ref="A3:A48"/>
    <mergeCell ref="B3:B48"/>
    <mergeCell ref="C3:C48"/>
    <mergeCell ref="D3:D48"/>
    <mergeCell ref="E3:E48"/>
    <mergeCell ref="AA3:AB47"/>
    <mergeCell ref="AA48:AB48"/>
    <mergeCell ref="G48:S48"/>
    <mergeCell ref="U48:Y48"/>
    <mergeCell ref="AD1:AD2"/>
    <mergeCell ref="I1:I2"/>
    <mergeCell ref="K1:K2"/>
    <mergeCell ref="L1:N1"/>
    <mergeCell ref="O1:P1"/>
    <mergeCell ref="Q1:S1"/>
    <mergeCell ref="T1:T2"/>
  </mergeCells>
  <phoneticPr fontId="2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1F68-77FE-45C8-AB6C-DE02CDEEEB67}">
  <dimension ref="A1:AI94"/>
  <sheetViews>
    <sheetView tabSelected="1" topLeftCell="A67" zoomScale="60" zoomScaleNormal="60" workbookViewId="0">
      <selection activeCell="C65" sqref="C65:C94"/>
    </sheetView>
  </sheetViews>
  <sheetFormatPr defaultRowHeight="13.8" x14ac:dyDescent="0.25"/>
  <cols>
    <col min="3" max="3" width="12.6640625" customWidth="1"/>
    <col min="7" max="7" width="18.109375" customWidth="1"/>
    <col min="9" max="9" width="6.5546875" customWidth="1"/>
    <col min="10" max="10" width="11.109375" customWidth="1"/>
    <col min="35" max="35" width="12.5546875" customWidth="1"/>
  </cols>
  <sheetData>
    <row r="1" spans="1:34" s="13" customFormat="1" ht="14.4" customHeight="1" x14ac:dyDescent="0.25">
      <c r="A1" s="1" t="s">
        <v>6</v>
      </c>
      <c r="B1" s="149" t="s">
        <v>127</v>
      </c>
      <c r="C1" s="149" t="s">
        <v>128</v>
      </c>
      <c r="D1" s="131" t="s">
        <v>129</v>
      </c>
      <c r="E1" s="133" t="s">
        <v>211</v>
      </c>
      <c r="F1" s="133" t="s">
        <v>212</v>
      </c>
      <c r="G1" s="133" t="s">
        <v>11</v>
      </c>
      <c r="H1" s="133" t="s">
        <v>130</v>
      </c>
      <c r="I1" s="133" t="s">
        <v>13</v>
      </c>
      <c r="J1" s="99" t="s">
        <v>131</v>
      </c>
      <c r="K1" s="152" t="s">
        <v>132</v>
      </c>
      <c r="L1" s="154" t="s">
        <v>14</v>
      </c>
      <c r="M1" s="155"/>
      <c r="N1" s="156"/>
      <c r="O1" s="157" t="s">
        <v>16</v>
      </c>
      <c r="P1" s="158"/>
      <c r="Q1" s="159"/>
      <c r="R1" s="160" t="s">
        <v>133</v>
      </c>
      <c r="S1" s="161"/>
      <c r="T1" s="147" t="s">
        <v>17</v>
      </c>
      <c r="U1" s="162" t="s">
        <v>18</v>
      </c>
      <c r="V1" s="162"/>
      <c r="W1" s="162"/>
      <c r="X1" s="162"/>
      <c r="Y1" s="162"/>
      <c r="Z1" s="162"/>
      <c r="AA1" s="108" t="s">
        <v>134</v>
      </c>
      <c r="AB1" s="163" t="s">
        <v>135</v>
      </c>
      <c r="AC1" s="163" t="s">
        <v>136</v>
      </c>
      <c r="AD1" s="165" t="s">
        <v>137</v>
      </c>
      <c r="AE1" s="198" t="s">
        <v>23</v>
      </c>
      <c r="AF1" s="196" t="s">
        <v>138</v>
      </c>
      <c r="AG1" s="196" t="s">
        <v>139</v>
      </c>
      <c r="AH1" s="146" t="s">
        <v>213</v>
      </c>
    </row>
    <row r="2" spans="1:34" s="13" customFormat="1" ht="24" customHeight="1" x14ac:dyDescent="0.25">
      <c r="A2" s="31" t="s">
        <v>27</v>
      </c>
      <c r="B2" s="150"/>
      <c r="C2" s="150"/>
      <c r="D2" s="132"/>
      <c r="E2" s="151"/>
      <c r="F2" s="151"/>
      <c r="G2" s="134"/>
      <c r="H2" s="151"/>
      <c r="I2" s="151"/>
      <c r="J2" s="135"/>
      <c r="K2" s="153"/>
      <c r="L2" s="41" t="s">
        <v>28</v>
      </c>
      <c r="M2" s="41" t="s">
        <v>29</v>
      </c>
      <c r="N2" s="41" t="s">
        <v>30</v>
      </c>
      <c r="O2" s="42" t="s">
        <v>32</v>
      </c>
      <c r="P2" s="42" t="s">
        <v>33</v>
      </c>
      <c r="Q2" s="42" t="s">
        <v>31</v>
      </c>
      <c r="R2" s="40" t="s">
        <v>140</v>
      </c>
      <c r="S2" s="40" t="s">
        <v>31</v>
      </c>
      <c r="T2" s="148"/>
      <c r="U2" s="12" t="s">
        <v>34</v>
      </c>
      <c r="V2" s="12" t="s">
        <v>35</v>
      </c>
      <c r="W2" s="12" t="s">
        <v>36</v>
      </c>
      <c r="X2" s="40" t="s">
        <v>37</v>
      </c>
      <c r="Y2" s="40" t="s">
        <v>38</v>
      </c>
      <c r="Z2" s="40" t="s">
        <v>39</v>
      </c>
      <c r="AA2" s="142"/>
      <c r="AB2" s="164"/>
      <c r="AC2" s="164"/>
      <c r="AD2" s="166"/>
      <c r="AE2" s="199"/>
      <c r="AF2" s="197"/>
      <c r="AG2" s="197"/>
      <c r="AH2" s="146"/>
    </row>
    <row r="3" spans="1:34" s="56" customFormat="1" ht="30.6" customHeight="1" x14ac:dyDescent="0.25">
      <c r="A3" s="174">
        <v>1</v>
      </c>
      <c r="B3" s="177" t="s">
        <v>141</v>
      </c>
      <c r="C3" s="177" t="s">
        <v>142</v>
      </c>
      <c r="D3" s="177" t="s">
        <v>143</v>
      </c>
      <c r="E3" s="43">
        <v>1</v>
      </c>
      <c r="F3" s="43"/>
      <c r="G3" s="44" t="s">
        <v>144</v>
      </c>
      <c r="H3" s="43" t="s">
        <v>145</v>
      </c>
      <c r="I3" s="43">
        <v>1</v>
      </c>
      <c r="J3" s="45" t="s">
        <v>146</v>
      </c>
      <c r="K3" s="46"/>
      <c r="L3" s="47"/>
      <c r="M3" s="46"/>
      <c r="N3" s="46" t="s">
        <v>147</v>
      </c>
      <c r="O3" s="48">
        <v>0.41799999999999998</v>
      </c>
      <c r="P3" s="48">
        <v>0.41199999999999998</v>
      </c>
      <c r="Q3" s="49">
        <f>O3-P3</f>
        <v>6.0000000000000053E-3</v>
      </c>
      <c r="R3" s="50">
        <v>4.3899999999999997</v>
      </c>
      <c r="S3" s="50">
        <v>2.2000000000000002</v>
      </c>
      <c r="T3" s="51">
        <f>(O3*R3-Q3*S3)*I3</f>
        <v>1.8218199999999998</v>
      </c>
      <c r="U3" s="52" t="s">
        <v>148</v>
      </c>
      <c r="V3" s="52"/>
      <c r="W3" s="53">
        <v>1</v>
      </c>
      <c r="X3" s="54">
        <v>0.06</v>
      </c>
      <c r="Y3" s="54">
        <v>1</v>
      </c>
      <c r="Z3" s="55">
        <f>W3*X3/Y3</f>
        <v>0.06</v>
      </c>
      <c r="AA3" s="180">
        <v>1.1000000000000001</v>
      </c>
      <c r="AB3" s="183" t="s">
        <v>192</v>
      </c>
      <c r="AC3" s="184"/>
      <c r="AD3" s="189"/>
      <c r="AE3" s="191"/>
      <c r="AF3" s="191"/>
      <c r="AG3" s="191"/>
      <c r="AH3" s="193">
        <v>47.32</v>
      </c>
    </row>
    <row r="4" spans="1:34" s="56" customFormat="1" ht="30.6" customHeight="1" x14ac:dyDescent="0.25">
      <c r="A4" s="175"/>
      <c r="B4" s="178"/>
      <c r="C4" s="178"/>
      <c r="D4" s="178"/>
      <c r="E4" s="43"/>
      <c r="F4" s="43"/>
      <c r="G4" s="43"/>
      <c r="H4" s="43"/>
      <c r="I4" s="43"/>
      <c r="J4" s="57"/>
      <c r="K4" s="46"/>
      <c r="L4" s="47"/>
      <c r="M4" s="46"/>
      <c r="N4" s="46"/>
      <c r="O4" s="58"/>
      <c r="P4" s="58"/>
      <c r="Q4" s="49"/>
      <c r="R4" s="51"/>
      <c r="S4" s="51"/>
      <c r="T4" s="51"/>
      <c r="U4" s="52" t="s">
        <v>149</v>
      </c>
      <c r="V4" s="52"/>
      <c r="W4" s="53">
        <v>2</v>
      </c>
      <c r="X4" s="54">
        <v>0.05</v>
      </c>
      <c r="Y4" s="54">
        <v>1</v>
      </c>
      <c r="Z4" s="54">
        <f t="shared" ref="Z4" si="0">W4*X4/Y4</f>
        <v>0.1</v>
      </c>
      <c r="AA4" s="181"/>
      <c r="AB4" s="185"/>
      <c r="AC4" s="186"/>
      <c r="AD4" s="190"/>
      <c r="AE4" s="191"/>
      <c r="AF4" s="191"/>
      <c r="AG4" s="191"/>
      <c r="AH4" s="194"/>
    </row>
    <row r="5" spans="1:34" s="56" customFormat="1" ht="30.6" customHeight="1" x14ac:dyDescent="0.25">
      <c r="A5" s="175"/>
      <c r="B5" s="178"/>
      <c r="C5" s="178"/>
      <c r="D5" s="178"/>
      <c r="E5" s="43"/>
      <c r="F5" s="43"/>
      <c r="G5" s="43"/>
      <c r="H5" s="43"/>
      <c r="I5" s="43"/>
      <c r="J5" s="57"/>
      <c r="K5" s="46"/>
      <c r="L5" s="47"/>
      <c r="M5" s="46"/>
      <c r="N5" s="46"/>
      <c r="O5" s="58"/>
      <c r="P5" s="58"/>
      <c r="Q5" s="49"/>
      <c r="R5" s="51"/>
      <c r="S5" s="51"/>
      <c r="T5" s="51"/>
      <c r="U5" s="52" t="s">
        <v>150</v>
      </c>
      <c r="V5" s="52" t="s">
        <v>51</v>
      </c>
      <c r="W5" s="53">
        <v>2</v>
      </c>
      <c r="X5" s="54">
        <v>0.04</v>
      </c>
      <c r="Y5" s="54">
        <v>1</v>
      </c>
      <c r="Z5" s="55">
        <v>0.06</v>
      </c>
      <c r="AA5" s="181"/>
      <c r="AB5" s="185"/>
      <c r="AC5" s="186"/>
      <c r="AD5" s="190"/>
      <c r="AE5" s="191"/>
      <c r="AF5" s="191"/>
      <c r="AG5" s="191"/>
      <c r="AH5" s="194"/>
    </row>
    <row r="6" spans="1:34" s="56" customFormat="1" ht="30.6" customHeight="1" x14ac:dyDescent="0.25">
      <c r="A6" s="175"/>
      <c r="B6" s="178"/>
      <c r="C6" s="178"/>
      <c r="D6" s="178"/>
      <c r="E6" s="43"/>
      <c r="F6" s="43"/>
      <c r="G6" s="43"/>
      <c r="H6" s="43"/>
      <c r="I6" s="43"/>
      <c r="J6" s="57"/>
      <c r="K6" s="46"/>
      <c r="L6" s="47"/>
      <c r="M6" s="46"/>
      <c r="N6" s="46"/>
      <c r="O6" s="58"/>
      <c r="P6" s="58"/>
      <c r="Q6" s="49"/>
      <c r="R6" s="51"/>
      <c r="S6" s="51"/>
      <c r="T6" s="51"/>
      <c r="U6" s="52" t="s">
        <v>151</v>
      </c>
      <c r="V6" s="52" t="s">
        <v>50</v>
      </c>
      <c r="W6" s="53">
        <v>2</v>
      </c>
      <c r="X6" s="54">
        <v>0.03</v>
      </c>
      <c r="Y6" s="54">
        <v>1</v>
      </c>
      <c r="Z6" s="54">
        <f t="shared" ref="Z6:Z10" si="1">W6*X6/Y6</f>
        <v>0.06</v>
      </c>
      <c r="AA6" s="181"/>
      <c r="AB6" s="185"/>
      <c r="AC6" s="186"/>
      <c r="AD6" s="190"/>
      <c r="AE6" s="191"/>
      <c r="AF6" s="191"/>
      <c r="AG6" s="191"/>
      <c r="AH6" s="194"/>
    </row>
    <row r="7" spans="1:34" s="56" customFormat="1" ht="36.6" customHeight="1" x14ac:dyDescent="0.25">
      <c r="A7" s="175"/>
      <c r="B7" s="178"/>
      <c r="C7" s="178"/>
      <c r="D7" s="178"/>
      <c r="E7" s="43">
        <v>2</v>
      </c>
      <c r="F7" s="43"/>
      <c r="G7" s="44" t="s">
        <v>152</v>
      </c>
      <c r="H7" s="43" t="s">
        <v>145</v>
      </c>
      <c r="I7" s="43">
        <v>1</v>
      </c>
      <c r="J7" s="45" t="s">
        <v>153</v>
      </c>
      <c r="K7" s="60"/>
      <c r="L7" s="46"/>
      <c r="M7" s="46"/>
      <c r="N7" s="46" t="s">
        <v>154</v>
      </c>
      <c r="O7" s="61">
        <f>15*1.8*260*7.85/1000000</f>
        <v>5.5107000000000003E-2</v>
      </c>
      <c r="P7" s="61">
        <f>15*1.8*260*7.85/1000000</f>
        <v>5.5107000000000003E-2</v>
      </c>
      <c r="Q7" s="49">
        <f>O7-P7</f>
        <v>0</v>
      </c>
      <c r="R7" s="51">
        <v>5</v>
      </c>
      <c r="S7" s="51">
        <v>2.65</v>
      </c>
      <c r="T7" s="51">
        <f>(O7*R7-Q7*S7)*I7</f>
        <v>0.27553500000000003</v>
      </c>
      <c r="U7" s="62" t="s">
        <v>155</v>
      </c>
      <c r="V7" s="53" t="s">
        <v>50</v>
      </c>
      <c r="W7" s="53">
        <v>1</v>
      </c>
      <c r="X7" s="54">
        <v>0.03</v>
      </c>
      <c r="Y7" s="54">
        <v>1</v>
      </c>
      <c r="Z7" s="54">
        <f t="shared" si="1"/>
        <v>0.03</v>
      </c>
      <c r="AA7" s="181"/>
      <c r="AB7" s="185"/>
      <c r="AC7" s="186"/>
      <c r="AD7" s="190"/>
      <c r="AE7" s="192"/>
      <c r="AF7" s="192"/>
      <c r="AG7" s="191"/>
      <c r="AH7" s="194"/>
    </row>
    <row r="8" spans="1:34" s="56" customFormat="1" ht="25.95" customHeight="1" x14ac:dyDescent="0.25">
      <c r="A8" s="175"/>
      <c r="B8" s="178"/>
      <c r="C8" s="178"/>
      <c r="D8" s="178"/>
      <c r="E8" s="43">
        <v>3</v>
      </c>
      <c r="F8" s="43"/>
      <c r="G8" s="44" t="s">
        <v>156</v>
      </c>
      <c r="H8" s="43" t="s">
        <v>145</v>
      </c>
      <c r="I8" s="43">
        <v>1</v>
      </c>
      <c r="J8" s="57" t="s">
        <v>157</v>
      </c>
      <c r="K8" s="46"/>
      <c r="L8" s="46"/>
      <c r="M8" s="46"/>
      <c r="N8" s="46" t="s">
        <v>147</v>
      </c>
      <c r="O8" s="63">
        <v>1.9930000000000001</v>
      </c>
      <c r="P8" s="63">
        <v>1.9850000000000001</v>
      </c>
      <c r="Q8" s="49">
        <f>O8-P8</f>
        <v>8.0000000000000071E-3</v>
      </c>
      <c r="R8" s="50">
        <v>4.3899999999999997</v>
      </c>
      <c r="S8" s="50">
        <v>2.2000000000000002</v>
      </c>
      <c r="T8" s="51">
        <f>(O8*R8-Q8*S8)*I8</f>
        <v>8.7316699999999994</v>
      </c>
      <c r="U8" s="62" t="s">
        <v>148</v>
      </c>
      <c r="V8" s="53"/>
      <c r="W8" s="53">
        <v>1</v>
      </c>
      <c r="X8" s="55">
        <v>0.08</v>
      </c>
      <c r="Y8" s="54">
        <v>1</v>
      </c>
      <c r="Z8" s="54">
        <f t="shared" si="1"/>
        <v>0.08</v>
      </c>
      <c r="AA8" s="181"/>
      <c r="AB8" s="185"/>
      <c r="AC8" s="186"/>
      <c r="AD8" s="190"/>
      <c r="AE8" s="192"/>
      <c r="AF8" s="192"/>
      <c r="AG8" s="191"/>
      <c r="AH8" s="194"/>
    </row>
    <row r="9" spans="1:34" s="56" customFormat="1" ht="25.95" customHeight="1" x14ac:dyDescent="0.25">
      <c r="A9" s="175"/>
      <c r="B9" s="178"/>
      <c r="C9" s="178"/>
      <c r="D9" s="178"/>
      <c r="E9" s="43"/>
      <c r="F9" s="43"/>
      <c r="G9" s="43"/>
      <c r="H9" s="43"/>
      <c r="I9" s="43"/>
      <c r="J9" s="57"/>
      <c r="K9" s="46"/>
      <c r="L9" s="46"/>
      <c r="M9" s="46"/>
      <c r="N9" s="46"/>
      <c r="O9" s="61"/>
      <c r="P9" s="61"/>
      <c r="Q9" s="49"/>
      <c r="R9" s="51"/>
      <c r="S9" s="51"/>
      <c r="T9" s="51"/>
      <c r="U9" s="62" t="s">
        <v>158</v>
      </c>
      <c r="V9" s="53"/>
      <c r="W9" s="53">
        <v>4</v>
      </c>
      <c r="X9" s="54">
        <v>0.05</v>
      </c>
      <c r="Y9" s="54">
        <v>1</v>
      </c>
      <c r="Z9" s="54">
        <f t="shared" si="1"/>
        <v>0.2</v>
      </c>
      <c r="AA9" s="181"/>
      <c r="AB9" s="185"/>
      <c r="AC9" s="186"/>
      <c r="AD9" s="190"/>
      <c r="AE9" s="192"/>
      <c r="AF9" s="192"/>
      <c r="AG9" s="191"/>
      <c r="AH9" s="194"/>
    </row>
    <row r="10" spans="1:34" s="56" customFormat="1" ht="25.95" customHeight="1" x14ac:dyDescent="0.25">
      <c r="A10" s="175"/>
      <c r="B10" s="178"/>
      <c r="C10" s="178"/>
      <c r="D10" s="178"/>
      <c r="E10" s="43"/>
      <c r="F10" s="43"/>
      <c r="G10" s="43"/>
      <c r="H10" s="43"/>
      <c r="I10" s="43"/>
      <c r="J10" s="57"/>
      <c r="K10" s="46"/>
      <c r="L10" s="46"/>
      <c r="M10" s="46"/>
      <c r="N10" s="46"/>
      <c r="O10" s="61"/>
      <c r="P10" s="61"/>
      <c r="Q10" s="49"/>
      <c r="R10" s="51"/>
      <c r="S10" s="51"/>
      <c r="T10" s="51"/>
      <c r="U10" s="64" t="s">
        <v>159</v>
      </c>
      <c r="V10" s="65"/>
      <c r="W10" s="65">
        <v>1</v>
      </c>
      <c r="X10" s="55">
        <v>0.05</v>
      </c>
      <c r="Y10" s="55">
        <v>1</v>
      </c>
      <c r="Z10" s="55">
        <f t="shared" si="1"/>
        <v>0.05</v>
      </c>
      <c r="AA10" s="181"/>
      <c r="AB10" s="185"/>
      <c r="AC10" s="186"/>
      <c r="AD10" s="190"/>
      <c r="AE10" s="192"/>
      <c r="AF10" s="192"/>
      <c r="AG10" s="191"/>
      <c r="AH10" s="194"/>
    </row>
    <row r="11" spans="1:34" s="56" customFormat="1" ht="25.95" customHeight="1" x14ac:dyDescent="0.25">
      <c r="A11" s="175"/>
      <c r="B11" s="178"/>
      <c r="C11" s="178"/>
      <c r="D11" s="178"/>
      <c r="E11" s="43"/>
      <c r="F11" s="43"/>
      <c r="G11" s="43"/>
      <c r="H11" s="43"/>
      <c r="I11" s="43"/>
      <c r="J11" s="57"/>
      <c r="K11" s="46"/>
      <c r="L11" s="46"/>
      <c r="M11" s="46"/>
      <c r="N11" s="46"/>
      <c r="O11" s="61"/>
      <c r="P11" s="61"/>
      <c r="Q11" s="49"/>
      <c r="R11" s="51"/>
      <c r="S11" s="51"/>
      <c r="T11" s="51"/>
      <c r="U11" s="62" t="s">
        <v>160</v>
      </c>
      <c r="V11" s="53" t="s">
        <v>52</v>
      </c>
      <c r="W11" s="53">
        <v>2</v>
      </c>
      <c r="X11" s="54"/>
      <c r="Y11" s="54"/>
      <c r="Z11" s="55">
        <v>0.06</v>
      </c>
      <c r="AA11" s="181"/>
      <c r="AB11" s="185"/>
      <c r="AC11" s="186"/>
      <c r="AD11" s="190"/>
      <c r="AE11" s="192"/>
      <c r="AF11" s="192"/>
      <c r="AG11" s="191"/>
      <c r="AH11" s="194"/>
    </row>
    <row r="12" spans="1:34" s="56" customFormat="1" ht="25.95" customHeight="1" x14ac:dyDescent="0.25">
      <c r="A12" s="175"/>
      <c r="B12" s="178"/>
      <c r="C12" s="178"/>
      <c r="D12" s="178"/>
      <c r="E12" s="43"/>
      <c r="F12" s="43"/>
      <c r="G12" s="43"/>
      <c r="H12" s="43"/>
      <c r="I12" s="43"/>
      <c r="J12" s="57"/>
      <c r="K12" s="46"/>
      <c r="L12" s="46"/>
      <c r="M12" s="46"/>
      <c r="N12" s="46"/>
      <c r="O12" s="61"/>
      <c r="P12" s="61"/>
      <c r="Q12" s="49"/>
      <c r="R12" s="51"/>
      <c r="S12" s="51"/>
      <c r="T12" s="51"/>
      <c r="U12" s="62" t="s">
        <v>151</v>
      </c>
      <c r="V12" s="53" t="s">
        <v>50</v>
      </c>
      <c r="W12" s="53">
        <v>4</v>
      </c>
      <c r="X12" s="54"/>
      <c r="Y12" s="54"/>
      <c r="Z12" s="55">
        <v>0.06</v>
      </c>
      <c r="AA12" s="181"/>
      <c r="AB12" s="185"/>
      <c r="AC12" s="186"/>
      <c r="AD12" s="190"/>
      <c r="AE12" s="192"/>
      <c r="AF12" s="192"/>
      <c r="AG12" s="191"/>
      <c r="AH12" s="194"/>
    </row>
    <row r="13" spans="1:34" s="56" customFormat="1" ht="25.95" customHeight="1" x14ac:dyDescent="0.25">
      <c r="A13" s="175"/>
      <c r="B13" s="178"/>
      <c r="C13" s="178"/>
      <c r="D13" s="178"/>
      <c r="E13" s="43"/>
      <c r="F13" s="43"/>
      <c r="G13" s="43"/>
      <c r="H13" s="43"/>
      <c r="I13" s="43"/>
      <c r="J13" s="57"/>
      <c r="K13" s="46"/>
      <c r="L13" s="46"/>
      <c r="M13" s="46"/>
      <c r="N13" s="46"/>
      <c r="O13" s="61"/>
      <c r="P13" s="61"/>
      <c r="Q13" s="49"/>
      <c r="R13" s="51"/>
      <c r="S13" s="51"/>
      <c r="T13" s="51"/>
      <c r="U13" s="62" t="s">
        <v>161</v>
      </c>
      <c r="V13" s="53" t="s">
        <v>49</v>
      </c>
      <c r="W13" s="53">
        <v>3</v>
      </c>
      <c r="X13" s="54">
        <v>0.03</v>
      </c>
      <c r="Y13" s="54">
        <v>1</v>
      </c>
      <c r="Z13" s="54">
        <f t="shared" ref="Z13:Z15" si="2">W13*X13/Y13</f>
        <v>0.09</v>
      </c>
      <c r="AA13" s="181"/>
      <c r="AB13" s="185"/>
      <c r="AC13" s="186"/>
      <c r="AD13" s="190"/>
      <c r="AE13" s="192"/>
      <c r="AF13" s="192"/>
      <c r="AG13" s="191"/>
      <c r="AH13" s="194"/>
    </row>
    <row r="14" spans="1:34" s="56" customFormat="1" ht="25.95" customHeight="1" x14ac:dyDescent="0.25">
      <c r="A14" s="175"/>
      <c r="B14" s="178"/>
      <c r="C14" s="178"/>
      <c r="D14" s="178"/>
      <c r="E14" s="43">
        <v>4</v>
      </c>
      <c r="F14" s="43"/>
      <c r="G14" s="66" t="s">
        <v>162</v>
      </c>
      <c r="H14" s="66" t="s">
        <v>145</v>
      </c>
      <c r="I14" s="66">
        <v>1</v>
      </c>
      <c r="J14" s="67" t="s">
        <v>163</v>
      </c>
      <c r="K14" s="68">
        <f>I14*P14</f>
        <v>0.1</v>
      </c>
      <c r="L14" s="69"/>
      <c r="M14" s="69"/>
      <c r="N14" s="69" t="s">
        <v>164</v>
      </c>
      <c r="O14" s="70"/>
      <c r="P14" s="70">
        <v>0.1</v>
      </c>
      <c r="Q14" s="71"/>
      <c r="R14" s="72">
        <f>7.9646</f>
        <v>7.9645999999999999</v>
      </c>
      <c r="S14" s="72"/>
      <c r="T14" s="72">
        <f>I14*P14*R14</f>
        <v>0.79646000000000006</v>
      </c>
      <c r="U14" s="73" t="s">
        <v>165</v>
      </c>
      <c r="V14" s="74"/>
      <c r="W14" s="74"/>
      <c r="X14" s="75"/>
      <c r="Y14" s="75"/>
      <c r="Z14" s="75"/>
      <c r="AA14" s="181"/>
      <c r="AB14" s="185"/>
      <c r="AC14" s="186"/>
      <c r="AD14" s="190"/>
      <c r="AE14" s="192"/>
      <c r="AF14" s="192"/>
      <c r="AG14" s="191"/>
      <c r="AH14" s="194"/>
    </row>
    <row r="15" spans="1:34" s="56" customFormat="1" ht="32.4" customHeight="1" x14ac:dyDescent="0.25">
      <c r="A15" s="175"/>
      <c r="B15" s="178"/>
      <c r="C15" s="178"/>
      <c r="D15" s="178"/>
      <c r="E15" s="43">
        <v>5</v>
      </c>
      <c r="F15" s="43"/>
      <c r="G15" s="44" t="s">
        <v>166</v>
      </c>
      <c r="H15" s="43" t="s">
        <v>145</v>
      </c>
      <c r="I15" s="43">
        <v>1</v>
      </c>
      <c r="J15" s="57" t="s">
        <v>167</v>
      </c>
      <c r="K15" s="47">
        <f t="shared" ref="K15:K27" si="3">I15*P15</f>
        <v>0.41399999999999998</v>
      </c>
      <c r="L15" s="46"/>
      <c r="M15" s="46"/>
      <c r="N15" s="46" t="s">
        <v>154</v>
      </c>
      <c r="O15" s="63">
        <v>0.41899999999999998</v>
      </c>
      <c r="P15" s="63">
        <v>0.41399999999999998</v>
      </c>
      <c r="Q15" s="49">
        <f>O15-P15</f>
        <v>5.0000000000000044E-3</v>
      </c>
      <c r="R15" s="50">
        <v>4.3899999999999997</v>
      </c>
      <c r="S15" s="50">
        <v>2.2000000000000002</v>
      </c>
      <c r="T15" s="51">
        <f>(O15*R15-Q15*S15)*I15</f>
        <v>1.8284099999999996</v>
      </c>
      <c r="U15" s="62" t="s">
        <v>155</v>
      </c>
      <c r="V15" s="53"/>
      <c r="W15" s="53">
        <v>1</v>
      </c>
      <c r="X15" s="54">
        <v>0.06</v>
      </c>
      <c r="Y15" s="54">
        <v>1</v>
      </c>
      <c r="Z15" s="55">
        <f t="shared" si="2"/>
        <v>0.06</v>
      </c>
      <c r="AA15" s="181"/>
      <c r="AB15" s="185"/>
      <c r="AC15" s="186"/>
      <c r="AD15" s="190"/>
      <c r="AE15" s="192"/>
      <c r="AF15" s="192"/>
      <c r="AG15" s="191"/>
      <c r="AH15" s="194"/>
    </row>
    <row r="16" spans="1:34" s="56" customFormat="1" ht="32.4" customHeight="1" x14ac:dyDescent="0.25">
      <c r="A16" s="175"/>
      <c r="B16" s="178"/>
      <c r="C16" s="178"/>
      <c r="D16" s="178"/>
      <c r="E16" s="43"/>
      <c r="F16" s="43"/>
      <c r="G16" s="43"/>
      <c r="H16" s="43"/>
      <c r="I16" s="43"/>
      <c r="J16" s="57"/>
      <c r="K16" s="47">
        <f t="shared" si="3"/>
        <v>0</v>
      </c>
      <c r="L16" s="46"/>
      <c r="M16" s="46"/>
      <c r="N16" s="46"/>
      <c r="O16" s="61"/>
      <c r="P16" s="61"/>
      <c r="Q16" s="49"/>
      <c r="R16" s="51"/>
      <c r="S16" s="51"/>
      <c r="T16" s="51"/>
      <c r="U16" s="62" t="s">
        <v>160</v>
      </c>
      <c r="V16" s="53" t="s">
        <v>52</v>
      </c>
      <c r="W16" s="53">
        <v>2</v>
      </c>
      <c r="X16" s="54">
        <v>0.05</v>
      </c>
      <c r="Y16" s="54">
        <v>1</v>
      </c>
      <c r="Z16" s="54">
        <v>0.06</v>
      </c>
      <c r="AA16" s="181"/>
      <c r="AB16" s="185"/>
      <c r="AC16" s="186"/>
      <c r="AD16" s="190"/>
      <c r="AE16" s="192"/>
      <c r="AF16" s="192"/>
      <c r="AG16" s="191"/>
      <c r="AH16" s="194"/>
    </row>
    <row r="17" spans="1:34" s="56" customFormat="1" ht="32.4" customHeight="1" x14ac:dyDescent="0.25">
      <c r="A17" s="175"/>
      <c r="B17" s="178"/>
      <c r="C17" s="178"/>
      <c r="D17" s="178"/>
      <c r="E17" s="43"/>
      <c r="F17" s="43"/>
      <c r="G17" s="43"/>
      <c r="H17" s="43"/>
      <c r="I17" s="43"/>
      <c r="J17" s="57"/>
      <c r="K17" s="47"/>
      <c r="L17" s="46"/>
      <c r="M17" s="46"/>
      <c r="N17" s="46"/>
      <c r="O17" s="61"/>
      <c r="P17" s="61"/>
      <c r="Q17" s="49"/>
      <c r="R17" s="51"/>
      <c r="S17" s="51"/>
      <c r="T17" s="51"/>
      <c r="U17" s="64" t="s">
        <v>168</v>
      </c>
      <c r="V17" s="65" t="s">
        <v>49</v>
      </c>
      <c r="W17" s="65">
        <v>2</v>
      </c>
      <c r="X17" s="55">
        <v>0.03</v>
      </c>
      <c r="Y17" s="55">
        <v>1</v>
      </c>
      <c r="Z17" s="55">
        <f t="shared" ref="Z17:Z19" si="4">W17*X17/Y17</f>
        <v>0.06</v>
      </c>
      <c r="AA17" s="181"/>
      <c r="AB17" s="185"/>
      <c r="AC17" s="186"/>
      <c r="AD17" s="190"/>
      <c r="AE17" s="192"/>
      <c r="AF17" s="192"/>
      <c r="AG17" s="191"/>
      <c r="AH17" s="194"/>
    </row>
    <row r="18" spans="1:34" s="76" customFormat="1" ht="32.4" customHeight="1" x14ac:dyDescent="0.25">
      <c r="A18" s="175"/>
      <c r="B18" s="178"/>
      <c r="C18" s="178"/>
      <c r="D18" s="178"/>
      <c r="E18" s="43">
        <v>6</v>
      </c>
      <c r="F18" s="43"/>
      <c r="G18" s="44" t="s">
        <v>169</v>
      </c>
      <c r="H18" s="43" t="s">
        <v>145</v>
      </c>
      <c r="I18" s="43">
        <v>3</v>
      </c>
      <c r="J18" s="57" t="s">
        <v>153</v>
      </c>
      <c r="K18" s="47">
        <f t="shared" si="3"/>
        <v>0.165321</v>
      </c>
      <c r="L18" s="46"/>
      <c r="M18" s="46"/>
      <c r="N18" s="46" t="s">
        <v>154</v>
      </c>
      <c r="O18" s="61">
        <f>15*1.8*260*7.85/1000000</f>
        <v>5.5107000000000003E-2</v>
      </c>
      <c r="P18" s="61">
        <f>15*1.8*260*7.85/1000000</f>
        <v>5.5107000000000003E-2</v>
      </c>
      <c r="Q18" s="49"/>
      <c r="R18" s="51">
        <v>5</v>
      </c>
      <c r="S18" s="51"/>
      <c r="T18" s="51">
        <f>I18*P18*R18</f>
        <v>0.82660500000000003</v>
      </c>
      <c r="U18" s="62" t="s">
        <v>155</v>
      </c>
      <c r="V18" s="53"/>
      <c r="W18" s="53">
        <v>3</v>
      </c>
      <c r="X18" s="54">
        <v>0.03</v>
      </c>
      <c r="Y18" s="54">
        <v>1</v>
      </c>
      <c r="Z18" s="55">
        <f t="shared" si="4"/>
        <v>0.09</v>
      </c>
      <c r="AA18" s="181"/>
      <c r="AB18" s="185"/>
      <c r="AC18" s="186"/>
      <c r="AD18" s="190"/>
      <c r="AE18" s="192"/>
      <c r="AF18" s="192"/>
      <c r="AG18" s="191"/>
      <c r="AH18" s="194"/>
    </row>
    <row r="19" spans="1:34" s="76" customFormat="1" ht="32.4" customHeight="1" x14ac:dyDescent="0.25">
      <c r="A19" s="175"/>
      <c r="B19" s="178"/>
      <c r="C19" s="178"/>
      <c r="D19" s="178"/>
      <c r="E19" s="43"/>
      <c r="F19" s="43"/>
      <c r="G19" s="43"/>
      <c r="H19" s="43"/>
      <c r="I19" s="43"/>
      <c r="J19" s="57"/>
      <c r="K19" s="47">
        <f t="shared" si="3"/>
        <v>0</v>
      </c>
      <c r="L19" s="46"/>
      <c r="M19" s="46"/>
      <c r="N19" s="46"/>
      <c r="O19" s="61"/>
      <c r="P19" s="61"/>
      <c r="Q19" s="49"/>
      <c r="R19" s="51"/>
      <c r="S19" s="51"/>
      <c r="T19" s="51"/>
      <c r="U19" s="62" t="s">
        <v>151</v>
      </c>
      <c r="V19" s="53" t="s">
        <v>50</v>
      </c>
      <c r="W19" s="53">
        <v>3</v>
      </c>
      <c r="X19" s="55">
        <v>0.04</v>
      </c>
      <c r="Y19" s="54">
        <v>1</v>
      </c>
      <c r="Z19" s="55">
        <f t="shared" si="4"/>
        <v>0.12</v>
      </c>
      <c r="AA19" s="181"/>
      <c r="AB19" s="185"/>
      <c r="AC19" s="186"/>
      <c r="AD19" s="190"/>
      <c r="AE19" s="192"/>
      <c r="AF19" s="192"/>
      <c r="AG19" s="191"/>
      <c r="AH19" s="194"/>
    </row>
    <row r="20" spans="1:34" s="76" customFormat="1" ht="32.4" customHeight="1" x14ac:dyDescent="0.25">
      <c r="A20" s="175"/>
      <c r="B20" s="178"/>
      <c r="C20" s="178"/>
      <c r="D20" s="178"/>
      <c r="E20" s="43">
        <v>7</v>
      </c>
      <c r="F20" s="43"/>
      <c r="G20" s="44" t="s">
        <v>170</v>
      </c>
      <c r="H20" s="43" t="s">
        <v>145</v>
      </c>
      <c r="I20" s="43">
        <v>2</v>
      </c>
      <c r="J20" s="57" t="s">
        <v>171</v>
      </c>
      <c r="K20" s="47">
        <f t="shared" si="3"/>
        <v>0.115</v>
      </c>
      <c r="L20" s="46"/>
      <c r="M20" s="46"/>
      <c r="N20" s="46" t="s">
        <v>154</v>
      </c>
      <c r="O20" s="61">
        <v>5.7500000000000002E-2</v>
      </c>
      <c r="P20" s="61">
        <v>5.7500000000000002E-2</v>
      </c>
      <c r="Q20" s="49"/>
      <c r="R20" s="51">
        <v>7.9649999999999999</v>
      </c>
      <c r="S20" s="51"/>
      <c r="T20" s="51">
        <f>(O20*R20-Q20*S20)*I20</f>
        <v>0.91597499999999998</v>
      </c>
      <c r="U20" s="62"/>
      <c r="V20" s="53"/>
      <c r="W20" s="53"/>
      <c r="X20" s="54"/>
      <c r="Y20" s="54"/>
      <c r="Z20" s="54"/>
      <c r="AA20" s="181"/>
      <c r="AB20" s="185"/>
      <c r="AC20" s="186"/>
      <c r="AD20" s="190"/>
      <c r="AE20" s="192"/>
      <c r="AF20" s="192"/>
      <c r="AG20" s="191"/>
      <c r="AH20" s="194"/>
    </row>
    <row r="21" spans="1:34" s="56" customFormat="1" ht="32.4" customHeight="1" x14ac:dyDescent="0.25">
      <c r="A21" s="175"/>
      <c r="B21" s="178"/>
      <c r="C21" s="178"/>
      <c r="D21" s="178"/>
      <c r="E21" s="43">
        <v>8</v>
      </c>
      <c r="F21" s="43"/>
      <c r="G21" s="44" t="s">
        <v>172</v>
      </c>
      <c r="H21" s="43" t="s">
        <v>173</v>
      </c>
      <c r="I21" s="43">
        <v>1</v>
      </c>
      <c r="J21" s="57" t="s">
        <v>167</v>
      </c>
      <c r="K21" s="47">
        <f t="shared" si="3"/>
        <v>0.41399999999999998</v>
      </c>
      <c r="L21" s="46"/>
      <c r="M21" s="46"/>
      <c r="N21" s="46" t="s">
        <v>147</v>
      </c>
      <c r="O21" s="63">
        <v>0.41899999999999998</v>
      </c>
      <c r="P21" s="63">
        <v>0.41399999999999998</v>
      </c>
      <c r="Q21" s="49">
        <f>O21-P21</f>
        <v>5.0000000000000044E-3</v>
      </c>
      <c r="R21" s="50">
        <v>4.3899999999999997</v>
      </c>
      <c r="S21" s="50">
        <v>2.2000000000000002</v>
      </c>
      <c r="T21" s="51">
        <f>(O21*R21-Q21*S21)*I21</f>
        <v>1.8284099999999996</v>
      </c>
      <c r="U21" s="62" t="s">
        <v>155</v>
      </c>
      <c r="V21" s="53"/>
      <c r="W21" s="53">
        <v>1</v>
      </c>
      <c r="X21" s="54">
        <v>0.06</v>
      </c>
      <c r="Y21" s="54">
        <v>1</v>
      </c>
      <c r="Z21" s="55">
        <f t="shared" ref="Z21" si="5">W21*X21/Y21</f>
        <v>0.06</v>
      </c>
      <c r="AA21" s="181"/>
      <c r="AB21" s="185"/>
      <c r="AC21" s="186"/>
      <c r="AD21" s="190"/>
      <c r="AE21" s="192"/>
      <c r="AF21" s="192"/>
      <c r="AG21" s="191"/>
      <c r="AH21" s="194"/>
    </row>
    <row r="22" spans="1:34" s="56" customFormat="1" ht="32.4" customHeight="1" x14ac:dyDescent="0.25">
      <c r="A22" s="175"/>
      <c r="B22" s="178"/>
      <c r="C22" s="178"/>
      <c r="D22" s="178"/>
      <c r="E22" s="43"/>
      <c r="F22" s="43"/>
      <c r="G22" s="43"/>
      <c r="H22" s="43"/>
      <c r="I22" s="43"/>
      <c r="J22" s="57"/>
      <c r="K22" s="47">
        <f t="shared" si="3"/>
        <v>0</v>
      </c>
      <c r="L22" s="46"/>
      <c r="M22" s="46"/>
      <c r="N22" s="46"/>
      <c r="O22" s="61"/>
      <c r="P22" s="61"/>
      <c r="Q22" s="49"/>
      <c r="R22" s="51"/>
      <c r="S22" s="51"/>
      <c r="T22" s="51"/>
      <c r="U22" s="62" t="s">
        <v>160</v>
      </c>
      <c r="V22" s="53" t="s">
        <v>52</v>
      </c>
      <c r="W22" s="53">
        <v>2</v>
      </c>
      <c r="X22" s="54">
        <v>0.05</v>
      </c>
      <c r="Y22" s="54">
        <v>1</v>
      </c>
      <c r="Z22" s="54">
        <v>0.06</v>
      </c>
      <c r="AA22" s="181"/>
      <c r="AB22" s="185"/>
      <c r="AC22" s="186"/>
      <c r="AD22" s="190"/>
      <c r="AE22" s="192"/>
      <c r="AF22" s="192"/>
      <c r="AG22" s="191"/>
      <c r="AH22" s="194"/>
    </row>
    <row r="23" spans="1:34" s="56" customFormat="1" ht="32.4" customHeight="1" x14ac:dyDescent="0.25">
      <c r="A23" s="175"/>
      <c r="B23" s="178"/>
      <c r="C23" s="178"/>
      <c r="D23" s="178"/>
      <c r="E23" s="43"/>
      <c r="F23" s="43"/>
      <c r="G23" s="43"/>
      <c r="H23" s="43"/>
      <c r="I23" s="43"/>
      <c r="J23" s="57"/>
      <c r="K23" s="47"/>
      <c r="L23" s="46"/>
      <c r="M23" s="46"/>
      <c r="N23" s="46"/>
      <c r="O23" s="61"/>
      <c r="P23" s="61"/>
      <c r="Q23" s="49"/>
      <c r="R23" s="51"/>
      <c r="S23" s="51"/>
      <c r="T23" s="51"/>
      <c r="U23" s="64" t="s">
        <v>168</v>
      </c>
      <c r="V23" s="65" t="s">
        <v>49</v>
      </c>
      <c r="W23" s="65">
        <v>2</v>
      </c>
      <c r="X23" s="55">
        <v>0.03</v>
      </c>
      <c r="Y23" s="55">
        <v>1</v>
      </c>
      <c r="Z23" s="55">
        <f t="shared" ref="Z23" si="6">W23*X23/Y23</f>
        <v>0.06</v>
      </c>
      <c r="AA23" s="181"/>
      <c r="AB23" s="185"/>
      <c r="AC23" s="186"/>
      <c r="AD23" s="190"/>
      <c r="AE23" s="192"/>
      <c r="AF23" s="192"/>
      <c r="AG23" s="191"/>
      <c r="AH23" s="194"/>
    </row>
    <row r="24" spans="1:34" s="77" customFormat="1" ht="32.4" customHeight="1" x14ac:dyDescent="0.25">
      <c r="A24" s="175"/>
      <c r="B24" s="178"/>
      <c r="C24" s="178"/>
      <c r="D24" s="178"/>
      <c r="E24" s="43">
        <v>9</v>
      </c>
      <c r="F24" s="43"/>
      <c r="G24" s="44" t="s">
        <v>174</v>
      </c>
      <c r="H24" s="43" t="s">
        <v>145</v>
      </c>
      <c r="I24" s="43">
        <v>2</v>
      </c>
      <c r="J24" s="57" t="s">
        <v>175</v>
      </c>
      <c r="K24" s="47">
        <f t="shared" si="3"/>
        <v>0.38400000000000001</v>
      </c>
      <c r="L24" s="46"/>
      <c r="M24" s="46"/>
      <c r="N24" s="46" t="s">
        <v>176</v>
      </c>
      <c r="O24" s="61"/>
      <c r="P24" s="61">
        <v>0.192</v>
      </c>
      <c r="Q24" s="49"/>
      <c r="R24" s="51">
        <v>7.9649999999999999</v>
      </c>
      <c r="S24" s="51"/>
      <c r="T24" s="51">
        <v>3</v>
      </c>
      <c r="U24" s="62"/>
      <c r="V24" s="53"/>
      <c r="W24" s="53"/>
      <c r="X24" s="54"/>
      <c r="Y24" s="54"/>
      <c r="Z24" s="54"/>
      <c r="AA24" s="181"/>
      <c r="AB24" s="185"/>
      <c r="AC24" s="186"/>
      <c r="AD24" s="190"/>
      <c r="AE24" s="192"/>
      <c r="AF24" s="192"/>
      <c r="AG24" s="191"/>
      <c r="AH24" s="194"/>
    </row>
    <row r="25" spans="1:34" s="77" customFormat="1" ht="32.4" customHeight="1" x14ac:dyDescent="0.25">
      <c r="A25" s="175"/>
      <c r="B25" s="178"/>
      <c r="C25" s="178"/>
      <c r="D25" s="178"/>
      <c r="E25" s="43">
        <v>10</v>
      </c>
      <c r="F25" s="43"/>
      <c r="G25" s="44" t="s">
        <v>177</v>
      </c>
      <c r="H25" s="43" t="s">
        <v>173</v>
      </c>
      <c r="I25" s="43">
        <v>2</v>
      </c>
      <c r="J25" s="45" t="s">
        <v>178</v>
      </c>
      <c r="K25" s="47">
        <f t="shared" si="3"/>
        <v>0.65694240000000004</v>
      </c>
      <c r="L25" s="46"/>
      <c r="M25" s="46"/>
      <c r="N25" s="46" t="s">
        <v>147</v>
      </c>
      <c r="O25" s="78"/>
      <c r="P25" s="63">
        <f>(20-2)*2*0.02466*0.37</f>
        <v>0.32847120000000002</v>
      </c>
      <c r="Q25" s="49"/>
      <c r="R25" s="50">
        <v>4.3899999999999997</v>
      </c>
      <c r="S25" s="51"/>
      <c r="T25" s="51">
        <f>I25*P25*R25</f>
        <v>2.8839771359999999</v>
      </c>
      <c r="U25" s="62" t="s">
        <v>148</v>
      </c>
      <c r="V25" s="53"/>
      <c r="W25" s="53">
        <v>2</v>
      </c>
      <c r="X25" s="54"/>
      <c r="Y25" s="54"/>
      <c r="Z25" s="55">
        <v>0.06</v>
      </c>
      <c r="AA25" s="181"/>
      <c r="AB25" s="185"/>
      <c r="AC25" s="186"/>
      <c r="AD25" s="190"/>
      <c r="AE25" s="192"/>
      <c r="AF25" s="192"/>
      <c r="AG25" s="191"/>
      <c r="AH25" s="194"/>
    </row>
    <row r="26" spans="1:34" s="77" customFormat="1" ht="32.4" customHeight="1" x14ac:dyDescent="0.25">
      <c r="A26" s="175"/>
      <c r="B26" s="178"/>
      <c r="C26" s="178"/>
      <c r="D26" s="178"/>
      <c r="E26" s="43">
        <v>11</v>
      </c>
      <c r="F26" s="43"/>
      <c r="G26" s="66" t="s">
        <v>195</v>
      </c>
      <c r="H26" s="66" t="s">
        <v>145</v>
      </c>
      <c r="I26" s="66">
        <v>1</v>
      </c>
      <c r="J26" s="67" t="s">
        <v>179</v>
      </c>
      <c r="K26" s="68">
        <f t="shared" si="3"/>
        <v>0.24</v>
      </c>
      <c r="L26" s="69"/>
      <c r="M26" s="69"/>
      <c r="N26" s="69" t="s">
        <v>180</v>
      </c>
      <c r="O26" s="70"/>
      <c r="P26" s="70">
        <v>0.24</v>
      </c>
      <c r="Q26" s="71"/>
      <c r="R26" s="72">
        <v>7.9649999999999999</v>
      </c>
      <c r="S26" s="72"/>
      <c r="T26" s="72">
        <f>P26*R26</f>
        <v>1.9116</v>
      </c>
      <c r="U26" s="73"/>
      <c r="V26" s="74"/>
      <c r="W26" s="74"/>
      <c r="X26" s="75"/>
      <c r="Y26" s="75"/>
      <c r="Z26" s="75"/>
      <c r="AA26" s="181"/>
      <c r="AB26" s="185"/>
      <c r="AC26" s="186"/>
      <c r="AD26" s="190"/>
      <c r="AE26" s="192"/>
      <c r="AF26" s="192"/>
      <c r="AG26" s="191"/>
      <c r="AH26" s="194"/>
    </row>
    <row r="27" spans="1:34" s="77" customFormat="1" ht="32.4" customHeight="1" x14ac:dyDescent="0.25">
      <c r="A27" s="175"/>
      <c r="B27" s="178"/>
      <c r="C27" s="178"/>
      <c r="D27" s="178"/>
      <c r="E27" s="43">
        <v>12</v>
      </c>
      <c r="F27" s="43"/>
      <c r="G27" s="43" t="s">
        <v>181</v>
      </c>
      <c r="H27" s="43" t="s">
        <v>173</v>
      </c>
      <c r="I27" s="43">
        <v>4</v>
      </c>
      <c r="J27" s="57"/>
      <c r="K27" s="47">
        <f t="shared" si="3"/>
        <v>0</v>
      </c>
      <c r="L27" s="46"/>
      <c r="M27" s="46"/>
      <c r="N27" s="46"/>
      <c r="O27" s="61"/>
      <c r="P27" s="61"/>
      <c r="Q27" s="49"/>
      <c r="R27" s="79">
        <v>0.09</v>
      </c>
      <c r="S27" s="79"/>
      <c r="T27" s="79">
        <v>0.36</v>
      </c>
      <c r="U27" s="62"/>
      <c r="V27" s="53"/>
      <c r="W27" s="53"/>
      <c r="X27" s="54"/>
      <c r="Y27" s="54"/>
      <c r="Z27" s="54"/>
      <c r="AA27" s="181"/>
      <c r="AB27" s="185"/>
      <c r="AC27" s="186"/>
      <c r="AD27" s="190"/>
      <c r="AE27" s="192"/>
      <c r="AF27" s="192"/>
      <c r="AG27" s="191"/>
      <c r="AH27" s="194"/>
    </row>
    <row r="28" spans="1:34" s="77" customFormat="1" ht="32.4" customHeight="1" x14ac:dyDescent="0.25">
      <c r="A28" s="175"/>
      <c r="B28" s="178"/>
      <c r="C28" s="178"/>
      <c r="D28" s="178"/>
      <c r="E28" s="43"/>
      <c r="F28" s="43"/>
      <c r="G28" s="43"/>
      <c r="H28" s="43"/>
      <c r="I28" s="43"/>
      <c r="J28" s="57"/>
      <c r="K28" s="47"/>
      <c r="L28" s="46"/>
      <c r="M28" s="46"/>
      <c r="N28" s="46"/>
      <c r="O28" s="61"/>
      <c r="P28" s="61"/>
      <c r="Q28" s="49"/>
      <c r="R28" s="79"/>
      <c r="S28" s="79"/>
      <c r="T28" s="79"/>
      <c r="U28" s="64" t="s">
        <v>182</v>
      </c>
      <c r="V28" s="65"/>
      <c r="W28" s="65">
        <v>44</v>
      </c>
      <c r="X28" s="55">
        <v>0.06</v>
      </c>
      <c r="Y28" s="55">
        <v>1</v>
      </c>
      <c r="Z28" s="55">
        <f>W28*X28/Y28</f>
        <v>2.6399999999999997</v>
      </c>
      <c r="AA28" s="181"/>
      <c r="AB28" s="185"/>
      <c r="AC28" s="186"/>
      <c r="AD28" s="190"/>
      <c r="AE28" s="192"/>
      <c r="AF28" s="192"/>
      <c r="AG28" s="191"/>
      <c r="AH28" s="194"/>
    </row>
    <row r="29" spans="1:34" s="77" customFormat="1" ht="32.4" customHeight="1" x14ac:dyDescent="0.25">
      <c r="A29" s="175"/>
      <c r="B29" s="178"/>
      <c r="C29" s="178"/>
      <c r="D29" s="178"/>
      <c r="E29" s="43"/>
      <c r="F29" s="43"/>
      <c r="G29" s="43"/>
      <c r="H29" s="43"/>
      <c r="I29" s="43"/>
      <c r="J29" s="57"/>
      <c r="K29" s="47"/>
      <c r="L29" s="46"/>
      <c r="M29" s="46"/>
      <c r="N29" s="46"/>
      <c r="O29" s="61"/>
      <c r="P29" s="61"/>
      <c r="Q29" s="49"/>
      <c r="R29" s="51"/>
      <c r="S29" s="51"/>
      <c r="T29" s="51"/>
      <c r="U29" s="62" t="s">
        <v>183</v>
      </c>
      <c r="V29" s="53"/>
      <c r="W29" s="65">
        <v>35</v>
      </c>
      <c r="X29" s="80">
        <v>0.06</v>
      </c>
      <c r="Y29" s="54">
        <v>1</v>
      </c>
      <c r="Z29" s="55">
        <f>W29*X29/Y29</f>
        <v>2.1</v>
      </c>
      <c r="AA29" s="181"/>
      <c r="AB29" s="185"/>
      <c r="AC29" s="186"/>
      <c r="AD29" s="190"/>
      <c r="AE29" s="192"/>
      <c r="AF29" s="192"/>
      <c r="AG29" s="191"/>
      <c r="AH29" s="194"/>
    </row>
    <row r="30" spans="1:34" s="77" customFormat="1" ht="32.4" customHeight="1" x14ac:dyDescent="0.25">
      <c r="A30" s="175"/>
      <c r="B30" s="178"/>
      <c r="C30" s="178"/>
      <c r="D30" s="178"/>
      <c r="E30" s="43"/>
      <c r="F30" s="43"/>
      <c r="G30" s="43"/>
      <c r="H30" s="43"/>
      <c r="I30" s="43"/>
      <c r="J30" s="57"/>
      <c r="K30" s="47"/>
      <c r="L30" s="46"/>
      <c r="M30" s="46"/>
      <c r="N30" s="46"/>
      <c r="O30" s="61"/>
      <c r="P30" s="61"/>
      <c r="Q30" s="49"/>
      <c r="R30" s="51"/>
      <c r="S30" s="51"/>
      <c r="T30" s="51"/>
      <c r="U30" s="62" t="s">
        <v>184</v>
      </c>
      <c r="V30" s="53"/>
      <c r="W30" s="53">
        <v>8</v>
      </c>
      <c r="X30" s="54"/>
      <c r="Y30" s="54"/>
      <c r="Z30" s="55">
        <v>0.36</v>
      </c>
      <c r="AA30" s="181"/>
      <c r="AB30" s="185"/>
      <c r="AC30" s="186"/>
      <c r="AD30" s="190"/>
      <c r="AE30" s="192"/>
      <c r="AF30" s="192"/>
      <c r="AG30" s="191"/>
      <c r="AH30" s="194"/>
    </row>
    <row r="31" spans="1:34" s="77" customFormat="1" ht="32.4" customHeight="1" x14ac:dyDescent="0.25">
      <c r="A31" s="175"/>
      <c r="B31" s="178"/>
      <c r="C31" s="178"/>
      <c r="D31" s="178"/>
      <c r="E31" s="43"/>
      <c r="F31" s="43"/>
      <c r="G31" s="43"/>
      <c r="H31" s="43"/>
      <c r="I31" s="43"/>
      <c r="J31" s="57"/>
      <c r="K31" s="47"/>
      <c r="L31" s="46"/>
      <c r="M31" s="46"/>
      <c r="N31" s="46"/>
      <c r="O31" s="61"/>
      <c r="P31" s="61"/>
      <c r="Q31" s="49"/>
      <c r="R31" s="51"/>
      <c r="S31" s="51"/>
      <c r="T31" s="51"/>
      <c r="U31" s="62" t="s">
        <v>185</v>
      </c>
      <c r="V31" s="53"/>
      <c r="W31" s="53"/>
      <c r="X31" s="54"/>
      <c r="Y31" s="54"/>
      <c r="Z31" s="54">
        <v>3</v>
      </c>
      <c r="AA31" s="181"/>
      <c r="AB31" s="185"/>
      <c r="AC31" s="186"/>
      <c r="AD31" s="190"/>
      <c r="AE31" s="192"/>
      <c r="AF31" s="192"/>
      <c r="AG31" s="191"/>
      <c r="AH31" s="194"/>
    </row>
    <row r="32" spans="1:34" s="77" customFormat="1" ht="34.200000000000003" customHeight="1" x14ac:dyDescent="0.25">
      <c r="A32" s="175"/>
      <c r="B32" s="178"/>
      <c r="C32" s="178"/>
      <c r="D32" s="178"/>
      <c r="E32" s="43"/>
      <c r="F32" s="43"/>
      <c r="G32" s="57"/>
      <c r="H32" s="57"/>
      <c r="I32" s="57"/>
      <c r="J32" s="53"/>
      <c r="K32" s="47"/>
      <c r="L32" s="46"/>
      <c r="M32" s="46"/>
      <c r="N32" s="46"/>
      <c r="O32" s="78"/>
      <c r="P32" s="61">
        <f>SUMPRODUCT(I3:I27,P3:P27)</f>
        <v>4.9413704000000012</v>
      </c>
      <c r="Q32" s="49"/>
      <c r="R32" s="51"/>
      <c r="S32" s="51"/>
      <c r="T32" s="51"/>
      <c r="U32" s="62"/>
      <c r="V32" s="81"/>
      <c r="W32" s="53"/>
      <c r="X32" s="82"/>
      <c r="Y32" s="54"/>
      <c r="Z32" s="54"/>
      <c r="AA32" s="182"/>
      <c r="AB32" s="187"/>
      <c r="AC32" s="188"/>
      <c r="AD32" s="190"/>
      <c r="AE32" s="192"/>
      <c r="AF32" s="192"/>
      <c r="AG32" s="191"/>
      <c r="AH32" s="195"/>
    </row>
    <row r="33" spans="1:35" s="56" customFormat="1" ht="22.95" customHeight="1" x14ac:dyDescent="0.25">
      <c r="A33" s="176"/>
      <c r="B33" s="179"/>
      <c r="C33" s="179"/>
      <c r="D33" s="179"/>
      <c r="E33" s="43"/>
      <c r="F33" s="91"/>
      <c r="G33" s="167" t="s">
        <v>39</v>
      </c>
      <c r="H33" s="168"/>
      <c r="I33" s="168"/>
      <c r="J33" s="168"/>
      <c r="K33" s="168"/>
      <c r="L33" s="168"/>
      <c r="M33" s="168"/>
      <c r="N33" s="168"/>
      <c r="O33" s="169"/>
      <c r="P33" s="169"/>
      <c r="Q33" s="169"/>
      <c r="R33" s="170"/>
      <c r="S33" s="171"/>
      <c r="T33" s="83">
        <f>SUM(T3:T32)</f>
        <v>25.180462135999996</v>
      </c>
      <c r="U33" s="84"/>
      <c r="V33" s="85"/>
      <c r="W33" s="85"/>
      <c r="X33" s="86"/>
      <c r="Y33" s="86"/>
      <c r="Z33" s="87">
        <f>SUM(Z3:Z32)</f>
        <v>9.5800000000000018</v>
      </c>
      <c r="AA33" s="87">
        <f>(T33+Z33)*AA3</f>
        <v>38.236508349600001</v>
      </c>
      <c r="AB33" s="172">
        <v>1</v>
      </c>
      <c r="AC33" s="173"/>
      <c r="AD33" s="59">
        <f>AA33+AB33</f>
        <v>39.236508349600001</v>
      </c>
      <c r="AE33" s="88"/>
      <c r="AF33" s="88"/>
      <c r="AG33" s="89"/>
      <c r="AH33" s="94">
        <v>47.32</v>
      </c>
      <c r="AI33" s="95">
        <f>(AD33-AH33)/AD33</f>
        <v>-0.20601964829223665</v>
      </c>
    </row>
    <row r="34" spans="1:35" s="56" customFormat="1" ht="30.6" customHeight="1" x14ac:dyDescent="0.25">
      <c r="A34" s="174">
        <v>1</v>
      </c>
      <c r="B34" s="177" t="s">
        <v>141</v>
      </c>
      <c r="C34" s="177" t="s">
        <v>214</v>
      </c>
      <c r="D34" s="177" t="s">
        <v>186</v>
      </c>
      <c r="E34" s="43">
        <v>1</v>
      </c>
      <c r="F34" s="43"/>
      <c r="G34" s="44" t="s">
        <v>144</v>
      </c>
      <c r="H34" s="43" t="s">
        <v>145</v>
      </c>
      <c r="I34" s="43">
        <v>1</v>
      </c>
      <c r="J34" s="45" t="s">
        <v>146</v>
      </c>
      <c r="K34" s="46"/>
      <c r="L34" s="47"/>
      <c r="M34" s="46"/>
      <c r="N34" s="46" t="s">
        <v>147</v>
      </c>
      <c r="O34" s="48">
        <v>0.41799999999999998</v>
      </c>
      <c r="P34" s="48">
        <v>0.41199999999999998</v>
      </c>
      <c r="Q34" s="49">
        <f>O34-P34</f>
        <v>6.0000000000000053E-3</v>
      </c>
      <c r="R34" s="50">
        <v>4.3899999999999997</v>
      </c>
      <c r="S34" s="50">
        <v>2.2000000000000002</v>
      </c>
      <c r="T34" s="51">
        <f>(O34*R34-Q34*S34)*I34</f>
        <v>1.8218199999999998</v>
      </c>
      <c r="U34" s="52" t="s">
        <v>148</v>
      </c>
      <c r="V34" s="52"/>
      <c r="W34" s="53">
        <v>1</v>
      </c>
      <c r="X34" s="54">
        <v>0.06</v>
      </c>
      <c r="Y34" s="54">
        <v>1</v>
      </c>
      <c r="Z34" s="55">
        <f>W34*X34/Y34</f>
        <v>0.06</v>
      </c>
      <c r="AA34" s="180">
        <v>1.1000000000000001</v>
      </c>
      <c r="AB34" s="183" t="s">
        <v>192</v>
      </c>
      <c r="AC34" s="184"/>
      <c r="AD34" s="189"/>
      <c r="AE34" s="191"/>
      <c r="AF34" s="191"/>
      <c r="AG34" s="191"/>
      <c r="AH34" s="193"/>
    </row>
    <row r="35" spans="1:35" s="56" customFormat="1" ht="30.6" customHeight="1" x14ac:dyDescent="0.25">
      <c r="A35" s="175"/>
      <c r="B35" s="178"/>
      <c r="C35" s="178"/>
      <c r="D35" s="178"/>
      <c r="E35" s="43"/>
      <c r="F35" s="43"/>
      <c r="G35" s="43"/>
      <c r="H35" s="43"/>
      <c r="I35" s="43"/>
      <c r="J35" s="57"/>
      <c r="K35" s="46"/>
      <c r="L35" s="47"/>
      <c r="M35" s="46"/>
      <c r="N35" s="46"/>
      <c r="O35" s="58"/>
      <c r="P35" s="58"/>
      <c r="Q35" s="49"/>
      <c r="R35" s="51"/>
      <c r="S35" s="51"/>
      <c r="T35" s="51"/>
      <c r="U35" s="52" t="s">
        <v>149</v>
      </c>
      <c r="V35" s="52"/>
      <c r="W35" s="53">
        <v>2</v>
      </c>
      <c r="X35" s="54">
        <v>0.05</v>
      </c>
      <c r="Y35" s="54">
        <v>1</v>
      </c>
      <c r="Z35" s="54">
        <f t="shared" ref="Z35" si="7">W35*X35/Y35</f>
        <v>0.1</v>
      </c>
      <c r="AA35" s="181"/>
      <c r="AB35" s="185"/>
      <c r="AC35" s="186"/>
      <c r="AD35" s="190"/>
      <c r="AE35" s="191"/>
      <c r="AF35" s="191"/>
      <c r="AG35" s="191"/>
      <c r="AH35" s="194"/>
    </row>
    <row r="36" spans="1:35" s="56" customFormat="1" ht="30.6" customHeight="1" x14ac:dyDescent="0.25">
      <c r="A36" s="175"/>
      <c r="B36" s="178"/>
      <c r="C36" s="178"/>
      <c r="D36" s="178"/>
      <c r="E36" s="43"/>
      <c r="F36" s="43"/>
      <c r="G36" s="43"/>
      <c r="H36" s="43"/>
      <c r="I36" s="43"/>
      <c r="J36" s="57"/>
      <c r="K36" s="46"/>
      <c r="L36" s="47"/>
      <c r="M36" s="46"/>
      <c r="N36" s="46"/>
      <c r="O36" s="58"/>
      <c r="P36" s="58"/>
      <c r="Q36" s="49"/>
      <c r="R36" s="51"/>
      <c r="S36" s="51"/>
      <c r="T36" s="51"/>
      <c r="U36" s="52" t="s">
        <v>150</v>
      </c>
      <c r="V36" s="52" t="s">
        <v>51</v>
      </c>
      <c r="W36" s="53">
        <v>2</v>
      </c>
      <c r="X36" s="54">
        <v>0.04</v>
      </c>
      <c r="Y36" s="54">
        <v>1</v>
      </c>
      <c r="Z36" s="55">
        <v>0.06</v>
      </c>
      <c r="AA36" s="181"/>
      <c r="AB36" s="185"/>
      <c r="AC36" s="186"/>
      <c r="AD36" s="190"/>
      <c r="AE36" s="191"/>
      <c r="AF36" s="191"/>
      <c r="AG36" s="191"/>
      <c r="AH36" s="194"/>
    </row>
    <row r="37" spans="1:35" s="56" customFormat="1" ht="30.6" customHeight="1" x14ac:dyDescent="0.25">
      <c r="A37" s="175"/>
      <c r="B37" s="178"/>
      <c r="C37" s="178"/>
      <c r="D37" s="178"/>
      <c r="E37" s="43"/>
      <c r="F37" s="43"/>
      <c r="G37" s="43"/>
      <c r="H37" s="43"/>
      <c r="I37" s="43"/>
      <c r="J37" s="57"/>
      <c r="K37" s="46"/>
      <c r="L37" s="47"/>
      <c r="M37" s="46"/>
      <c r="N37" s="46"/>
      <c r="O37" s="58"/>
      <c r="P37" s="58"/>
      <c r="Q37" s="49"/>
      <c r="R37" s="51"/>
      <c r="S37" s="51"/>
      <c r="T37" s="51"/>
      <c r="U37" s="52" t="s">
        <v>151</v>
      </c>
      <c r="V37" s="52" t="s">
        <v>50</v>
      </c>
      <c r="W37" s="53">
        <v>2</v>
      </c>
      <c r="X37" s="54">
        <v>0.03</v>
      </c>
      <c r="Y37" s="54">
        <v>1</v>
      </c>
      <c r="Z37" s="54">
        <f t="shared" ref="Z37:Z41" si="8">W37*X37/Y37</f>
        <v>0.06</v>
      </c>
      <c r="AA37" s="181"/>
      <c r="AB37" s="185"/>
      <c r="AC37" s="186"/>
      <c r="AD37" s="190"/>
      <c r="AE37" s="191"/>
      <c r="AF37" s="191"/>
      <c r="AG37" s="191"/>
      <c r="AH37" s="194"/>
    </row>
    <row r="38" spans="1:35" s="56" customFormat="1" ht="36.6" customHeight="1" x14ac:dyDescent="0.25">
      <c r="A38" s="175"/>
      <c r="B38" s="178"/>
      <c r="C38" s="178"/>
      <c r="D38" s="178"/>
      <c r="E38" s="43">
        <v>2</v>
      </c>
      <c r="F38" s="43"/>
      <c r="G38" s="44" t="s">
        <v>152</v>
      </c>
      <c r="H38" s="43" t="s">
        <v>145</v>
      </c>
      <c r="I38" s="43">
        <v>1</v>
      </c>
      <c r="J38" s="45" t="s">
        <v>153</v>
      </c>
      <c r="K38" s="60"/>
      <c r="L38" s="46"/>
      <c r="M38" s="46"/>
      <c r="N38" s="46" t="s">
        <v>154</v>
      </c>
      <c r="O38" s="61">
        <f>15*1.8*260*7.85/1000000</f>
        <v>5.5107000000000003E-2</v>
      </c>
      <c r="P38" s="61">
        <f>15*1.8*260*7.85/1000000</f>
        <v>5.5107000000000003E-2</v>
      </c>
      <c r="Q38" s="49">
        <f>O38-P38</f>
        <v>0</v>
      </c>
      <c r="R38" s="51">
        <v>5</v>
      </c>
      <c r="S38" s="51">
        <v>2.65</v>
      </c>
      <c r="T38" s="51">
        <f>(O38*R38-Q38*S38)*I38</f>
        <v>0.27553500000000003</v>
      </c>
      <c r="U38" s="62" t="s">
        <v>155</v>
      </c>
      <c r="V38" s="53" t="s">
        <v>50</v>
      </c>
      <c r="W38" s="53">
        <v>1</v>
      </c>
      <c r="X38" s="54">
        <v>0.03</v>
      </c>
      <c r="Y38" s="54">
        <v>1</v>
      </c>
      <c r="Z38" s="54">
        <f t="shared" si="8"/>
        <v>0.03</v>
      </c>
      <c r="AA38" s="181"/>
      <c r="AB38" s="185"/>
      <c r="AC38" s="186"/>
      <c r="AD38" s="190"/>
      <c r="AE38" s="192"/>
      <c r="AF38" s="192"/>
      <c r="AG38" s="191"/>
      <c r="AH38" s="194"/>
    </row>
    <row r="39" spans="1:35" s="56" customFormat="1" ht="25.95" customHeight="1" x14ac:dyDescent="0.25">
      <c r="A39" s="175"/>
      <c r="B39" s="178"/>
      <c r="C39" s="178"/>
      <c r="D39" s="178"/>
      <c r="E39" s="43">
        <v>3</v>
      </c>
      <c r="F39" s="43"/>
      <c r="G39" s="44" t="s">
        <v>156</v>
      </c>
      <c r="H39" s="43" t="s">
        <v>145</v>
      </c>
      <c r="I39" s="43">
        <v>1</v>
      </c>
      <c r="J39" s="57" t="s">
        <v>157</v>
      </c>
      <c r="K39" s="46"/>
      <c r="L39" s="46"/>
      <c r="M39" s="46"/>
      <c r="N39" s="46" t="s">
        <v>147</v>
      </c>
      <c r="O39" s="63">
        <v>1.9930000000000001</v>
      </c>
      <c r="P39" s="63">
        <v>1.9850000000000001</v>
      </c>
      <c r="Q39" s="49">
        <f>O39-P39</f>
        <v>8.0000000000000071E-3</v>
      </c>
      <c r="R39" s="50">
        <v>4.3899999999999997</v>
      </c>
      <c r="S39" s="50">
        <v>2.2000000000000002</v>
      </c>
      <c r="T39" s="51">
        <f>(O39*R39-Q39*S39)*I39</f>
        <v>8.7316699999999994</v>
      </c>
      <c r="U39" s="62" t="s">
        <v>148</v>
      </c>
      <c r="V39" s="53"/>
      <c r="W39" s="53">
        <v>1</v>
      </c>
      <c r="X39" s="55">
        <v>0.08</v>
      </c>
      <c r="Y39" s="54">
        <v>1</v>
      </c>
      <c r="Z39" s="54">
        <f t="shared" si="8"/>
        <v>0.08</v>
      </c>
      <c r="AA39" s="181"/>
      <c r="AB39" s="185"/>
      <c r="AC39" s="186"/>
      <c r="AD39" s="190"/>
      <c r="AE39" s="192"/>
      <c r="AF39" s="192"/>
      <c r="AG39" s="191"/>
      <c r="AH39" s="194"/>
    </row>
    <row r="40" spans="1:35" s="56" customFormat="1" ht="25.95" customHeight="1" x14ac:dyDescent="0.25">
      <c r="A40" s="175"/>
      <c r="B40" s="178"/>
      <c r="C40" s="178"/>
      <c r="D40" s="178"/>
      <c r="E40" s="43"/>
      <c r="F40" s="43"/>
      <c r="G40" s="43"/>
      <c r="H40" s="43"/>
      <c r="I40" s="43"/>
      <c r="J40" s="57"/>
      <c r="K40" s="46"/>
      <c r="L40" s="46"/>
      <c r="M40" s="46"/>
      <c r="N40" s="46"/>
      <c r="O40" s="61"/>
      <c r="P40" s="61"/>
      <c r="Q40" s="49"/>
      <c r="R40" s="51"/>
      <c r="S40" s="51"/>
      <c r="T40" s="51"/>
      <c r="U40" s="62" t="s">
        <v>158</v>
      </c>
      <c r="V40" s="53"/>
      <c r="W40" s="53">
        <v>4</v>
      </c>
      <c r="X40" s="54">
        <v>0.05</v>
      </c>
      <c r="Y40" s="54">
        <v>1</v>
      </c>
      <c r="Z40" s="54">
        <f t="shared" si="8"/>
        <v>0.2</v>
      </c>
      <c r="AA40" s="181"/>
      <c r="AB40" s="185"/>
      <c r="AC40" s="186"/>
      <c r="AD40" s="190"/>
      <c r="AE40" s="192"/>
      <c r="AF40" s="192"/>
      <c r="AG40" s="191"/>
      <c r="AH40" s="194"/>
    </row>
    <row r="41" spans="1:35" s="56" customFormat="1" ht="25.95" customHeight="1" x14ac:dyDescent="0.25">
      <c r="A41" s="175"/>
      <c r="B41" s="178"/>
      <c r="C41" s="178"/>
      <c r="D41" s="178"/>
      <c r="E41" s="43"/>
      <c r="F41" s="43"/>
      <c r="G41" s="43"/>
      <c r="H41" s="43"/>
      <c r="I41" s="43"/>
      <c r="J41" s="57"/>
      <c r="K41" s="46"/>
      <c r="L41" s="46"/>
      <c r="M41" s="46"/>
      <c r="N41" s="46"/>
      <c r="O41" s="61"/>
      <c r="P41" s="61"/>
      <c r="Q41" s="49"/>
      <c r="R41" s="51"/>
      <c r="S41" s="51"/>
      <c r="T41" s="51"/>
      <c r="U41" s="64" t="s">
        <v>159</v>
      </c>
      <c r="V41" s="65"/>
      <c r="W41" s="65">
        <v>1</v>
      </c>
      <c r="X41" s="55">
        <v>0.05</v>
      </c>
      <c r="Y41" s="55">
        <v>1</v>
      </c>
      <c r="Z41" s="55">
        <f t="shared" si="8"/>
        <v>0.05</v>
      </c>
      <c r="AA41" s="181"/>
      <c r="AB41" s="185"/>
      <c r="AC41" s="186"/>
      <c r="AD41" s="190"/>
      <c r="AE41" s="192"/>
      <c r="AF41" s="192"/>
      <c r="AG41" s="191"/>
      <c r="AH41" s="194"/>
    </row>
    <row r="42" spans="1:35" s="56" customFormat="1" ht="25.95" customHeight="1" x14ac:dyDescent="0.25">
      <c r="A42" s="175"/>
      <c r="B42" s="178"/>
      <c r="C42" s="178"/>
      <c r="D42" s="178"/>
      <c r="E42" s="43"/>
      <c r="F42" s="43"/>
      <c r="G42" s="43"/>
      <c r="H42" s="43"/>
      <c r="I42" s="43"/>
      <c r="J42" s="57"/>
      <c r="K42" s="46"/>
      <c r="L42" s="46"/>
      <c r="M42" s="46"/>
      <c r="N42" s="46"/>
      <c r="O42" s="61"/>
      <c r="P42" s="61"/>
      <c r="Q42" s="49"/>
      <c r="R42" s="51"/>
      <c r="S42" s="51"/>
      <c r="T42" s="51"/>
      <c r="U42" s="62" t="s">
        <v>160</v>
      </c>
      <c r="V42" s="53" t="s">
        <v>52</v>
      </c>
      <c r="W42" s="53">
        <v>2</v>
      </c>
      <c r="X42" s="54"/>
      <c r="Y42" s="54"/>
      <c r="Z42" s="55">
        <v>0.06</v>
      </c>
      <c r="AA42" s="181"/>
      <c r="AB42" s="185"/>
      <c r="AC42" s="186"/>
      <c r="AD42" s="190"/>
      <c r="AE42" s="192"/>
      <c r="AF42" s="192"/>
      <c r="AG42" s="191"/>
      <c r="AH42" s="194"/>
    </row>
    <row r="43" spans="1:35" s="56" customFormat="1" ht="25.95" customHeight="1" x14ac:dyDescent="0.25">
      <c r="A43" s="175"/>
      <c r="B43" s="178"/>
      <c r="C43" s="178"/>
      <c r="D43" s="178"/>
      <c r="E43" s="43"/>
      <c r="F43" s="43"/>
      <c r="G43" s="43"/>
      <c r="H43" s="43"/>
      <c r="I43" s="43"/>
      <c r="J43" s="57"/>
      <c r="K43" s="46"/>
      <c r="L43" s="46"/>
      <c r="M43" s="46"/>
      <c r="N43" s="46"/>
      <c r="O43" s="61"/>
      <c r="P43" s="61"/>
      <c r="Q43" s="49"/>
      <c r="R43" s="51"/>
      <c r="S43" s="51"/>
      <c r="T43" s="51"/>
      <c r="U43" s="62" t="s">
        <v>151</v>
      </c>
      <c r="V43" s="53" t="s">
        <v>50</v>
      </c>
      <c r="W43" s="53">
        <v>4</v>
      </c>
      <c r="X43" s="54"/>
      <c r="Y43" s="54"/>
      <c r="Z43" s="55">
        <v>0.06</v>
      </c>
      <c r="AA43" s="181"/>
      <c r="AB43" s="185"/>
      <c r="AC43" s="186"/>
      <c r="AD43" s="190"/>
      <c r="AE43" s="192"/>
      <c r="AF43" s="192"/>
      <c r="AG43" s="191"/>
      <c r="AH43" s="194"/>
    </row>
    <row r="44" spans="1:35" s="56" customFormat="1" ht="25.95" customHeight="1" x14ac:dyDescent="0.25">
      <c r="A44" s="175"/>
      <c r="B44" s="178"/>
      <c r="C44" s="178"/>
      <c r="D44" s="178"/>
      <c r="E44" s="43"/>
      <c r="F44" s="43"/>
      <c r="G44" s="43"/>
      <c r="H44" s="43"/>
      <c r="I44" s="43"/>
      <c r="J44" s="57"/>
      <c r="K44" s="46"/>
      <c r="L44" s="46"/>
      <c r="M44" s="46"/>
      <c r="N44" s="46"/>
      <c r="O44" s="61"/>
      <c r="P44" s="61"/>
      <c r="Q44" s="49"/>
      <c r="R44" s="51"/>
      <c r="S44" s="51"/>
      <c r="T44" s="51"/>
      <c r="U44" s="62" t="s">
        <v>161</v>
      </c>
      <c r="V44" s="53" t="s">
        <v>49</v>
      </c>
      <c r="W44" s="53">
        <v>3</v>
      </c>
      <c r="X44" s="54">
        <v>0.03</v>
      </c>
      <c r="Y44" s="54">
        <v>1</v>
      </c>
      <c r="Z44" s="54">
        <f t="shared" ref="Z44:Z46" si="9">W44*X44/Y44</f>
        <v>0.09</v>
      </c>
      <c r="AA44" s="181"/>
      <c r="AB44" s="185"/>
      <c r="AC44" s="186"/>
      <c r="AD44" s="190"/>
      <c r="AE44" s="192"/>
      <c r="AF44" s="192"/>
      <c r="AG44" s="191"/>
      <c r="AH44" s="194"/>
    </row>
    <row r="45" spans="1:35" s="56" customFormat="1" ht="25.95" customHeight="1" x14ac:dyDescent="0.25">
      <c r="A45" s="175"/>
      <c r="B45" s="178"/>
      <c r="C45" s="178"/>
      <c r="D45" s="178"/>
      <c r="E45" s="43">
        <v>4</v>
      </c>
      <c r="F45" s="43"/>
      <c r="G45" s="66" t="s">
        <v>162</v>
      </c>
      <c r="H45" s="66" t="s">
        <v>145</v>
      </c>
      <c r="I45" s="66">
        <v>1</v>
      </c>
      <c r="J45" s="67" t="s">
        <v>163</v>
      </c>
      <c r="K45" s="68">
        <f>I45*P45</f>
        <v>0.1</v>
      </c>
      <c r="L45" s="69"/>
      <c r="M45" s="69"/>
      <c r="N45" s="69" t="s">
        <v>164</v>
      </c>
      <c r="O45" s="70"/>
      <c r="P45" s="70">
        <v>0.1</v>
      </c>
      <c r="Q45" s="71"/>
      <c r="R45" s="72">
        <f>7.9646</f>
        <v>7.9645999999999999</v>
      </c>
      <c r="S45" s="72"/>
      <c r="T45" s="72">
        <f>I45*P45*R45</f>
        <v>0.79646000000000006</v>
      </c>
      <c r="U45" s="73" t="s">
        <v>165</v>
      </c>
      <c r="V45" s="74"/>
      <c r="W45" s="74"/>
      <c r="X45" s="75"/>
      <c r="Y45" s="75"/>
      <c r="Z45" s="75"/>
      <c r="AA45" s="181"/>
      <c r="AB45" s="185"/>
      <c r="AC45" s="186"/>
      <c r="AD45" s="190"/>
      <c r="AE45" s="192"/>
      <c r="AF45" s="192"/>
      <c r="AG45" s="191"/>
      <c r="AH45" s="194"/>
    </row>
    <row r="46" spans="1:35" s="56" customFormat="1" ht="32.4" customHeight="1" x14ac:dyDescent="0.25">
      <c r="A46" s="175"/>
      <c r="B46" s="178"/>
      <c r="C46" s="178"/>
      <c r="D46" s="178"/>
      <c r="E46" s="43">
        <v>5</v>
      </c>
      <c r="F46" s="43"/>
      <c r="G46" s="44" t="s">
        <v>166</v>
      </c>
      <c r="H46" s="43" t="s">
        <v>145</v>
      </c>
      <c r="I46" s="43">
        <v>1</v>
      </c>
      <c r="J46" s="57" t="s">
        <v>167</v>
      </c>
      <c r="K46" s="47">
        <f t="shared" ref="K46:K47" si="10">I46*P46</f>
        <v>0.41399999999999998</v>
      </c>
      <c r="L46" s="46"/>
      <c r="M46" s="46"/>
      <c r="N46" s="46" t="s">
        <v>154</v>
      </c>
      <c r="O46" s="63">
        <v>0.41899999999999998</v>
      </c>
      <c r="P46" s="63">
        <v>0.41399999999999998</v>
      </c>
      <c r="Q46" s="49">
        <f>O46-P46</f>
        <v>5.0000000000000044E-3</v>
      </c>
      <c r="R46" s="50">
        <v>4.3899999999999997</v>
      </c>
      <c r="S46" s="50">
        <v>2.2000000000000002</v>
      </c>
      <c r="T46" s="51">
        <f>(O46*R46-Q46*S46)*I46</f>
        <v>1.8284099999999996</v>
      </c>
      <c r="U46" s="62" t="s">
        <v>155</v>
      </c>
      <c r="V46" s="53"/>
      <c r="W46" s="53">
        <v>1</v>
      </c>
      <c r="X46" s="54">
        <v>0.06</v>
      </c>
      <c r="Y46" s="54">
        <v>1</v>
      </c>
      <c r="Z46" s="55">
        <f t="shared" si="9"/>
        <v>0.06</v>
      </c>
      <c r="AA46" s="181"/>
      <c r="AB46" s="185"/>
      <c r="AC46" s="186"/>
      <c r="AD46" s="190"/>
      <c r="AE46" s="192"/>
      <c r="AF46" s="192"/>
      <c r="AG46" s="191"/>
      <c r="AH46" s="194"/>
    </row>
    <row r="47" spans="1:35" s="56" customFormat="1" ht="32.4" customHeight="1" x14ac:dyDescent="0.25">
      <c r="A47" s="175"/>
      <c r="B47" s="178"/>
      <c r="C47" s="178"/>
      <c r="D47" s="178"/>
      <c r="E47" s="43"/>
      <c r="F47" s="43"/>
      <c r="G47" s="43"/>
      <c r="H47" s="43"/>
      <c r="I47" s="43"/>
      <c r="J47" s="57"/>
      <c r="K47" s="47">
        <f t="shared" si="10"/>
        <v>0</v>
      </c>
      <c r="L47" s="46"/>
      <c r="M47" s="46"/>
      <c r="N47" s="46"/>
      <c r="O47" s="61"/>
      <c r="P47" s="61"/>
      <c r="Q47" s="49"/>
      <c r="R47" s="51"/>
      <c r="S47" s="51"/>
      <c r="T47" s="51"/>
      <c r="U47" s="62" t="s">
        <v>160</v>
      </c>
      <c r="V47" s="53" t="s">
        <v>52</v>
      </c>
      <c r="W47" s="53">
        <v>2</v>
      </c>
      <c r="X47" s="54">
        <v>0.05</v>
      </c>
      <c r="Y47" s="54">
        <v>1</v>
      </c>
      <c r="Z47" s="54">
        <v>0.06</v>
      </c>
      <c r="AA47" s="181"/>
      <c r="AB47" s="185"/>
      <c r="AC47" s="186"/>
      <c r="AD47" s="190"/>
      <c r="AE47" s="192"/>
      <c r="AF47" s="192"/>
      <c r="AG47" s="191"/>
      <c r="AH47" s="194"/>
    </row>
    <row r="48" spans="1:35" s="56" customFormat="1" ht="32.4" customHeight="1" x14ac:dyDescent="0.25">
      <c r="A48" s="175"/>
      <c r="B48" s="178"/>
      <c r="C48" s="178"/>
      <c r="D48" s="178"/>
      <c r="E48" s="43"/>
      <c r="F48" s="43"/>
      <c r="G48" s="43"/>
      <c r="H48" s="43"/>
      <c r="I48" s="43"/>
      <c r="J48" s="57"/>
      <c r="K48" s="47"/>
      <c r="L48" s="46"/>
      <c r="M48" s="46"/>
      <c r="N48" s="46"/>
      <c r="O48" s="61"/>
      <c r="P48" s="61"/>
      <c r="Q48" s="49"/>
      <c r="R48" s="51"/>
      <c r="S48" s="51"/>
      <c r="T48" s="51"/>
      <c r="U48" s="64" t="s">
        <v>168</v>
      </c>
      <c r="V48" s="65" t="s">
        <v>49</v>
      </c>
      <c r="W48" s="65">
        <v>2</v>
      </c>
      <c r="X48" s="55">
        <v>0.03</v>
      </c>
      <c r="Y48" s="55">
        <v>1</v>
      </c>
      <c r="Z48" s="55">
        <f t="shared" ref="Z48:Z49" si="11">W48*X48/Y48</f>
        <v>0.06</v>
      </c>
      <c r="AA48" s="181"/>
      <c r="AB48" s="185"/>
      <c r="AC48" s="186"/>
      <c r="AD48" s="190"/>
      <c r="AE48" s="192"/>
      <c r="AF48" s="192"/>
      <c r="AG48" s="191"/>
      <c r="AH48" s="194"/>
    </row>
    <row r="49" spans="1:35" s="56" customFormat="1" ht="32.4" customHeight="1" x14ac:dyDescent="0.25">
      <c r="A49" s="175"/>
      <c r="B49" s="178"/>
      <c r="C49" s="178"/>
      <c r="D49" s="178"/>
      <c r="E49" s="43">
        <v>8</v>
      </c>
      <c r="F49" s="43"/>
      <c r="G49" s="44" t="s">
        <v>172</v>
      </c>
      <c r="H49" s="43" t="s">
        <v>173</v>
      </c>
      <c r="I49" s="43">
        <v>1</v>
      </c>
      <c r="J49" s="57" t="s">
        <v>167</v>
      </c>
      <c r="K49" s="47">
        <f t="shared" ref="K49:K50" si="12">I49*P49</f>
        <v>0.41399999999999998</v>
      </c>
      <c r="L49" s="46"/>
      <c r="M49" s="46"/>
      <c r="N49" s="46" t="s">
        <v>147</v>
      </c>
      <c r="O49" s="63">
        <v>0.41899999999999998</v>
      </c>
      <c r="P49" s="63">
        <v>0.41399999999999998</v>
      </c>
      <c r="Q49" s="49">
        <f>O49-P49</f>
        <v>5.0000000000000044E-3</v>
      </c>
      <c r="R49" s="50">
        <v>4.3899999999999997</v>
      </c>
      <c r="S49" s="50">
        <v>2.2000000000000002</v>
      </c>
      <c r="T49" s="51">
        <f>(O49*R49-Q49*S49)*I49</f>
        <v>1.8284099999999996</v>
      </c>
      <c r="U49" s="62" t="s">
        <v>155</v>
      </c>
      <c r="V49" s="53"/>
      <c r="W49" s="53">
        <v>1</v>
      </c>
      <c r="X49" s="54">
        <v>0.06</v>
      </c>
      <c r="Y49" s="54">
        <v>1</v>
      </c>
      <c r="Z49" s="55">
        <f t="shared" si="11"/>
        <v>0.06</v>
      </c>
      <c r="AA49" s="181"/>
      <c r="AB49" s="185"/>
      <c r="AC49" s="186"/>
      <c r="AD49" s="190"/>
      <c r="AE49" s="192"/>
      <c r="AF49" s="192"/>
      <c r="AG49" s="191"/>
      <c r="AH49" s="194"/>
    </row>
    <row r="50" spans="1:35" s="56" customFormat="1" ht="32.4" customHeight="1" x14ac:dyDescent="0.25">
      <c r="A50" s="175"/>
      <c r="B50" s="178"/>
      <c r="C50" s="178"/>
      <c r="D50" s="178"/>
      <c r="E50" s="43"/>
      <c r="F50" s="43"/>
      <c r="G50" s="43"/>
      <c r="H50" s="43"/>
      <c r="I50" s="43"/>
      <c r="J50" s="57"/>
      <c r="K50" s="47">
        <f t="shared" si="12"/>
        <v>0</v>
      </c>
      <c r="L50" s="46"/>
      <c r="M50" s="46"/>
      <c r="N50" s="46"/>
      <c r="O50" s="61"/>
      <c r="P50" s="61"/>
      <c r="Q50" s="49"/>
      <c r="R50" s="51"/>
      <c r="S50" s="51"/>
      <c r="T50" s="51"/>
      <c r="U50" s="62" t="s">
        <v>160</v>
      </c>
      <c r="V50" s="53" t="s">
        <v>52</v>
      </c>
      <c r="W50" s="53">
        <v>2</v>
      </c>
      <c r="X50" s="54">
        <v>0.05</v>
      </c>
      <c r="Y50" s="54">
        <v>1</v>
      </c>
      <c r="Z50" s="54">
        <v>0.06</v>
      </c>
      <c r="AA50" s="181"/>
      <c r="AB50" s="185"/>
      <c r="AC50" s="186"/>
      <c r="AD50" s="190"/>
      <c r="AE50" s="192"/>
      <c r="AF50" s="192"/>
      <c r="AG50" s="191"/>
      <c r="AH50" s="194"/>
    </row>
    <row r="51" spans="1:35" s="56" customFormat="1" ht="32.4" customHeight="1" x14ac:dyDescent="0.25">
      <c r="A51" s="175"/>
      <c r="B51" s="178"/>
      <c r="C51" s="178"/>
      <c r="D51" s="178"/>
      <c r="E51" s="43"/>
      <c r="F51" s="43"/>
      <c r="G51" s="43"/>
      <c r="H51" s="43"/>
      <c r="I51" s="43"/>
      <c r="J51" s="57"/>
      <c r="K51" s="47"/>
      <c r="L51" s="46"/>
      <c r="M51" s="46"/>
      <c r="N51" s="46"/>
      <c r="O51" s="61"/>
      <c r="P51" s="61"/>
      <c r="Q51" s="49"/>
      <c r="R51" s="51"/>
      <c r="S51" s="51"/>
      <c r="T51" s="51"/>
      <c r="U51" s="64" t="s">
        <v>168</v>
      </c>
      <c r="V51" s="65" t="s">
        <v>49</v>
      </c>
      <c r="W51" s="65">
        <v>2</v>
      </c>
      <c r="X51" s="55">
        <v>0.03</v>
      </c>
      <c r="Y51" s="55">
        <v>1</v>
      </c>
      <c r="Z51" s="55">
        <f t="shared" ref="Z51" si="13">W51*X51/Y51</f>
        <v>0.06</v>
      </c>
      <c r="AA51" s="181"/>
      <c r="AB51" s="185"/>
      <c r="AC51" s="186"/>
      <c r="AD51" s="190"/>
      <c r="AE51" s="192"/>
      <c r="AF51" s="192"/>
      <c r="AG51" s="191"/>
      <c r="AH51" s="194"/>
    </row>
    <row r="52" spans="1:35" s="77" customFormat="1" ht="32.4" customHeight="1" x14ac:dyDescent="0.25">
      <c r="A52" s="175"/>
      <c r="B52" s="178"/>
      <c r="C52" s="178"/>
      <c r="D52" s="178"/>
      <c r="E52" s="43">
        <v>9</v>
      </c>
      <c r="F52" s="43"/>
      <c r="G52" s="44" t="s">
        <v>174</v>
      </c>
      <c r="H52" s="43" t="s">
        <v>145</v>
      </c>
      <c r="I52" s="43">
        <v>2</v>
      </c>
      <c r="J52" s="57" t="s">
        <v>175</v>
      </c>
      <c r="K52" s="47">
        <f t="shared" ref="K52:K55" si="14">I52*P52</f>
        <v>0.38400000000000001</v>
      </c>
      <c r="L52" s="46"/>
      <c r="M52" s="46"/>
      <c r="N52" s="46" t="s">
        <v>176</v>
      </c>
      <c r="O52" s="61"/>
      <c r="P52" s="61">
        <v>0.192</v>
      </c>
      <c r="Q52" s="49"/>
      <c r="R52" s="51">
        <v>7.9649999999999999</v>
      </c>
      <c r="S52" s="51"/>
      <c r="T52" s="51">
        <v>3</v>
      </c>
      <c r="U52" s="62"/>
      <c r="V52" s="53"/>
      <c r="W52" s="53"/>
      <c r="X52" s="54"/>
      <c r="Y52" s="54"/>
      <c r="Z52" s="54"/>
      <c r="AA52" s="181"/>
      <c r="AB52" s="185"/>
      <c r="AC52" s="186"/>
      <c r="AD52" s="190"/>
      <c r="AE52" s="192"/>
      <c r="AF52" s="192"/>
      <c r="AG52" s="191"/>
      <c r="AH52" s="194"/>
    </row>
    <row r="53" spans="1:35" s="77" customFormat="1" ht="32.4" customHeight="1" x14ac:dyDescent="0.25">
      <c r="A53" s="175"/>
      <c r="B53" s="178"/>
      <c r="C53" s="178"/>
      <c r="D53" s="178"/>
      <c r="E53" s="43">
        <v>10</v>
      </c>
      <c r="F53" s="43"/>
      <c r="G53" s="44" t="s">
        <v>177</v>
      </c>
      <c r="H53" s="43" t="s">
        <v>173</v>
      </c>
      <c r="I53" s="43">
        <v>2</v>
      </c>
      <c r="J53" s="45" t="s">
        <v>178</v>
      </c>
      <c r="K53" s="47">
        <f t="shared" si="14"/>
        <v>0.65694240000000004</v>
      </c>
      <c r="L53" s="46"/>
      <c r="M53" s="46"/>
      <c r="N53" s="46" t="s">
        <v>147</v>
      </c>
      <c r="O53" s="78"/>
      <c r="P53" s="63">
        <f>(20-2)*2*0.02466*0.37</f>
        <v>0.32847120000000002</v>
      </c>
      <c r="Q53" s="49"/>
      <c r="R53" s="50">
        <v>4.3899999999999997</v>
      </c>
      <c r="S53" s="51"/>
      <c r="T53" s="51">
        <f>I53*P53*R53</f>
        <v>2.8839771359999999</v>
      </c>
      <c r="U53" s="62" t="s">
        <v>148</v>
      </c>
      <c r="V53" s="53"/>
      <c r="W53" s="53">
        <v>2</v>
      </c>
      <c r="X53" s="54"/>
      <c r="Y53" s="54"/>
      <c r="Z53" s="55">
        <v>0.06</v>
      </c>
      <c r="AA53" s="181"/>
      <c r="AB53" s="185"/>
      <c r="AC53" s="186"/>
      <c r="AD53" s="190"/>
      <c r="AE53" s="192"/>
      <c r="AF53" s="192"/>
      <c r="AG53" s="191"/>
      <c r="AH53" s="194"/>
    </row>
    <row r="54" spans="1:35" s="77" customFormat="1" ht="32.4" customHeight="1" x14ac:dyDescent="0.25">
      <c r="A54" s="175"/>
      <c r="B54" s="178"/>
      <c r="C54" s="178"/>
      <c r="D54" s="178"/>
      <c r="E54" s="43">
        <v>11</v>
      </c>
      <c r="F54" s="43"/>
      <c r="G54" s="66" t="s">
        <v>195</v>
      </c>
      <c r="H54" s="66" t="s">
        <v>145</v>
      </c>
      <c r="I54" s="66">
        <v>1</v>
      </c>
      <c r="J54" s="67" t="s">
        <v>179</v>
      </c>
      <c r="K54" s="68">
        <f t="shared" si="14"/>
        <v>0.24</v>
      </c>
      <c r="L54" s="69"/>
      <c r="M54" s="69"/>
      <c r="N54" s="69" t="s">
        <v>180</v>
      </c>
      <c r="O54" s="70"/>
      <c r="P54" s="70">
        <v>0.24</v>
      </c>
      <c r="Q54" s="71"/>
      <c r="R54" s="72">
        <v>7.9649999999999999</v>
      </c>
      <c r="S54" s="72"/>
      <c r="T54" s="72">
        <f>P54*R54</f>
        <v>1.9116</v>
      </c>
      <c r="U54" s="73"/>
      <c r="V54" s="74"/>
      <c r="W54" s="74"/>
      <c r="X54" s="75"/>
      <c r="Y54" s="75"/>
      <c r="Z54" s="75"/>
      <c r="AA54" s="181"/>
      <c r="AB54" s="185"/>
      <c r="AC54" s="186"/>
      <c r="AD54" s="190"/>
      <c r="AE54" s="192"/>
      <c r="AF54" s="192"/>
      <c r="AG54" s="191"/>
      <c r="AH54" s="194"/>
    </row>
    <row r="55" spans="1:35" s="77" customFormat="1" ht="32.4" customHeight="1" x14ac:dyDescent="0.25">
      <c r="A55" s="175"/>
      <c r="B55" s="178"/>
      <c r="C55" s="178"/>
      <c r="D55" s="178"/>
      <c r="E55" s="43">
        <v>12</v>
      </c>
      <c r="F55" s="43"/>
      <c r="G55" s="43" t="s">
        <v>181</v>
      </c>
      <c r="H55" s="43" t="s">
        <v>173</v>
      </c>
      <c r="I55" s="43">
        <v>4</v>
      </c>
      <c r="J55" s="57"/>
      <c r="K55" s="47">
        <f t="shared" si="14"/>
        <v>0</v>
      </c>
      <c r="L55" s="46"/>
      <c r="M55" s="46"/>
      <c r="N55" s="46"/>
      <c r="O55" s="61"/>
      <c r="P55" s="61"/>
      <c r="Q55" s="49"/>
      <c r="R55" s="79">
        <v>0.09</v>
      </c>
      <c r="S55" s="79"/>
      <c r="T55" s="79">
        <v>0.36</v>
      </c>
      <c r="U55" s="62"/>
      <c r="V55" s="53"/>
      <c r="W55" s="53"/>
      <c r="X55" s="54"/>
      <c r="Y55" s="54"/>
      <c r="Z55" s="54"/>
      <c r="AA55" s="181"/>
      <c r="AB55" s="185"/>
      <c r="AC55" s="186"/>
      <c r="AD55" s="190"/>
      <c r="AE55" s="192"/>
      <c r="AF55" s="192"/>
      <c r="AG55" s="191"/>
      <c r="AH55" s="194"/>
    </row>
    <row r="56" spans="1:35" s="77" customFormat="1" ht="32.4" customHeight="1" x14ac:dyDescent="0.25">
      <c r="A56" s="175"/>
      <c r="B56" s="178"/>
      <c r="C56" s="178"/>
      <c r="D56" s="178"/>
      <c r="E56" s="43">
        <v>13</v>
      </c>
      <c r="F56" s="43"/>
      <c r="G56" s="43" t="s">
        <v>187</v>
      </c>
      <c r="H56" s="43" t="s">
        <v>145</v>
      </c>
      <c r="I56" s="43">
        <v>2</v>
      </c>
      <c r="J56" s="57" t="s">
        <v>80</v>
      </c>
      <c r="K56" s="46"/>
      <c r="L56" s="46"/>
      <c r="M56" s="46"/>
      <c r="N56" s="46" t="s">
        <v>188</v>
      </c>
      <c r="O56" s="61"/>
      <c r="P56" s="61"/>
      <c r="Q56" s="49"/>
      <c r="R56" s="51">
        <v>7.0000000000000007E-2</v>
      </c>
      <c r="S56" s="51"/>
      <c r="T56" s="79">
        <f>I56*R56</f>
        <v>0.14000000000000001</v>
      </c>
      <c r="U56" s="62" t="s">
        <v>2</v>
      </c>
      <c r="V56" s="53"/>
      <c r="W56" s="53">
        <v>12</v>
      </c>
      <c r="X56" s="54">
        <v>0.06</v>
      </c>
      <c r="Y56" s="54">
        <v>1</v>
      </c>
      <c r="Z56" s="54">
        <f>W56*X56/Y56</f>
        <v>0.72</v>
      </c>
      <c r="AA56" s="181"/>
      <c r="AB56" s="185"/>
      <c r="AC56" s="186"/>
      <c r="AD56" s="190"/>
      <c r="AE56" s="192"/>
      <c r="AF56" s="192"/>
      <c r="AG56" s="191"/>
      <c r="AH56" s="194"/>
    </row>
    <row r="57" spans="1:35" s="77" customFormat="1" ht="32.4" customHeight="1" x14ac:dyDescent="0.25">
      <c r="A57" s="175"/>
      <c r="B57" s="178"/>
      <c r="C57" s="178"/>
      <c r="D57" s="178"/>
      <c r="E57" s="43">
        <v>14</v>
      </c>
      <c r="F57" s="43"/>
      <c r="G57" s="43" t="s">
        <v>189</v>
      </c>
      <c r="H57" s="43" t="s">
        <v>145</v>
      </c>
      <c r="I57" s="43">
        <v>2</v>
      </c>
      <c r="J57" s="57" t="s">
        <v>80</v>
      </c>
      <c r="K57" s="46"/>
      <c r="L57" s="46"/>
      <c r="M57" s="46"/>
      <c r="N57" s="46" t="s">
        <v>188</v>
      </c>
      <c r="O57" s="61"/>
      <c r="P57" s="61"/>
      <c r="Q57" s="49"/>
      <c r="R57" s="51">
        <v>7.0000000000000007E-2</v>
      </c>
      <c r="S57" s="51"/>
      <c r="T57" s="79">
        <f>I57*R57</f>
        <v>0.14000000000000001</v>
      </c>
      <c r="U57" s="62"/>
      <c r="V57" s="53"/>
      <c r="W57" s="53"/>
      <c r="X57" s="54"/>
      <c r="Y57" s="54"/>
      <c r="Z57" s="54"/>
      <c r="AA57" s="181"/>
      <c r="AB57" s="185"/>
      <c r="AC57" s="186"/>
      <c r="AD57" s="190"/>
      <c r="AE57" s="192"/>
      <c r="AF57" s="192"/>
      <c r="AG57" s="191"/>
      <c r="AH57" s="194"/>
    </row>
    <row r="58" spans="1:35" s="77" customFormat="1" ht="32.4" customHeight="1" x14ac:dyDescent="0.25">
      <c r="A58" s="175"/>
      <c r="B58" s="178"/>
      <c r="C58" s="178"/>
      <c r="D58" s="178"/>
      <c r="E58" s="43">
        <v>15</v>
      </c>
      <c r="F58" s="43"/>
      <c r="G58" s="43" t="s">
        <v>190</v>
      </c>
      <c r="H58" s="43" t="s">
        <v>145</v>
      </c>
      <c r="I58" s="43">
        <v>1</v>
      </c>
      <c r="J58" s="57" t="s">
        <v>80</v>
      </c>
      <c r="K58" s="46"/>
      <c r="L58" s="46"/>
      <c r="M58" s="46"/>
      <c r="N58" s="46" t="s">
        <v>191</v>
      </c>
      <c r="O58" s="61"/>
      <c r="P58" s="61"/>
      <c r="Q58" s="49"/>
      <c r="R58" s="51">
        <v>5.13</v>
      </c>
      <c r="S58" s="51"/>
      <c r="T58" s="79">
        <v>0.85</v>
      </c>
      <c r="U58" s="62"/>
      <c r="V58" s="53"/>
      <c r="W58" s="53"/>
      <c r="X58" s="54"/>
      <c r="Y58" s="54"/>
      <c r="Z58" s="54"/>
      <c r="AA58" s="181"/>
      <c r="AB58" s="185"/>
      <c r="AC58" s="186"/>
      <c r="AD58" s="190"/>
      <c r="AE58" s="192"/>
      <c r="AF58" s="192"/>
      <c r="AG58" s="191"/>
      <c r="AH58" s="194"/>
    </row>
    <row r="59" spans="1:35" s="77" customFormat="1" ht="32.4" customHeight="1" x14ac:dyDescent="0.25">
      <c r="A59" s="175"/>
      <c r="B59" s="178"/>
      <c r="C59" s="178"/>
      <c r="D59" s="178"/>
      <c r="E59" s="43"/>
      <c r="F59" s="43"/>
      <c r="G59" s="43"/>
      <c r="H59" s="43"/>
      <c r="I59" s="43"/>
      <c r="J59" s="57"/>
      <c r="K59" s="47"/>
      <c r="L59" s="46"/>
      <c r="M59" s="46"/>
      <c r="N59" s="46"/>
      <c r="O59" s="61"/>
      <c r="P59" s="61"/>
      <c r="Q59" s="49"/>
      <c r="R59" s="90"/>
      <c r="S59" s="90"/>
      <c r="T59" s="90"/>
      <c r="U59" s="64" t="s">
        <v>182</v>
      </c>
      <c r="V59" s="65"/>
      <c r="W59" s="65">
        <v>44</v>
      </c>
      <c r="X59" s="55">
        <v>0.06</v>
      </c>
      <c r="Y59" s="55">
        <v>1</v>
      </c>
      <c r="Z59" s="55">
        <f>W59*X59/Y59</f>
        <v>2.6399999999999997</v>
      </c>
      <c r="AA59" s="181"/>
      <c r="AB59" s="185"/>
      <c r="AC59" s="186"/>
      <c r="AD59" s="190"/>
      <c r="AE59" s="192"/>
      <c r="AF59" s="192"/>
      <c r="AG59" s="191"/>
      <c r="AH59" s="194"/>
    </row>
    <row r="60" spans="1:35" s="77" customFormat="1" ht="32.4" customHeight="1" x14ac:dyDescent="0.25">
      <c r="A60" s="175"/>
      <c r="B60" s="178"/>
      <c r="C60" s="178"/>
      <c r="D60" s="178"/>
      <c r="E60" s="43"/>
      <c r="F60" s="43"/>
      <c r="G60" s="43"/>
      <c r="H60" s="43"/>
      <c r="I60" s="43"/>
      <c r="J60" s="57"/>
      <c r="K60" s="47"/>
      <c r="L60" s="46"/>
      <c r="M60" s="46"/>
      <c r="N60" s="46"/>
      <c r="O60" s="61"/>
      <c r="P60" s="61"/>
      <c r="Q60" s="49"/>
      <c r="R60" s="51"/>
      <c r="S60" s="51"/>
      <c r="T60" s="51"/>
      <c r="U60" s="62" t="s">
        <v>183</v>
      </c>
      <c r="V60" s="53"/>
      <c r="W60" s="65">
        <f>35-6</f>
        <v>29</v>
      </c>
      <c r="X60" s="80">
        <v>0.06</v>
      </c>
      <c r="Y60" s="54">
        <v>1</v>
      </c>
      <c r="Z60" s="55">
        <f>W60*X60/Y60</f>
        <v>1.74</v>
      </c>
      <c r="AA60" s="181"/>
      <c r="AB60" s="185"/>
      <c r="AC60" s="186"/>
      <c r="AD60" s="190"/>
      <c r="AE60" s="192"/>
      <c r="AF60" s="192"/>
      <c r="AG60" s="191"/>
      <c r="AH60" s="194"/>
    </row>
    <row r="61" spans="1:35" s="77" customFormat="1" ht="32.4" customHeight="1" x14ac:dyDescent="0.25">
      <c r="A61" s="175"/>
      <c r="B61" s="178"/>
      <c r="C61" s="178"/>
      <c r="D61" s="178"/>
      <c r="E61" s="43"/>
      <c r="F61" s="43"/>
      <c r="G61" s="43"/>
      <c r="H61" s="43"/>
      <c r="I61" s="43"/>
      <c r="J61" s="57"/>
      <c r="K61" s="47"/>
      <c r="L61" s="46"/>
      <c r="M61" s="46"/>
      <c r="N61" s="46"/>
      <c r="O61" s="61"/>
      <c r="P61" s="61"/>
      <c r="Q61" s="49"/>
      <c r="R61" s="51"/>
      <c r="S61" s="51"/>
      <c r="T61" s="51"/>
      <c r="U61" s="62" t="s">
        <v>184</v>
      </c>
      <c r="V61" s="53"/>
      <c r="W61" s="53">
        <v>8</v>
      </c>
      <c r="X61" s="54"/>
      <c r="Y61" s="54"/>
      <c r="Z61" s="55">
        <v>0.36</v>
      </c>
      <c r="AA61" s="181"/>
      <c r="AB61" s="185"/>
      <c r="AC61" s="186"/>
      <c r="AD61" s="190"/>
      <c r="AE61" s="192"/>
      <c r="AF61" s="192"/>
      <c r="AG61" s="191"/>
      <c r="AH61" s="194"/>
    </row>
    <row r="62" spans="1:35" s="77" customFormat="1" ht="32.4" customHeight="1" x14ac:dyDescent="0.25">
      <c r="A62" s="175"/>
      <c r="B62" s="178"/>
      <c r="C62" s="178"/>
      <c r="D62" s="178"/>
      <c r="E62" s="43"/>
      <c r="F62" s="43"/>
      <c r="G62" s="43"/>
      <c r="H62" s="43"/>
      <c r="I62" s="43"/>
      <c r="J62" s="57"/>
      <c r="K62" s="47"/>
      <c r="L62" s="46"/>
      <c r="M62" s="46"/>
      <c r="N62" s="46"/>
      <c r="O62" s="61"/>
      <c r="P62" s="61"/>
      <c r="Q62" s="49"/>
      <c r="R62" s="51"/>
      <c r="S62" s="51"/>
      <c r="T62" s="51"/>
      <c r="U62" s="62" t="s">
        <v>185</v>
      </c>
      <c r="V62" s="53"/>
      <c r="W62" s="53"/>
      <c r="X62" s="54"/>
      <c r="Y62" s="54"/>
      <c r="Z62" s="54">
        <v>3</v>
      </c>
      <c r="AA62" s="181"/>
      <c r="AB62" s="185"/>
      <c r="AC62" s="186"/>
      <c r="AD62" s="190"/>
      <c r="AE62" s="192"/>
      <c r="AF62" s="192"/>
      <c r="AG62" s="191"/>
      <c r="AH62" s="194"/>
    </row>
    <row r="63" spans="1:35" s="77" customFormat="1" ht="34.200000000000003" customHeight="1" x14ac:dyDescent="0.25">
      <c r="A63" s="175"/>
      <c r="B63" s="178"/>
      <c r="C63" s="178"/>
      <c r="D63" s="178"/>
      <c r="E63" s="43"/>
      <c r="F63" s="43"/>
      <c r="G63" s="57"/>
      <c r="H63" s="57"/>
      <c r="I63" s="57"/>
      <c r="J63" s="53"/>
      <c r="K63" s="47"/>
      <c r="L63" s="46"/>
      <c r="M63" s="46"/>
      <c r="N63" s="46"/>
      <c r="O63" s="78"/>
      <c r="P63" s="61">
        <f>SUMPRODUCT(I34:I58,P34:P58)</f>
        <v>4.6610494000000005</v>
      </c>
      <c r="Q63" s="49"/>
      <c r="R63" s="51"/>
      <c r="S63" s="51"/>
      <c r="T63" s="51"/>
      <c r="U63" s="62"/>
      <c r="V63" s="81"/>
      <c r="W63" s="53"/>
      <c r="X63" s="82"/>
      <c r="Y63" s="54"/>
      <c r="Z63" s="54"/>
      <c r="AA63" s="182"/>
      <c r="AB63" s="187"/>
      <c r="AC63" s="188"/>
      <c r="AD63" s="190"/>
      <c r="AE63" s="192"/>
      <c r="AF63" s="192"/>
      <c r="AG63" s="191"/>
      <c r="AH63" s="195"/>
    </row>
    <row r="64" spans="1:35" s="56" customFormat="1" ht="22.95" customHeight="1" x14ac:dyDescent="0.25">
      <c r="A64" s="176"/>
      <c r="B64" s="179"/>
      <c r="C64" s="179"/>
      <c r="D64" s="179"/>
      <c r="E64" s="43"/>
      <c r="F64" s="91"/>
      <c r="G64" s="167" t="s">
        <v>39</v>
      </c>
      <c r="H64" s="168"/>
      <c r="I64" s="168"/>
      <c r="J64" s="168"/>
      <c r="K64" s="168"/>
      <c r="L64" s="168"/>
      <c r="M64" s="168"/>
      <c r="N64" s="168"/>
      <c r="O64" s="169"/>
      <c r="P64" s="169"/>
      <c r="Q64" s="169"/>
      <c r="R64" s="170"/>
      <c r="S64" s="171"/>
      <c r="T64" s="83">
        <f>SUM(T34:T63)</f>
        <v>24.567882136000001</v>
      </c>
      <c r="U64" s="84"/>
      <c r="V64" s="85"/>
      <c r="W64" s="85"/>
      <c r="X64" s="86"/>
      <c r="Y64" s="86"/>
      <c r="Z64" s="87">
        <f>SUM(Z34:Z63)</f>
        <v>9.73</v>
      </c>
      <c r="AA64" s="87">
        <f>(T64+Z64)*AA34</f>
        <v>37.727670349600004</v>
      </c>
      <c r="AB64" s="172">
        <v>1</v>
      </c>
      <c r="AC64" s="173"/>
      <c r="AD64" s="59">
        <f>AA64+AB64</f>
        <v>38.727670349600004</v>
      </c>
      <c r="AE64" s="88"/>
      <c r="AF64" s="88"/>
      <c r="AG64" s="89"/>
      <c r="AH64" s="94">
        <v>45.73</v>
      </c>
      <c r="AI64" s="95">
        <f>(AD64-AH64)/AD64</f>
        <v>-0.18080947258611221</v>
      </c>
    </row>
    <row r="65" spans="1:34" s="56" customFormat="1" ht="30.6" customHeight="1" x14ac:dyDescent="0.25">
      <c r="A65" s="174">
        <v>1</v>
      </c>
      <c r="B65" s="177" t="s">
        <v>141</v>
      </c>
      <c r="C65" s="177" t="s">
        <v>193</v>
      </c>
      <c r="D65" s="177" t="s">
        <v>194</v>
      </c>
      <c r="E65" s="43">
        <v>1</v>
      </c>
      <c r="F65" s="43">
        <v>9</v>
      </c>
      <c r="G65" s="43" t="s">
        <v>144</v>
      </c>
      <c r="H65" s="43" t="s">
        <v>145</v>
      </c>
      <c r="I65" s="43">
        <v>1</v>
      </c>
      <c r="J65" s="57" t="s">
        <v>146</v>
      </c>
      <c r="K65" s="46"/>
      <c r="L65" s="47"/>
      <c r="M65" s="46"/>
      <c r="N65" s="46" t="s">
        <v>147</v>
      </c>
      <c r="O65" s="58">
        <v>0.41799999999999998</v>
      </c>
      <c r="P65" s="58">
        <v>0.41199999999999998</v>
      </c>
      <c r="Q65" s="49">
        <f>O65-P65</f>
        <v>6.0000000000000053E-3</v>
      </c>
      <c r="R65" s="51">
        <v>4.3899999999999997</v>
      </c>
      <c r="S65" s="51">
        <v>2.2000000000000002</v>
      </c>
      <c r="T65" s="51">
        <f>(O65*R65-Q65*S65)*I65</f>
        <v>1.8218199999999998</v>
      </c>
      <c r="U65" s="52" t="s">
        <v>148</v>
      </c>
      <c r="V65" s="52"/>
      <c r="W65" s="53">
        <v>1</v>
      </c>
      <c r="X65" s="54">
        <v>0.06</v>
      </c>
      <c r="Y65" s="54">
        <v>1</v>
      </c>
      <c r="Z65" s="54">
        <f>W65*X65/Y65</f>
        <v>0.06</v>
      </c>
      <c r="AA65" s="180">
        <v>1.1000000000000001</v>
      </c>
      <c r="AB65" s="183" t="s">
        <v>192</v>
      </c>
      <c r="AC65" s="184"/>
      <c r="AD65" s="189"/>
      <c r="AE65" s="191"/>
      <c r="AF65" s="191"/>
      <c r="AG65" s="191"/>
      <c r="AH65" s="193"/>
    </row>
    <row r="66" spans="1:34" s="56" customFormat="1" ht="30.6" customHeight="1" x14ac:dyDescent="0.25">
      <c r="A66" s="175"/>
      <c r="B66" s="178"/>
      <c r="C66" s="178"/>
      <c r="D66" s="178"/>
      <c r="E66" s="43"/>
      <c r="F66" s="43"/>
      <c r="G66" s="43"/>
      <c r="H66" s="43"/>
      <c r="I66" s="43"/>
      <c r="J66" s="57"/>
      <c r="K66" s="46"/>
      <c r="L66" s="47"/>
      <c r="M66" s="46"/>
      <c r="N66" s="46"/>
      <c r="O66" s="58"/>
      <c r="P66" s="58"/>
      <c r="Q66" s="49"/>
      <c r="R66" s="51"/>
      <c r="S66" s="51"/>
      <c r="T66" s="51"/>
      <c r="U66" s="52" t="s">
        <v>149</v>
      </c>
      <c r="V66" s="52"/>
      <c r="W66" s="53">
        <v>2</v>
      </c>
      <c r="X66" s="54">
        <v>0.05</v>
      </c>
      <c r="Y66" s="54">
        <v>1</v>
      </c>
      <c r="Z66" s="54">
        <f t="shared" ref="Z66" si="15">W66*X66/Y66</f>
        <v>0.1</v>
      </c>
      <c r="AA66" s="181"/>
      <c r="AB66" s="185"/>
      <c r="AC66" s="186"/>
      <c r="AD66" s="190"/>
      <c r="AE66" s="191"/>
      <c r="AF66" s="191"/>
      <c r="AG66" s="191"/>
      <c r="AH66" s="194"/>
    </row>
    <row r="67" spans="1:34" s="56" customFormat="1" ht="30.6" customHeight="1" x14ac:dyDescent="0.25">
      <c r="A67" s="175"/>
      <c r="B67" s="178"/>
      <c r="C67" s="178"/>
      <c r="D67" s="178"/>
      <c r="E67" s="43"/>
      <c r="F67" s="43"/>
      <c r="G67" s="43"/>
      <c r="H67" s="43"/>
      <c r="I67" s="43"/>
      <c r="J67" s="57"/>
      <c r="K67" s="46"/>
      <c r="L67" s="47"/>
      <c r="M67" s="46"/>
      <c r="N67" s="46"/>
      <c r="O67" s="58"/>
      <c r="P67" s="58"/>
      <c r="Q67" s="49"/>
      <c r="R67" s="51"/>
      <c r="S67" s="51"/>
      <c r="T67" s="51"/>
      <c r="U67" s="52" t="s">
        <v>150</v>
      </c>
      <c r="V67" s="52" t="s">
        <v>51</v>
      </c>
      <c r="W67" s="53">
        <v>2</v>
      </c>
      <c r="X67" s="54">
        <v>0.04</v>
      </c>
      <c r="Y67" s="54">
        <v>1</v>
      </c>
      <c r="Z67" s="54">
        <v>0.06</v>
      </c>
      <c r="AA67" s="181"/>
      <c r="AB67" s="185"/>
      <c r="AC67" s="186"/>
      <c r="AD67" s="190"/>
      <c r="AE67" s="191"/>
      <c r="AF67" s="191"/>
      <c r="AG67" s="191"/>
      <c r="AH67" s="194"/>
    </row>
    <row r="68" spans="1:34" s="56" customFormat="1" ht="30.6" customHeight="1" x14ac:dyDescent="0.25">
      <c r="A68" s="175"/>
      <c r="B68" s="178"/>
      <c r="C68" s="178"/>
      <c r="D68" s="178"/>
      <c r="E68" s="43"/>
      <c r="F68" s="43"/>
      <c r="G68" s="43"/>
      <c r="H68" s="43"/>
      <c r="I68" s="43"/>
      <c r="J68" s="57"/>
      <c r="K68" s="46"/>
      <c r="L68" s="47"/>
      <c r="M68" s="46"/>
      <c r="N68" s="46"/>
      <c r="O68" s="58"/>
      <c r="P68" s="58"/>
      <c r="Q68" s="49"/>
      <c r="R68" s="51"/>
      <c r="S68" s="51"/>
      <c r="T68" s="51"/>
      <c r="U68" s="52" t="s">
        <v>151</v>
      </c>
      <c r="V68" s="52" t="s">
        <v>50</v>
      </c>
      <c r="W68" s="53">
        <v>2</v>
      </c>
      <c r="X68" s="54">
        <v>0.03</v>
      </c>
      <c r="Y68" s="54">
        <v>1</v>
      </c>
      <c r="Z68" s="54">
        <f t="shared" ref="Z68:Z72" si="16">W68*X68/Y68</f>
        <v>0.06</v>
      </c>
      <c r="AA68" s="181"/>
      <c r="AB68" s="185"/>
      <c r="AC68" s="186"/>
      <c r="AD68" s="190"/>
      <c r="AE68" s="191"/>
      <c r="AF68" s="191"/>
      <c r="AG68" s="191"/>
      <c r="AH68" s="194"/>
    </row>
    <row r="69" spans="1:34" s="56" customFormat="1" ht="36.6" customHeight="1" x14ac:dyDescent="0.25">
      <c r="A69" s="175"/>
      <c r="B69" s="178"/>
      <c r="C69" s="178"/>
      <c r="D69" s="178"/>
      <c r="E69" s="43">
        <v>2</v>
      </c>
      <c r="F69" s="43">
        <v>10</v>
      </c>
      <c r="G69" s="43" t="s">
        <v>152</v>
      </c>
      <c r="H69" s="43" t="s">
        <v>145</v>
      </c>
      <c r="I69" s="43">
        <v>1</v>
      </c>
      <c r="J69" s="57" t="s">
        <v>153</v>
      </c>
      <c r="K69" s="60"/>
      <c r="L69" s="46"/>
      <c r="M69" s="46"/>
      <c r="N69" s="46" t="s">
        <v>154</v>
      </c>
      <c r="O69" s="61">
        <f>15*1.8*260*7.85/1000000</f>
        <v>5.5107000000000003E-2</v>
      </c>
      <c r="P69" s="61">
        <f>15*1.8*260*7.85/1000000</f>
        <v>5.5107000000000003E-2</v>
      </c>
      <c r="Q69" s="49">
        <f>O69-P69</f>
        <v>0</v>
      </c>
      <c r="R69" s="51">
        <v>5</v>
      </c>
      <c r="S69" s="51">
        <v>2.65</v>
      </c>
      <c r="T69" s="51">
        <f>(O69*R69-Q69*S69)*I69</f>
        <v>0.27553500000000003</v>
      </c>
      <c r="U69" s="62" t="s">
        <v>155</v>
      </c>
      <c r="V69" s="53" t="s">
        <v>50</v>
      </c>
      <c r="W69" s="53">
        <v>1</v>
      </c>
      <c r="X69" s="54">
        <v>0.03</v>
      </c>
      <c r="Y69" s="54">
        <v>1</v>
      </c>
      <c r="Z69" s="54">
        <f t="shared" si="16"/>
        <v>0.03</v>
      </c>
      <c r="AA69" s="181"/>
      <c r="AB69" s="185"/>
      <c r="AC69" s="186"/>
      <c r="AD69" s="190"/>
      <c r="AE69" s="192"/>
      <c r="AF69" s="192"/>
      <c r="AG69" s="191"/>
      <c r="AH69" s="194"/>
    </row>
    <row r="70" spans="1:34" s="56" customFormat="1" ht="25.95" customHeight="1" x14ac:dyDescent="0.25">
      <c r="A70" s="175"/>
      <c r="B70" s="178"/>
      <c r="C70" s="178"/>
      <c r="D70" s="178"/>
      <c r="E70" s="43">
        <v>3</v>
      </c>
      <c r="F70" s="43">
        <v>3</v>
      </c>
      <c r="G70" s="43" t="s">
        <v>199</v>
      </c>
      <c r="H70" s="43" t="s">
        <v>145</v>
      </c>
      <c r="I70" s="43">
        <v>1</v>
      </c>
      <c r="J70" s="57" t="s">
        <v>200</v>
      </c>
      <c r="K70" s="46"/>
      <c r="L70" s="46"/>
      <c r="M70" s="46"/>
      <c r="N70" s="46" t="s">
        <v>147</v>
      </c>
      <c r="O70" s="61">
        <v>1.9836900000000002</v>
      </c>
      <c r="P70" s="61">
        <v>1.9750000000000001</v>
      </c>
      <c r="Q70" s="49">
        <f>O70-P70</f>
        <v>8.6900000000000865E-3</v>
      </c>
      <c r="R70" s="51">
        <v>4.3899999999999997</v>
      </c>
      <c r="S70" s="51">
        <v>2.2000000000000002</v>
      </c>
      <c r="T70" s="51">
        <f>(O70*R70-Q70*S70)*I70</f>
        <v>8.6892810999999988</v>
      </c>
      <c r="U70" s="62" t="s">
        <v>148</v>
      </c>
      <c r="V70" s="53"/>
      <c r="W70" s="53">
        <v>1</v>
      </c>
      <c r="X70" s="54">
        <v>0.08</v>
      </c>
      <c r="Y70" s="54">
        <v>1</v>
      </c>
      <c r="Z70" s="54">
        <f t="shared" si="16"/>
        <v>0.08</v>
      </c>
      <c r="AA70" s="181"/>
      <c r="AB70" s="185"/>
      <c r="AC70" s="186"/>
      <c r="AD70" s="190"/>
      <c r="AE70" s="192"/>
      <c r="AF70" s="192"/>
      <c r="AG70" s="191"/>
      <c r="AH70" s="194"/>
    </row>
    <row r="71" spans="1:34" s="56" customFormat="1" ht="25.95" customHeight="1" x14ac:dyDescent="0.25">
      <c r="A71" s="175"/>
      <c r="B71" s="178"/>
      <c r="C71" s="178"/>
      <c r="D71" s="178"/>
      <c r="E71" s="43"/>
      <c r="F71" s="43"/>
      <c r="G71" s="43"/>
      <c r="H71" s="43"/>
      <c r="I71" s="43"/>
      <c r="J71" s="57"/>
      <c r="K71" s="46"/>
      <c r="L71" s="46"/>
      <c r="M71" s="46"/>
      <c r="N71" s="46"/>
      <c r="O71" s="61"/>
      <c r="P71" s="61"/>
      <c r="Q71" s="49"/>
      <c r="R71" s="51"/>
      <c r="S71" s="51"/>
      <c r="T71" s="51"/>
      <c r="U71" s="62" t="s">
        <v>158</v>
      </c>
      <c r="V71" s="53"/>
      <c r="W71" s="53">
        <v>4</v>
      </c>
      <c r="X71" s="54">
        <v>0.05</v>
      </c>
      <c r="Y71" s="54">
        <v>1</v>
      </c>
      <c r="Z71" s="54">
        <f t="shared" si="16"/>
        <v>0.2</v>
      </c>
      <c r="AA71" s="181"/>
      <c r="AB71" s="185"/>
      <c r="AC71" s="186"/>
      <c r="AD71" s="190"/>
      <c r="AE71" s="192"/>
      <c r="AF71" s="192"/>
      <c r="AG71" s="191"/>
      <c r="AH71" s="194"/>
    </row>
    <row r="72" spans="1:34" s="56" customFormat="1" ht="25.95" customHeight="1" x14ac:dyDescent="0.25">
      <c r="A72" s="175"/>
      <c r="B72" s="178"/>
      <c r="C72" s="178"/>
      <c r="D72" s="178"/>
      <c r="E72" s="43"/>
      <c r="F72" s="43"/>
      <c r="G72" s="43"/>
      <c r="H72" s="43"/>
      <c r="I72" s="43"/>
      <c r="J72" s="57"/>
      <c r="K72" s="46"/>
      <c r="L72" s="46"/>
      <c r="M72" s="46"/>
      <c r="N72" s="46"/>
      <c r="O72" s="61"/>
      <c r="P72" s="61"/>
      <c r="Q72" s="49"/>
      <c r="R72" s="51"/>
      <c r="S72" s="51"/>
      <c r="T72" s="51"/>
      <c r="U72" s="62" t="s">
        <v>159</v>
      </c>
      <c r="V72" s="53"/>
      <c r="W72" s="53">
        <v>1</v>
      </c>
      <c r="X72" s="54">
        <v>0.05</v>
      </c>
      <c r="Y72" s="54">
        <v>1</v>
      </c>
      <c r="Z72" s="54">
        <f t="shared" si="16"/>
        <v>0.05</v>
      </c>
      <c r="AA72" s="181"/>
      <c r="AB72" s="185"/>
      <c r="AC72" s="186"/>
      <c r="AD72" s="190"/>
      <c r="AE72" s="192"/>
      <c r="AF72" s="192"/>
      <c r="AG72" s="191"/>
      <c r="AH72" s="194"/>
    </row>
    <row r="73" spans="1:34" s="56" customFormat="1" ht="25.95" customHeight="1" x14ac:dyDescent="0.25">
      <c r="A73" s="175"/>
      <c r="B73" s="178"/>
      <c r="C73" s="178"/>
      <c r="D73" s="178"/>
      <c r="E73" s="43"/>
      <c r="F73" s="43"/>
      <c r="G73" s="43"/>
      <c r="H73" s="43"/>
      <c r="I73" s="43"/>
      <c r="J73" s="57"/>
      <c r="K73" s="46"/>
      <c r="L73" s="46"/>
      <c r="M73" s="46"/>
      <c r="N73" s="46"/>
      <c r="O73" s="61"/>
      <c r="P73" s="61"/>
      <c r="Q73" s="49"/>
      <c r="R73" s="51"/>
      <c r="S73" s="51"/>
      <c r="T73" s="51"/>
      <c r="U73" s="62" t="s">
        <v>160</v>
      </c>
      <c r="V73" s="53" t="s">
        <v>52</v>
      </c>
      <c r="W73" s="53">
        <v>2</v>
      </c>
      <c r="X73" s="54"/>
      <c r="Y73" s="54"/>
      <c r="Z73" s="54">
        <v>0.06</v>
      </c>
      <c r="AA73" s="181"/>
      <c r="AB73" s="185"/>
      <c r="AC73" s="186"/>
      <c r="AD73" s="190"/>
      <c r="AE73" s="192"/>
      <c r="AF73" s="192"/>
      <c r="AG73" s="191"/>
      <c r="AH73" s="194"/>
    </row>
    <row r="74" spans="1:34" s="56" customFormat="1" ht="25.95" customHeight="1" x14ac:dyDescent="0.25">
      <c r="A74" s="175"/>
      <c r="B74" s="178"/>
      <c r="C74" s="178"/>
      <c r="D74" s="178"/>
      <c r="E74" s="43"/>
      <c r="F74" s="43"/>
      <c r="G74" s="43"/>
      <c r="H74" s="43"/>
      <c r="I74" s="43"/>
      <c r="J74" s="57"/>
      <c r="K74" s="46"/>
      <c r="L74" s="46"/>
      <c r="M74" s="46"/>
      <c r="N74" s="46"/>
      <c r="O74" s="61"/>
      <c r="P74" s="61"/>
      <c r="Q74" s="49"/>
      <c r="R74" s="51"/>
      <c r="S74" s="51"/>
      <c r="T74" s="51"/>
      <c r="U74" s="62" t="s">
        <v>151</v>
      </c>
      <c r="V74" s="53" t="s">
        <v>50</v>
      </c>
      <c r="W74" s="53">
        <v>4</v>
      </c>
      <c r="X74" s="54"/>
      <c r="Y74" s="54"/>
      <c r="Z74" s="54">
        <v>0.06</v>
      </c>
      <c r="AA74" s="181"/>
      <c r="AB74" s="185"/>
      <c r="AC74" s="186"/>
      <c r="AD74" s="190"/>
      <c r="AE74" s="192"/>
      <c r="AF74" s="192"/>
      <c r="AG74" s="191"/>
      <c r="AH74" s="194"/>
    </row>
    <row r="75" spans="1:34" s="56" customFormat="1" ht="25.95" customHeight="1" x14ac:dyDescent="0.25">
      <c r="A75" s="175"/>
      <c r="B75" s="178"/>
      <c r="C75" s="178"/>
      <c r="D75" s="178"/>
      <c r="E75" s="43"/>
      <c r="F75" s="43"/>
      <c r="G75" s="43"/>
      <c r="H75" s="43"/>
      <c r="I75" s="43"/>
      <c r="J75" s="57"/>
      <c r="K75" s="46"/>
      <c r="L75" s="46"/>
      <c r="M75" s="46"/>
      <c r="N75" s="46"/>
      <c r="O75" s="61"/>
      <c r="P75" s="61"/>
      <c r="Q75" s="49"/>
      <c r="R75" s="51"/>
      <c r="S75" s="51"/>
      <c r="T75" s="51"/>
      <c r="U75" s="62" t="s">
        <v>161</v>
      </c>
      <c r="V75" s="53" t="s">
        <v>49</v>
      </c>
      <c r="W75" s="53">
        <v>3</v>
      </c>
      <c r="X75" s="54">
        <v>0.03</v>
      </c>
      <c r="Y75" s="54">
        <v>1</v>
      </c>
      <c r="Z75" s="54">
        <f t="shared" ref="Z75" si="17">W75*X75/Y75</f>
        <v>0.09</v>
      </c>
      <c r="AA75" s="181"/>
      <c r="AB75" s="185"/>
      <c r="AC75" s="186"/>
      <c r="AD75" s="190"/>
      <c r="AE75" s="192"/>
      <c r="AF75" s="192"/>
      <c r="AG75" s="191"/>
      <c r="AH75" s="194"/>
    </row>
    <row r="76" spans="1:34" s="56" customFormat="1" ht="25.95" customHeight="1" x14ac:dyDescent="0.25">
      <c r="A76" s="175"/>
      <c r="B76" s="178"/>
      <c r="C76" s="178"/>
      <c r="D76" s="178"/>
      <c r="E76" s="43">
        <v>4</v>
      </c>
      <c r="F76" s="43">
        <v>8</v>
      </c>
      <c r="G76" s="43" t="s">
        <v>162</v>
      </c>
      <c r="H76" s="43" t="s">
        <v>145</v>
      </c>
      <c r="I76" s="43">
        <v>1</v>
      </c>
      <c r="J76" s="57" t="s">
        <v>163</v>
      </c>
      <c r="K76" s="47">
        <f>I76*P76</f>
        <v>0.1</v>
      </c>
      <c r="L76" s="46"/>
      <c r="M76" s="46"/>
      <c r="N76" s="46" t="s">
        <v>164</v>
      </c>
      <c r="O76" s="61"/>
      <c r="P76" s="61">
        <v>0.1</v>
      </c>
      <c r="Q76" s="49"/>
      <c r="R76" s="51">
        <f>7.9646</f>
        <v>7.9645999999999999</v>
      </c>
      <c r="S76" s="51"/>
      <c r="T76" s="51">
        <f>I76*P76*R76</f>
        <v>0.79646000000000006</v>
      </c>
      <c r="U76" s="62" t="s">
        <v>165</v>
      </c>
      <c r="V76" s="53"/>
      <c r="W76" s="53"/>
      <c r="X76" s="54"/>
      <c r="Y76" s="54"/>
      <c r="Z76" s="54"/>
      <c r="AA76" s="181"/>
      <c r="AB76" s="185"/>
      <c r="AC76" s="186"/>
      <c r="AD76" s="190"/>
      <c r="AE76" s="192"/>
      <c r="AF76" s="192"/>
      <c r="AG76" s="191"/>
      <c r="AH76" s="194"/>
    </row>
    <row r="77" spans="1:34" s="56" customFormat="1" ht="32.4" customHeight="1" x14ac:dyDescent="0.25">
      <c r="A77" s="175"/>
      <c r="B77" s="178"/>
      <c r="C77" s="178"/>
      <c r="D77" s="178"/>
      <c r="E77" s="43">
        <v>8</v>
      </c>
      <c r="F77" s="43">
        <v>14</v>
      </c>
      <c r="G77" s="43" t="s">
        <v>172</v>
      </c>
      <c r="H77" s="43" t="s">
        <v>173</v>
      </c>
      <c r="I77" s="43">
        <v>1</v>
      </c>
      <c r="J77" s="57" t="s">
        <v>210</v>
      </c>
      <c r="K77" s="47">
        <f t="shared" ref="K77:K78" si="18">I77*P77</f>
        <v>0.41399999999999998</v>
      </c>
      <c r="L77" s="46"/>
      <c r="M77" s="46"/>
      <c r="N77" s="46" t="s">
        <v>147</v>
      </c>
      <c r="O77" s="61">
        <v>0.41899999999999998</v>
      </c>
      <c r="P77" s="61">
        <v>0.41399999999999998</v>
      </c>
      <c r="Q77" s="49">
        <f>O77-P77</f>
        <v>5.0000000000000044E-3</v>
      </c>
      <c r="R77" s="51">
        <v>4.3899999999999997</v>
      </c>
      <c r="S77" s="51">
        <v>2.2000000000000002</v>
      </c>
      <c r="T77" s="51">
        <f>(O77*R77-Q77*S77)*I77</f>
        <v>1.8284099999999996</v>
      </c>
      <c r="U77" s="62" t="s">
        <v>155</v>
      </c>
      <c r="V77" s="53"/>
      <c r="W77" s="53">
        <v>1</v>
      </c>
      <c r="X77" s="54">
        <v>0.06</v>
      </c>
      <c r="Y77" s="54">
        <v>1</v>
      </c>
      <c r="Z77" s="54">
        <f t="shared" ref="Z77" si="19">W77*X77/Y77</f>
        <v>0.06</v>
      </c>
      <c r="AA77" s="181"/>
      <c r="AB77" s="185"/>
      <c r="AC77" s="186"/>
      <c r="AD77" s="190"/>
      <c r="AE77" s="192"/>
      <c r="AF77" s="192"/>
      <c r="AG77" s="191"/>
      <c r="AH77" s="194"/>
    </row>
    <row r="78" spans="1:34" s="56" customFormat="1" ht="32.4" customHeight="1" x14ac:dyDescent="0.25">
      <c r="A78" s="175"/>
      <c r="B78" s="178"/>
      <c r="C78" s="178"/>
      <c r="D78" s="178"/>
      <c r="E78" s="43"/>
      <c r="F78" s="43"/>
      <c r="G78" s="43"/>
      <c r="H78" s="43"/>
      <c r="I78" s="43"/>
      <c r="J78" s="57"/>
      <c r="K78" s="47">
        <f t="shared" si="18"/>
        <v>0</v>
      </c>
      <c r="L78" s="46"/>
      <c r="M78" s="46"/>
      <c r="N78" s="46"/>
      <c r="O78" s="61"/>
      <c r="P78" s="61"/>
      <c r="Q78" s="49"/>
      <c r="R78" s="51"/>
      <c r="S78" s="51"/>
      <c r="T78" s="51"/>
      <c r="U78" s="62" t="s">
        <v>160</v>
      </c>
      <c r="V78" s="53" t="s">
        <v>52</v>
      </c>
      <c r="W78" s="53">
        <v>2</v>
      </c>
      <c r="X78" s="54">
        <v>0.05</v>
      </c>
      <c r="Y78" s="54">
        <v>1</v>
      </c>
      <c r="Z78" s="54">
        <v>0.06</v>
      </c>
      <c r="AA78" s="181"/>
      <c r="AB78" s="185"/>
      <c r="AC78" s="186"/>
      <c r="AD78" s="190"/>
      <c r="AE78" s="192"/>
      <c r="AF78" s="192"/>
      <c r="AG78" s="191"/>
      <c r="AH78" s="194"/>
    </row>
    <row r="79" spans="1:34" s="56" customFormat="1" ht="32.4" customHeight="1" x14ac:dyDescent="0.25">
      <c r="A79" s="175"/>
      <c r="B79" s="178"/>
      <c r="C79" s="178"/>
      <c r="D79" s="178"/>
      <c r="E79" s="43"/>
      <c r="F79" s="43"/>
      <c r="G79" s="43"/>
      <c r="H79" s="43"/>
      <c r="I79" s="43"/>
      <c r="J79" s="57"/>
      <c r="K79" s="47"/>
      <c r="L79" s="46"/>
      <c r="M79" s="46"/>
      <c r="N79" s="46"/>
      <c r="O79" s="61"/>
      <c r="P79" s="61"/>
      <c r="Q79" s="49"/>
      <c r="R79" s="51"/>
      <c r="S79" s="51"/>
      <c r="T79" s="51"/>
      <c r="U79" s="62" t="s">
        <v>168</v>
      </c>
      <c r="V79" s="53" t="s">
        <v>49</v>
      </c>
      <c r="W79" s="53">
        <v>2</v>
      </c>
      <c r="X79" s="54">
        <v>0.03</v>
      </c>
      <c r="Y79" s="54">
        <v>1</v>
      </c>
      <c r="Z79" s="54">
        <f t="shared" ref="Z79" si="20">W79*X79/Y79</f>
        <v>0.06</v>
      </c>
      <c r="AA79" s="181"/>
      <c r="AB79" s="185"/>
      <c r="AC79" s="186"/>
      <c r="AD79" s="190"/>
      <c r="AE79" s="192"/>
      <c r="AF79" s="192"/>
      <c r="AG79" s="191"/>
      <c r="AH79" s="194"/>
    </row>
    <row r="80" spans="1:34" s="56" customFormat="1" ht="32.4" customHeight="1" x14ac:dyDescent="0.25">
      <c r="A80" s="175"/>
      <c r="B80" s="178"/>
      <c r="C80" s="178"/>
      <c r="D80" s="178"/>
      <c r="E80" s="43">
        <v>9</v>
      </c>
      <c r="F80" s="43">
        <v>4</v>
      </c>
      <c r="G80" s="43" t="s">
        <v>201</v>
      </c>
      <c r="H80" s="43" t="s">
        <v>197</v>
      </c>
      <c r="I80" s="43">
        <v>1</v>
      </c>
      <c r="J80" s="57" t="s">
        <v>175</v>
      </c>
      <c r="K80" s="47">
        <f t="shared" ref="K80:K83" si="21">I80*P80</f>
        <v>0.18079999999999999</v>
      </c>
      <c r="L80" s="46"/>
      <c r="M80" s="46"/>
      <c r="N80" s="46" t="s">
        <v>176</v>
      </c>
      <c r="O80" s="61"/>
      <c r="P80" s="61">
        <v>0.18079999999999999</v>
      </c>
      <c r="Q80" s="49"/>
      <c r="R80" s="51">
        <v>7.9649999999999999</v>
      </c>
      <c r="S80" s="51"/>
      <c r="T80" s="51">
        <f>I80*P80*R80</f>
        <v>1.4400719999999998</v>
      </c>
      <c r="U80" s="62"/>
      <c r="V80" s="53"/>
      <c r="W80" s="53"/>
      <c r="X80" s="54"/>
      <c r="Y80" s="54"/>
      <c r="Z80" s="54"/>
      <c r="AA80" s="181"/>
      <c r="AB80" s="185"/>
      <c r="AC80" s="186"/>
      <c r="AD80" s="190"/>
      <c r="AE80" s="192"/>
      <c r="AF80" s="192"/>
      <c r="AG80" s="191"/>
      <c r="AH80" s="194"/>
    </row>
    <row r="81" spans="1:35" s="56" customFormat="1" ht="32.4" customHeight="1" x14ac:dyDescent="0.25">
      <c r="A81" s="175"/>
      <c r="B81" s="178"/>
      <c r="C81" s="178"/>
      <c r="D81" s="178"/>
      <c r="E81" s="43">
        <v>10</v>
      </c>
      <c r="F81" s="43">
        <v>2</v>
      </c>
      <c r="G81" s="43" t="s">
        <v>198</v>
      </c>
      <c r="H81" s="43" t="s">
        <v>173</v>
      </c>
      <c r="I81" s="43">
        <v>1</v>
      </c>
      <c r="J81" s="57" t="s">
        <v>206</v>
      </c>
      <c r="K81" s="47">
        <f t="shared" si="21"/>
        <v>0.32847120000000002</v>
      </c>
      <c r="L81" s="46"/>
      <c r="M81" s="46"/>
      <c r="N81" s="46" t="s">
        <v>147</v>
      </c>
      <c r="O81" s="78"/>
      <c r="P81" s="61">
        <f>(20-2)*2*0.02466*0.37</f>
        <v>0.32847120000000002</v>
      </c>
      <c r="Q81" s="49"/>
      <c r="R81" s="51">
        <v>4.3899999999999997</v>
      </c>
      <c r="S81" s="51"/>
      <c r="T81" s="51">
        <f>I81*P81*R81</f>
        <v>1.441988568</v>
      </c>
      <c r="U81" s="62" t="s">
        <v>148</v>
      </c>
      <c r="V81" s="53"/>
      <c r="W81" s="53">
        <v>1</v>
      </c>
      <c r="X81" s="54"/>
      <c r="Y81" s="54"/>
      <c r="Z81" s="54">
        <v>0.06</v>
      </c>
      <c r="AA81" s="181"/>
      <c r="AB81" s="185"/>
      <c r="AC81" s="186"/>
      <c r="AD81" s="190"/>
      <c r="AE81" s="192"/>
      <c r="AF81" s="192"/>
      <c r="AG81" s="191"/>
      <c r="AH81" s="194"/>
    </row>
    <row r="82" spans="1:35" s="56" customFormat="1" ht="32.4" customHeight="1" x14ac:dyDescent="0.25">
      <c r="A82" s="175"/>
      <c r="B82" s="178"/>
      <c r="C82" s="178"/>
      <c r="D82" s="178"/>
      <c r="E82" s="43">
        <v>11</v>
      </c>
      <c r="F82" s="43">
        <v>1</v>
      </c>
      <c r="G82" s="43" t="s">
        <v>196</v>
      </c>
      <c r="H82" s="43" t="s">
        <v>145</v>
      </c>
      <c r="I82" s="43">
        <v>1</v>
      </c>
      <c r="J82" s="57" t="s">
        <v>179</v>
      </c>
      <c r="K82" s="47">
        <f t="shared" si="21"/>
        <v>0.24</v>
      </c>
      <c r="L82" s="46"/>
      <c r="M82" s="46"/>
      <c r="N82" s="46" t="s">
        <v>180</v>
      </c>
      <c r="O82" s="61"/>
      <c r="P82" s="61">
        <v>0.24</v>
      </c>
      <c r="Q82" s="49"/>
      <c r="R82" s="51">
        <v>7.9649999999999999</v>
      </c>
      <c r="S82" s="51"/>
      <c r="T82" s="51">
        <f>P82*R82</f>
        <v>1.9116</v>
      </c>
      <c r="U82" s="62"/>
      <c r="V82" s="53"/>
      <c r="W82" s="53"/>
      <c r="X82" s="54"/>
      <c r="Y82" s="54"/>
      <c r="Z82" s="54"/>
      <c r="AA82" s="181"/>
      <c r="AB82" s="185"/>
      <c r="AC82" s="186"/>
      <c r="AD82" s="190"/>
      <c r="AE82" s="192"/>
      <c r="AF82" s="192"/>
      <c r="AG82" s="191"/>
      <c r="AH82" s="194"/>
    </row>
    <row r="83" spans="1:35" s="56" customFormat="1" ht="32.4" customHeight="1" x14ac:dyDescent="0.25">
      <c r="A83" s="175"/>
      <c r="B83" s="178"/>
      <c r="C83" s="178"/>
      <c r="D83" s="178"/>
      <c r="E83" s="43">
        <v>12</v>
      </c>
      <c r="F83" s="43">
        <v>5</v>
      </c>
      <c r="G83" s="43" t="s">
        <v>181</v>
      </c>
      <c r="H83" s="43" t="s">
        <v>173</v>
      </c>
      <c r="I83" s="43">
        <v>4</v>
      </c>
      <c r="J83" s="57"/>
      <c r="K83" s="47">
        <f t="shared" si="21"/>
        <v>0</v>
      </c>
      <c r="L83" s="46"/>
      <c r="M83" s="46"/>
      <c r="N83" s="46"/>
      <c r="O83" s="61"/>
      <c r="P83" s="61"/>
      <c r="Q83" s="49"/>
      <c r="R83" s="51">
        <v>0.09</v>
      </c>
      <c r="S83" s="51"/>
      <c r="T83" s="51">
        <v>0.36</v>
      </c>
      <c r="U83" s="62"/>
      <c r="V83" s="53"/>
      <c r="W83" s="53"/>
      <c r="X83" s="54"/>
      <c r="Y83" s="54"/>
      <c r="Z83" s="54"/>
      <c r="AA83" s="181"/>
      <c r="AB83" s="185"/>
      <c r="AC83" s="186"/>
      <c r="AD83" s="190"/>
      <c r="AE83" s="192"/>
      <c r="AF83" s="192"/>
      <c r="AG83" s="191"/>
      <c r="AH83" s="194"/>
    </row>
    <row r="84" spans="1:35" s="56" customFormat="1" ht="32.4" customHeight="1" x14ac:dyDescent="0.25">
      <c r="A84" s="175"/>
      <c r="B84" s="178"/>
      <c r="C84" s="178"/>
      <c r="D84" s="178"/>
      <c r="E84" s="43"/>
      <c r="F84" s="43">
        <v>6</v>
      </c>
      <c r="G84" s="43" t="s">
        <v>170</v>
      </c>
      <c r="H84" s="43" t="s">
        <v>145</v>
      </c>
      <c r="I84" s="43">
        <v>2</v>
      </c>
      <c r="J84" s="57" t="s">
        <v>171</v>
      </c>
      <c r="K84" s="47">
        <f t="shared" ref="K84" si="22">I84*P84</f>
        <v>0.115</v>
      </c>
      <c r="L84" s="46"/>
      <c r="M84" s="46"/>
      <c r="N84" s="46" t="s">
        <v>154</v>
      </c>
      <c r="O84" s="61">
        <v>5.7500000000000002E-2</v>
      </c>
      <c r="P84" s="61">
        <v>5.7500000000000002E-2</v>
      </c>
      <c r="Q84" s="49"/>
      <c r="R84" s="51">
        <v>7.9649999999999999</v>
      </c>
      <c r="S84" s="51"/>
      <c r="T84" s="51">
        <f>(O84*R84-Q84*S84)*I84</f>
        <v>0.91597499999999998</v>
      </c>
      <c r="U84" s="62"/>
      <c r="V84" s="53"/>
      <c r="W84" s="53"/>
      <c r="X84" s="54"/>
      <c r="Y84" s="54"/>
      <c r="Z84" s="54"/>
      <c r="AA84" s="181"/>
      <c r="AB84" s="185"/>
      <c r="AC84" s="186"/>
      <c r="AD84" s="190"/>
      <c r="AE84" s="192"/>
      <c r="AF84" s="192"/>
      <c r="AG84" s="191"/>
      <c r="AH84" s="194"/>
    </row>
    <row r="85" spans="1:35" s="56" customFormat="1" ht="32.4" customHeight="1" x14ac:dyDescent="0.25">
      <c r="A85" s="175"/>
      <c r="B85" s="178"/>
      <c r="C85" s="178"/>
      <c r="D85" s="178"/>
      <c r="E85" s="43"/>
      <c r="F85" s="43">
        <v>7</v>
      </c>
      <c r="G85" s="43" t="s">
        <v>202</v>
      </c>
      <c r="H85" s="43" t="s">
        <v>145</v>
      </c>
      <c r="I85" s="43">
        <v>1</v>
      </c>
      <c r="J85" s="57" t="s">
        <v>203</v>
      </c>
      <c r="K85" s="47"/>
      <c r="L85" s="46"/>
      <c r="M85" s="46"/>
      <c r="N85" s="46"/>
      <c r="O85" s="61">
        <v>8.6300000000000002E-2</v>
      </c>
      <c r="P85" s="61">
        <v>8.6300000000000002E-2</v>
      </c>
      <c r="Q85" s="49"/>
      <c r="R85" s="51">
        <v>7.9649999999999999</v>
      </c>
      <c r="S85" s="51"/>
      <c r="T85" s="51">
        <f>(O85*R85-Q85*S85)*I85</f>
        <v>0.68737950000000003</v>
      </c>
      <c r="U85" s="62"/>
      <c r="V85" s="53"/>
      <c r="W85" s="53"/>
      <c r="X85" s="54"/>
      <c r="Y85" s="54"/>
      <c r="Z85" s="54"/>
      <c r="AA85" s="181"/>
      <c r="AB85" s="185"/>
      <c r="AC85" s="186"/>
      <c r="AD85" s="190"/>
      <c r="AE85" s="192"/>
      <c r="AF85" s="192"/>
      <c r="AG85" s="191"/>
      <c r="AH85" s="194"/>
    </row>
    <row r="86" spans="1:35" s="56" customFormat="1" ht="32.4" customHeight="1" x14ac:dyDescent="0.25">
      <c r="A86" s="175"/>
      <c r="B86" s="178"/>
      <c r="C86" s="178"/>
      <c r="D86" s="178"/>
      <c r="E86" s="43">
        <v>9</v>
      </c>
      <c r="F86" s="43">
        <v>11</v>
      </c>
      <c r="G86" s="43" t="s">
        <v>204</v>
      </c>
      <c r="H86" s="43" t="s">
        <v>197</v>
      </c>
      <c r="I86" s="43">
        <v>1</v>
      </c>
      <c r="J86" s="57" t="s">
        <v>175</v>
      </c>
      <c r="K86" s="47">
        <f t="shared" ref="K86:K87" si="23">I86*P86</f>
        <v>0.18079999999999999</v>
      </c>
      <c r="L86" s="46"/>
      <c r="M86" s="46"/>
      <c r="N86" s="46" t="s">
        <v>176</v>
      </c>
      <c r="O86" s="61"/>
      <c r="P86" s="61">
        <v>0.18079999999999999</v>
      </c>
      <c r="Q86" s="49"/>
      <c r="R86" s="51">
        <v>7.9649999999999999</v>
      </c>
      <c r="S86" s="51"/>
      <c r="T86" s="51">
        <f>I86*P86*R86</f>
        <v>1.4400719999999998</v>
      </c>
      <c r="U86" s="62"/>
      <c r="V86" s="53"/>
      <c r="W86" s="53"/>
      <c r="X86" s="54"/>
      <c r="Y86" s="54"/>
      <c r="Z86" s="54"/>
      <c r="AA86" s="181"/>
      <c r="AB86" s="185"/>
      <c r="AC86" s="186"/>
      <c r="AD86" s="190"/>
      <c r="AE86" s="192"/>
      <c r="AF86" s="192"/>
      <c r="AG86" s="191"/>
      <c r="AH86" s="194"/>
    </row>
    <row r="87" spans="1:35" s="56" customFormat="1" ht="32.4" customHeight="1" x14ac:dyDescent="0.25">
      <c r="A87" s="175"/>
      <c r="B87" s="178"/>
      <c r="C87" s="178"/>
      <c r="D87" s="178"/>
      <c r="E87" s="43"/>
      <c r="F87" s="43">
        <v>12</v>
      </c>
      <c r="G87" s="43" t="s">
        <v>205</v>
      </c>
      <c r="H87" s="43" t="s">
        <v>173</v>
      </c>
      <c r="I87" s="43">
        <v>1</v>
      </c>
      <c r="J87" s="57" t="s">
        <v>207</v>
      </c>
      <c r="K87" s="47">
        <f t="shared" si="23"/>
        <v>0.28399999999999997</v>
      </c>
      <c r="L87" s="46"/>
      <c r="M87" s="46"/>
      <c r="N87" s="46" t="s">
        <v>147</v>
      </c>
      <c r="O87" s="78"/>
      <c r="P87" s="61">
        <v>0.28399999999999997</v>
      </c>
      <c r="Q87" s="49"/>
      <c r="R87" s="51">
        <v>4.3899999999999997</v>
      </c>
      <c r="S87" s="51"/>
      <c r="T87" s="51">
        <f>I87*P87*R87</f>
        <v>1.2467599999999999</v>
      </c>
      <c r="U87" s="62" t="s">
        <v>148</v>
      </c>
      <c r="V87" s="53"/>
      <c r="W87" s="53">
        <v>1</v>
      </c>
      <c r="X87" s="54"/>
      <c r="Y87" s="54"/>
      <c r="Z87" s="54">
        <v>0.06</v>
      </c>
      <c r="AA87" s="181"/>
      <c r="AB87" s="185"/>
      <c r="AC87" s="186"/>
      <c r="AD87" s="190"/>
      <c r="AE87" s="192"/>
      <c r="AF87" s="192"/>
      <c r="AG87" s="191"/>
      <c r="AH87" s="194"/>
    </row>
    <row r="88" spans="1:35" s="56" customFormat="1" ht="32.4" customHeight="1" x14ac:dyDescent="0.25">
      <c r="A88" s="175"/>
      <c r="B88" s="178"/>
      <c r="C88" s="178"/>
      <c r="D88" s="178"/>
      <c r="E88" s="43"/>
      <c r="F88" s="43">
        <v>13</v>
      </c>
      <c r="G88" s="43" t="s">
        <v>208</v>
      </c>
      <c r="H88" s="43" t="s">
        <v>173</v>
      </c>
      <c r="I88" s="43">
        <v>1</v>
      </c>
      <c r="J88" s="57" t="s">
        <v>209</v>
      </c>
      <c r="K88" s="47">
        <f t="shared" ref="K88" si="24">I88*P88</f>
        <v>1.8100000000000002E-2</v>
      </c>
      <c r="L88" s="46"/>
      <c r="M88" s="46"/>
      <c r="N88" s="46"/>
      <c r="O88" s="78"/>
      <c r="P88" s="61">
        <v>1.8100000000000002E-2</v>
      </c>
      <c r="Q88" s="49"/>
      <c r="R88" s="51"/>
      <c r="S88" s="51"/>
      <c r="T88" s="51">
        <v>0.6</v>
      </c>
      <c r="U88" s="62" t="s">
        <v>148</v>
      </c>
      <c r="V88" s="53"/>
      <c r="W88" s="53">
        <v>1</v>
      </c>
      <c r="X88" s="54"/>
      <c r="Y88" s="54"/>
      <c r="Z88" s="54">
        <v>0.06</v>
      </c>
      <c r="AA88" s="181"/>
      <c r="AB88" s="185"/>
      <c r="AC88" s="186"/>
      <c r="AD88" s="190"/>
      <c r="AE88" s="192"/>
      <c r="AF88" s="192"/>
      <c r="AG88" s="191"/>
      <c r="AH88" s="194"/>
    </row>
    <row r="89" spans="1:35" s="77" customFormat="1" ht="32.4" customHeight="1" x14ac:dyDescent="0.25">
      <c r="A89" s="175"/>
      <c r="B89" s="178"/>
      <c r="C89" s="178"/>
      <c r="D89" s="178"/>
      <c r="E89" s="43"/>
      <c r="F89" s="43"/>
      <c r="G89" s="43"/>
      <c r="H89" s="43"/>
      <c r="I89" s="43"/>
      <c r="J89" s="57"/>
      <c r="K89" s="47"/>
      <c r="L89" s="46"/>
      <c r="M89" s="46"/>
      <c r="N89" s="46"/>
      <c r="O89" s="61"/>
      <c r="P89" s="61"/>
      <c r="Q89" s="49"/>
      <c r="R89" s="51"/>
      <c r="S89" s="51"/>
      <c r="T89" s="51"/>
      <c r="U89" s="62" t="s">
        <v>182</v>
      </c>
      <c r="V89" s="53"/>
      <c r="W89" s="53">
        <v>30</v>
      </c>
      <c r="X89" s="54">
        <v>0.06</v>
      </c>
      <c r="Y89" s="54">
        <v>1</v>
      </c>
      <c r="Z89" s="54">
        <f>W89*X89/Y89</f>
        <v>1.7999999999999998</v>
      </c>
      <c r="AA89" s="181"/>
      <c r="AB89" s="185"/>
      <c r="AC89" s="186"/>
      <c r="AD89" s="190"/>
      <c r="AE89" s="192"/>
      <c r="AF89" s="192"/>
      <c r="AG89" s="191"/>
      <c r="AH89" s="194"/>
    </row>
    <row r="90" spans="1:35" s="77" customFormat="1" ht="32.4" customHeight="1" x14ac:dyDescent="0.25">
      <c r="A90" s="175"/>
      <c r="B90" s="178"/>
      <c r="C90" s="178"/>
      <c r="D90" s="178"/>
      <c r="E90" s="43"/>
      <c r="F90" s="43"/>
      <c r="G90" s="43"/>
      <c r="H90" s="43"/>
      <c r="I90" s="43"/>
      <c r="J90" s="57"/>
      <c r="K90" s="47"/>
      <c r="L90" s="46"/>
      <c r="M90" s="46"/>
      <c r="N90" s="46"/>
      <c r="O90" s="61"/>
      <c r="P90" s="61"/>
      <c r="Q90" s="49"/>
      <c r="R90" s="51"/>
      <c r="S90" s="51"/>
      <c r="T90" s="51"/>
      <c r="U90" s="62" t="s">
        <v>183</v>
      </c>
      <c r="V90" s="53"/>
      <c r="W90" s="53">
        <v>30</v>
      </c>
      <c r="X90" s="92">
        <v>0.06</v>
      </c>
      <c r="Y90" s="54">
        <v>1</v>
      </c>
      <c r="Z90" s="54">
        <f>W90*X90/Y90</f>
        <v>1.7999999999999998</v>
      </c>
      <c r="AA90" s="181"/>
      <c r="AB90" s="185"/>
      <c r="AC90" s="186"/>
      <c r="AD90" s="190"/>
      <c r="AE90" s="192"/>
      <c r="AF90" s="192"/>
      <c r="AG90" s="191"/>
      <c r="AH90" s="194"/>
    </row>
    <row r="91" spans="1:35" s="77" customFormat="1" ht="32.4" customHeight="1" x14ac:dyDescent="0.25">
      <c r="A91" s="175"/>
      <c r="B91" s="178"/>
      <c r="C91" s="178"/>
      <c r="D91" s="178"/>
      <c r="E91" s="43"/>
      <c r="F91" s="43"/>
      <c r="G91" s="43"/>
      <c r="H91" s="43"/>
      <c r="I91" s="43"/>
      <c r="J91" s="57"/>
      <c r="K91" s="47"/>
      <c r="L91" s="46"/>
      <c r="M91" s="46"/>
      <c r="N91" s="46"/>
      <c r="O91" s="61"/>
      <c r="P91" s="61"/>
      <c r="Q91" s="49"/>
      <c r="R91" s="51"/>
      <c r="S91" s="51"/>
      <c r="T91" s="51"/>
      <c r="U91" s="62" t="s">
        <v>184</v>
      </c>
      <c r="V91" s="53"/>
      <c r="W91" s="53">
        <v>8</v>
      </c>
      <c r="X91" s="54"/>
      <c r="Y91" s="54"/>
      <c r="Z91" s="54">
        <v>0.36</v>
      </c>
      <c r="AA91" s="181"/>
      <c r="AB91" s="185"/>
      <c r="AC91" s="186"/>
      <c r="AD91" s="190"/>
      <c r="AE91" s="192"/>
      <c r="AF91" s="192"/>
      <c r="AG91" s="191"/>
      <c r="AH91" s="194"/>
    </row>
    <row r="92" spans="1:35" s="77" customFormat="1" ht="32.4" customHeight="1" x14ac:dyDescent="0.25">
      <c r="A92" s="175"/>
      <c r="B92" s="178"/>
      <c r="C92" s="178"/>
      <c r="D92" s="178"/>
      <c r="E92" s="43"/>
      <c r="F92" s="43"/>
      <c r="G92" s="43"/>
      <c r="H92" s="43"/>
      <c r="I92" s="43"/>
      <c r="J92" s="57"/>
      <c r="K92" s="47"/>
      <c r="L92" s="46"/>
      <c r="M92" s="46"/>
      <c r="N92" s="46"/>
      <c r="O92" s="61"/>
      <c r="P92" s="61"/>
      <c r="Q92" s="49"/>
      <c r="R92" s="51"/>
      <c r="S92" s="51"/>
      <c r="T92" s="51"/>
      <c r="U92" s="62" t="s">
        <v>185</v>
      </c>
      <c r="V92" s="53"/>
      <c r="W92" s="53"/>
      <c r="X92" s="54"/>
      <c r="Y92" s="54"/>
      <c r="Z92" s="54">
        <v>3</v>
      </c>
      <c r="AA92" s="181"/>
      <c r="AB92" s="185"/>
      <c r="AC92" s="186"/>
      <c r="AD92" s="190"/>
      <c r="AE92" s="192"/>
      <c r="AF92" s="192"/>
      <c r="AG92" s="191"/>
      <c r="AH92" s="194"/>
    </row>
    <row r="93" spans="1:35" s="77" customFormat="1" ht="34.200000000000003" customHeight="1" x14ac:dyDescent="0.25">
      <c r="A93" s="175"/>
      <c r="B93" s="178"/>
      <c r="C93" s="178"/>
      <c r="D93" s="178"/>
      <c r="E93" s="43"/>
      <c r="F93" s="43"/>
      <c r="G93" s="57"/>
      <c r="H93" s="57"/>
      <c r="I93" s="57"/>
      <c r="J93" s="53"/>
      <c r="K93" s="47"/>
      <c r="L93" s="46"/>
      <c r="M93" s="46"/>
      <c r="N93" s="46"/>
      <c r="O93" s="78"/>
      <c r="P93" s="61">
        <f>SUMPRODUCT(I65:I83,P65:P83)</f>
        <v>3.7053782000000002</v>
      </c>
      <c r="Q93" s="49"/>
      <c r="R93" s="51"/>
      <c r="S93" s="51"/>
      <c r="T93" s="51"/>
      <c r="U93" s="62"/>
      <c r="V93" s="81"/>
      <c r="W93" s="53"/>
      <c r="X93" s="82"/>
      <c r="Y93" s="54"/>
      <c r="Z93" s="54"/>
      <c r="AA93" s="182"/>
      <c r="AB93" s="187"/>
      <c r="AC93" s="188"/>
      <c r="AD93" s="190"/>
      <c r="AE93" s="192"/>
      <c r="AF93" s="192"/>
      <c r="AG93" s="191"/>
      <c r="AH93" s="195"/>
    </row>
    <row r="94" spans="1:35" s="56" customFormat="1" ht="22.95" customHeight="1" x14ac:dyDescent="0.25">
      <c r="A94" s="176"/>
      <c r="B94" s="179"/>
      <c r="C94" s="179"/>
      <c r="D94" s="179"/>
      <c r="E94" s="43"/>
      <c r="F94" s="91"/>
      <c r="G94" s="167" t="s">
        <v>39</v>
      </c>
      <c r="H94" s="168"/>
      <c r="I94" s="168"/>
      <c r="J94" s="168"/>
      <c r="K94" s="168"/>
      <c r="L94" s="168"/>
      <c r="M94" s="168"/>
      <c r="N94" s="168"/>
      <c r="O94" s="169"/>
      <c r="P94" s="169"/>
      <c r="Q94" s="169"/>
      <c r="R94" s="170"/>
      <c r="S94" s="171"/>
      <c r="T94" s="83">
        <f>SUM(T65:T93)</f>
        <v>23.455353167999995</v>
      </c>
      <c r="U94" s="84"/>
      <c r="V94" s="85"/>
      <c r="W94" s="85"/>
      <c r="X94" s="86"/>
      <c r="Y94" s="86"/>
      <c r="Z94" s="87">
        <f>SUM(Z65:Z93)</f>
        <v>8.1700000000000017</v>
      </c>
      <c r="AA94" s="87">
        <f>(T94+Z94)*AA65</f>
        <v>34.7878884848</v>
      </c>
      <c r="AB94" s="172">
        <v>1</v>
      </c>
      <c r="AC94" s="173"/>
      <c r="AD94" s="59">
        <f>AA94+AB94</f>
        <v>35.7878884848</v>
      </c>
      <c r="AE94" s="88"/>
      <c r="AF94" s="88"/>
      <c r="AG94" s="89"/>
      <c r="AH94" s="94">
        <v>44.75</v>
      </c>
      <c r="AI94" s="95">
        <f>(AD94-AH94)/AD94</f>
        <v>-0.25042303121645276</v>
      </c>
    </row>
  </sheetData>
  <mergeCells count="62">
    <mergeCell ref="AH1:AH2"/>
    <mergeCell ref="AH3:AH32"/>
    <mergeCell ref="AH34:AH63"/>
    <mergeCell ref="AH65:AH93"/>
    <mergeCell ref="AD65:AD93"/>
    <mergeCell ref="AE65:AE93"/>
    <mergeCell ref="AF65:AF93"/>
    <mergeCell ref="AG65:AG93"/>
    <mergeCell ref="AG34:AG63"/>
    <mergeCell ref="AE3:AE32"/>
    <mergeCell ref="AF3:AF32"/>
    <mergeCell ref="AG3:AG32"/>
    <mergeCell ref="AF1:AF2"/>
    <mergeCell ref="AG1:AG2"/>
    <mergeCell ref="AD3:AD32"/>
    <mergeCell ref="AE1:AE2"/>
    <mergeCell ref="A65:A94"/>
    <mergeCell ref="B65:B94"/>
    <mergeCell ref="C65:C94"/>
    <mergeCell ref="D65:D94"/>
    <mergeCell ref="AA65:AA93"/>
    <mergeCell ref="AD34:AD63"/>
    <mergeCell ref="AE34:AE63"/>
    <mergeCell ref="AF34:AF63"/>
    <mergeCell ref="G94:S94"/>
    <mergeCell ref="AB94:AC94"/>
    <mergeCell ref="G64:S64"/>
    <mergeCell ref="AB64:AC64"/>
    <mergeCell ref="AB65:AC93"/>
    <mergeCell ref="G33:S33"/>
    <mergeCell ref="AB33:AC33"/>
    <mergeCell ref="A34:A64"/>
    <mergeCell ref="B34:B64"/>
    <mergeCell ref="C34:C64"/>
    <mergeCell ref="D34:D64"/>
    <mergeCell ref="AA34:AA63"/>
    <mergeCell ref="A3:A33"/>
    <mergeCell ref="B3:B33"/>
    <mergeCell ref="C3:C33"/>
    <mergeCell ref="D3:D33"/>
    <mergeCell ref="AA3:AA32"/>
    <mergeCell ref="AB3:AC32"/>
    <mergeCell ref="AB34:AC63"/>
    <mergeCell ref="U1:Z1"/>
    <mergeCell ref="AA1:AA2"/>
    <mergeCell ref="AB1:AB2"/>
    <mergeCell ref="AC1:AC2"/>
    <mergeCell ref="AD1:AD2"/>
    <mergeCell ref="T1:T2"/>
    <mergeCell ref="B1:B2"/>
    <mergeCell ref="C1:C2"/>
    <mergeCell ref="D1:D2"/>
    <mergeCell ref="G1:G2"/>
    <mergeCell ref="H1:H2"/>
    <mergeCell ref="I1:I2"/>
    <mergeCell ref="E1:E2"/>
    <mergeCell ref="F1:F2"/>
    <mergeCell ref="J1:J2"/>
    <mergeCell ref="K1:K2"/>
    <mergeCell ref="L1:N1"/>
    <mergeCell ref="O1:Q1"/>
    <mergeCell ref="R1:S1"/>
  </mergeCells>
  <phoneticPr fontId="2" type="noConversion"/>
  <conditionalFormatting sqref="K3:N6">
    <cfRule type="duplicateValues" dxfId="2" priority="3"/>
  </conditionalFormatting>
  <conditionalFormatting sqref="K34:N37">
    <cfRule type="duplicateValues" dxfId="1" priority="2"/>
  </conditionalFormatting>
  <conditionalFormatting sqref="K65:N68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副驾底支架</vt:lpstr>
      <vt:lpstr>主副驾靠背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2023-03-01T05:36:08Z</dcterms:modified>
</cp:coreProperties>
</file>