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NX MAX立项\豪瀚MAX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18" i="51" l="1"/>
  <c r="D26" i="51" l="1"/>
  <c r="D6" i="58"/>
  <c r="C6" i="58"/>
  <c r="D6" i="56"/>
  <c r="C6" i="56"/>
  <c r="C7" i="43"/>
  <c r="D6" i="43"/>
  <c r="D7" i="43" s="1"/>
  <c r="C6" i="43"/>
  <c r="G6" i="51" l="1"/>
  <c r="D3" i="53"/>
  <c r="A1" i="34" l="1"/>
  <c r="C21" i="55" l="1"/>
  <c r="D12" i="53"/>
  <c r="E20" i="53" s="1"/>
  <c r="F20" i="53" s="1"/>
  <c r="G20" i="53" s="1"/>
  <c r="E33" i="43"/>
  <c r="E33" i="56" s="1"/>
  <c r="E12" i="53"/>
  <c r="E21" i="53" s="1"/>
  <c r="F21" i="53" s="1"/>
  <c r="G21" i="53" s="1"/>
  <c r="D17" i="55"/>
  <c r="D18" i="55" s="1"/>
  <c r="D19" i="55" s="1"/>
  <c r="E22" i="55"/>
  <c r="E21" i="55"/>
  <c r="D21" i="55"/>
  <c r="K21" i="57"/>
  <c r="B9" i="51"/>
  <c r="B27" i="51" s="1"/>
  <c r="D27" i="51" s="1"/>
  <c r="F12" i="53"/>
  <c r="M8" i="55"/>
  <c r="F22" i="53"/>
  <c r="G22" i="53" s="1"/>
  <c r="H22" i="53" s="1"/>
  <c r="B8" i="51"/>
  <c r="B26" i="51"/>
  <c r="H31" i="50"/>
  <c r="H3" i="50"/>
  <c r="H17" i="50"/>
  <c r="D23" i="50" s="1"/>
  <c r="D44" i="43" s="1"/>
  <c r="H44" i="50"/>
  <c r="D52" i="50"/>
  <c r="F47" i="43" s="1"/>
  <c r="H57" i="50"/>
  <c r="H70" i="50"/>
  <c r="H83" i="50"/>
  <c r="D91" i="50"/>
  <c r="I47" i="43" s="1"/>
  <c r="H96" i="50"/>
  <c r="D49" i="50"/>
  <c r="F45" i="43" s="1"/>
  <c r="D50" i="50"/>
  <c r="F44" i="43"/>
  <c r="D76" i="50"/>
  <c r="H44" i="43" s="1"/>
  <c r="H44" i="59" s="1"/>
  <c r="H19" i="59" s="1"/>
  <c r="D46" i="50"/>
  <c r="F43" i="43" s="1"/>
  <c r="D45" i="50"/>
  <c r="F36" i="43" s="1"/>
  <c r="D47" i="50"/>
  <c r="F37" i="43"/>
  <c r="D51" i="50"/>
  <c r="F38" i="43" s="1"/>
  <c r="D90" i="50"/>
  <c r="I38" i="43" s="1"/>
  <c r="F33" i="56"/>
  <c r="F33" i="58"/>
  <c r="G33" i="56"/>
  <c r="G33" i="58"/>
  <c r="G33" i="59"/>
  <c r="G33" i="57"/>
  <c r="H33" i="56"/>
  <c r="H33" i="58"/>
  <c r="H33" i="59"/>
  <c r="H33" i="57"/>
  <c r="I33" i="56"/>
  <c r="I33" i="58"/>
  <c r="J33" i="56"/>
  <c r="J33" i="58"/>
  <c r="J33" i="59"/>
  <c r="J33" i="57"/>
  <c r="F33" i="59"/>
  <c r="I33" i="59"/>
  <c r="I33" i="57"/>
  <c r="C6" i="57"/>
  <c r="D6" i="57"/>
  <c r="D7" i="57"/>
  <c r="E6" i="57"/>
  <c r="F6" i="57"/>
  <c r="G6" i="57"/>
  <c r="H6" i="57"/>
  <c r="H7" i="57" s="1"/>
  <c r="I6" i="57"/>
  <c r="J6" i="57"/>
  <c r="C7" i="59"/>
  <c r="D7" i="59"/>
  <c r="E6" i="59"/>
  <c r="F6" i="59"/>
  <c r="G6" i="59"/>
  <c r="H6" i="59"/>
  <c r="I6" i="59"/>
  <c r="J6" i="59"/>
  <c r="J7" i="59" s="1"/>
  <c r="D7" i="58"/>
  <c r="E6" i="58"/>
  <c r="F6" i="58"/>
  <c r="G6" i="58"/>
  <c r="G7" i="58" s="1"/>
  <c r="H6" i="58"/>
  <c r="I6" i="58"/>
  <c r="I7" i="58" s="1"/>
  <c r="J6" i="58"/>
  <c r="J7" i="58" s="1"/>
  <c r="C7" i="56"/>
  <c r="D7" i="56"/>
  <c r="E6" i="56"/>
  <c r="E7" i="56"/>
  <c r="E8" i="56" s="1"/>
  <c r="E9" i="56" s="1"/>
  <c r="E32" i="56" s="1"/>
  <c r="F6" i="56"/>
  <c r="G6" i="56"/>
  <c r="H6" i="56"/>
  <c r="H7" i="56" s="1"/>
  <c r="H8" i="56" s="1"/>
  <c r="H9" i="56" s="1"/>
  <c r="I6" i="56"/>
  <c r="J6" i="56"/>
  <c r="J10" i="56" s="1"/>
  <c r="G12" i="53"/>
  <c r="H12" i="53"/>
  <c r="I12" i="53"/>
  <c r="J12" i="53"/>
  <c r="K12" i="53"/>
  <c r="F18" i="55"/>
  <c r="G18" i="55"/>
  <c r="G19" i="55"/>
  <c r="H18" i="55"/>
  <c r="H19" i="55"/>
  <c r="I18" i="55"/>
  <c r="J18" i="55"/>
  <c r="J19" i="55"/>
  <c r="E19" i="55"/>
  <c r="F19" i="55"/>
  <c r="I19" i="55"/>
  <c r="H32" i="43"/>
  <c r="H34" i="43" s="1"/>
  <c r="D31" i="43"/>
  <c r="E31" i="43"/>
  <c r="E31" i="59" s="1"/>
  <c r="F31" i="43"/>
  <c r="F31" i="59"/>
  <c r="G31" i="43"/>
  <c r="H31" i="43"/>
  <c r="H31" i="58"/>
  <c r="I31" i="43"/>
  <c r="I31" i="59" s="1"/>
  <c r="J31" i="43"/>
  <c r="E6" i="43"/>
  <c r="F6" i="43"/>
  <c r="F10" i="43" s="1"/>
  <c r="G6" i="43"/>
  <c r="H6" i="43"/>
  <c r="I6" i="43"/>
  <c r="I10" i="43"/>
  <c r="J6" i="43"/>
  <c r="D3" i="43"/>
  <c r="D3" i="59" s="1"/>
  <c r="E3" i="43"/>
  <c r="F3" i="43"/>
  <c r="F3" i="59" s="1"/>
  <c r="G3" i="43"/>
  <c r="H3" i="43"/>
  <c r="I3" i="43"/>
  <c r="I3" i="57"/>
  <c r="J3" i="43"/>
  <c r="D4" i="43"/>
  <c r="D4" i="57"/>
  <c r="E4" i="43"/>
  <c r="E4" i="58"/>
  <c r="F4" i="43"/>
  <c r="G4" i="43"/>
  <c r="G4" i="57"/>
  <c r="H4" i="43"/>
  <c r="H4" i="59"/>
  <c r="I4" i="43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F7" i="50"/>
  <c r="H109" i="50"/>
  <c r="D114" i="50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D4" i="53"/>
  <c r="C20" i="53" s="1"/>
  <c r="E4" i="53"/>
  <c r="C21" i="53" s="1"/>
  <c r="F4" i="53"/>
  <c r="G4" i="53"/>
  <c r="H4" i="53"/>
  <c r="I4" i="53"/>
  <c r="J4" i="53"/>
  <c r="K4" i="53"/>
  <c r="D5" i="53"/>
  <c r="D20" i="53" s="1"/>
  <c r="E5" i="53"/>
  <c r="D21" i="53" s="1"/>
  <c r="F5" i="53"/>
  <c r="G5" i="53"/>
  <c r="H5" i="53"/>
  <c r="I5" i="53"/>
  <c r="J5" i="53"/>
  <c r="K5" i="53"/>
  <c r="D115" i="50"/>
  <c r="D48" i="50"/>
  <c r="K8" i="43"/>
  <c r="C6" i="2"/>
  <c r="D15" i="55"/>
  <c r="E15" i="55"/>
  <c r="F15" i="55"/>
  <c r="G15" i="55"/>
  <c r="H15" i="55"/>
  <c r="I15" i="55"/>
  <c r="J15" i="55"/>
  <c r="K15" i="55"/>
  <c r="L12" i="53"/>
  <c r="N7" i="55"/>
  <c r="N8" i="55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O7" i="55"/>
  <c r="J8" i="56" s="1"/>
  <c r="J9" i="56" s="1"/>
  <c r="C7" i="57"/>
  <c r="C8" i="57" s="1"/>
  <c r="B5" i="5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F10" i="36" s="1"/>
  <c r="E11" i="36"/>
  <c r="E10" i="36" s="1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I4" i="58"/>
  <c r="J7" i="56"/>
  <c r="G7" i="59"/>
  <c r="D88" i="50"/>
  <c r="I45" i="43" s="1"/>
  <c r="F31" i="57"/>
  <c r="F38" i="58"/>
  <c r="C9" i="43"/>
  <c r="D116" i="50"/>
  <c r="D112" i="50"/>
  <c r="D117" i="50"/>
  <c r="D111" i="50"/>
  <c r="D113" i="50"/>
  <c r="D110" i="50"/>
  <c r="J3" i="57"/>
  <c r="J3" i="59"/>
  <c r="J3" i="56"/>
  <c r="G3" i="59"/>
  <c r="G3" i="57"/>
  <c r="G3" i="56"/>
  <c r="H10" i="43"/>
  <c r="H7" i="43"/>
  <c r="H9" i="43"/>
  <c r="E10" i="43"/>
  <c r="D3" i="56"/>
  <c r="I31" i="56"/>
  <c r="H10" i="57"/>
  <c r="D87" i="50"/>
  <c r="I3" i="58"/>
  <c r="F44" i="56"/>
  <c r="F19" i="56" s="1"/>
  <c r="D103" i="50"/>
  <c r="J38" i="43" s="1"/>
  <c r="D84" i="50"/>
  <c r="I36" i="43" s="1"/>
  <c r="D19" i="50"/>
  <c r="D43" i="43" s="1"/>
  <c r="F11" i="43"/>
  <c r="G7" i="56"/>
  <c r="D86" i="50"/>
  <c r="I37" i="43" s="1"/>
  <c r="D85" i="50"/>
  <c r="I43" i="43" s="1"/>
  <c r="D102" i="50"/>
  <c r="J44" i="43" s="1"/>
  <c r="D89" i="50"/>
  <c r="I44" i="43" s="1"/>
  <c r="I19" i="43" s="1"/>
  <c r="D33" i="43"/>
  <c r="F33" i="57"/>
  <c r="F10" i="57"/>
  <c r="G19" i="2"/>
  <c r="G4" i="58"/>
  <c r="J4" i="57"/>
  <c r="J4" i="58"/>
  <c r="D21" i="50"/>
  <c r="E32" i="43"/>
  <c r="D4" i="58"/>
  <c r="D3" i="57"/>
  <c r="E4" i="56"/>
  <c r="C3" i="58"/>
  <c r="C4" i="57"/>
  <c r="C4" i="59"/>
  <c r="C4" i="56"/>
  <c r="C4" i="58"/>
  <c r="H4" i="58"/>
  <c r="H4" i="57"/>
  <c r="I3" i="59"/>
  <c r="I3" i="56"/>
  <c r="F3" i="57"/>
  <c r="F3" i="56"/>
  <c r="J10" i="43"/>
  <c r="J7" i="43"/>
  <c r="J9" i="43" s="1"/>
  <c r="K6" i="43"/>
  <c r="D9" i="43"/>
  <c r="J31" i="58"/>
  <c r="J32" i="43"/>
  <c r="J34" i="43" s="1"/>
  <c r="G31" i="58"/>
  <c r="G31" i="57"/>
  <c r="G31" i="56"/>
  <c r="G32" i="43"/>
  <c r="G34" i="43"/>
  <c r="D31" i="57"/>
  <c r="F3" i="58"/>
  <c r="E4" i="59"/>
  <c r="I10" i="58"/>
  <c r="H7" i="59"/>
  <c r="E7" i="59"/>
  <c r="J10" i="57"/>
  <c r="J7" i="57"/>
  <c r="G10" i="57"/>
  <c r="G31" i="59"/>
  <c r="H10" i="59"/>
  <c r="F37" i="57"/>
  <c r="I36" i="57"/>
  <c r="F45" i="57"/>
  <c r="F20" i="57" s="1"/>
  <c r="C31" i="56"/>
  <c r="H19" i="43"/>
  <c r="H4" i="56"/>
  <c r="F10" i="56"/>
  <c r="F7" i="56"/>
  <c r="E4" i="57"/>
  <c r="F36" i="59"/>
  <c r="D75" i="50"/>
  <c r="H45" i="43"/>
  <c r="H20" i="43"/>
  <c r="D71" i="50"/>
  <c r="H36" i="43"/>
  <c r="D73" i="50"/>
  <c r="H37" i="43" s="1"/>
  <c r="H12" i="43" s="1"/>
  <c r="D77" i="50"/>
  <c r="H38" i="43" s="1"/>
  <c r="D78" i="50"/>
  <c r="H47" i="43"/>
  <c r="D72" i="50"/>
  <c r="H43" i="43"/>
  <c r="D74" i="50"/>
  <c r="H44" i="57"/>
  <c r="H19" i="57" s="1"/>
  <c r="I45" i="58"/>
  <c r="I20" i="58" s="1"/>
  <c r="I45" i="57"/>
  <c r="D39" i="50"/>
  <c r="E47" i="43" s="1"/>
  <c r="D33" i="50"/>
  <c r="E43" i="43"/>
  <c r="D32" i="50"/>
  <c r="E36" i="43"/>
  <c r="D38" i="50"/>
  <c r="E38" i="43" s="1"/>
  <c r="D37" i="50"/>
  <c r="E44" i="43"/>
  <c r="D36" i="50"/>
  <c r="E45" i="43" s="1"/>
  <c r="D35" i="50"/>
  <c r="D34" i="50"/>
  <c r="E37" i="43"/>
  <c r="I20" i="43"/>
  <c r="F12" i="43"/>
  <c r="J4" i="56"/>
  <c r="G4" i="56"/>
  <c r="D4" i="56"/>
  <c r="C3" i="56"/>
  <c r="H3" i="58"/>
  <c r="G4" i="59"/>
  <c r="D4" i="59"/>
  <c r="C3" i="57"/>
  <c r="F31" i="58"/>
  <c r="I31" i="57"/>
  <c r="H10" i="56"/>
  <c r="I7" i="43"/>
  <c r="I9" i="43" s="1"/>
  <c r="F7" i="43"/>
  <c r="F9" i="43"/>
  <c r="F19" i="43"/>
  <c r="H31" i="57"/>
  <c r="H31" i="56"/>
  <c r="E31" i="57"/>
  <c r="E31" i="56"/>
  <c r="I32" i="43"/>
  <c r="I34" i="43"/>
  <c r="F32" i="43"/>
  <c r="F34" i="43"/>
  <c r="F40" i="43" s="1"/>
  <c r="F4" i="56"/>
  <c r="J3" i="58"/>
  <c r="G3" i="58"/>
  <c r="D3" i="58"/>
  <c r="J10" i="58"/>
  <c r="G10" i="58"/>
  <c r="F31" i="56"/>
  <c r="I31" i="58"/>
  <c r="E31" i="58"/>
  <c r="H31" i="59"/>
  <c r="G10" i="56"/>
  <c r="F7" i="59"/>
  <c r="E7" i="57"/>
  <c r="D43" i="57"/>
  <c r="J44" i="59"/>
  <c r="J19" i="59" s="1"/>
  <c r="D9" i="50"/>
  <c r="C44" i="43" s="1"/>
  <c r="I47" i="58"/>
  <c r="I22" i="58" s="1"/>
  <c r="I47" i="59"/>
  <c r="I22" i="59" s="1"/>
  <c r="I47" i="56"/>
  <c r="I22" i="56"/>
  <c r="F12" i="57"/>
  <c r="H7" i="58"/>
  <c r="E7" i="58"/>
  <c r="H10" i="58"/>
  <c r="J10" i="59"/>
  <c r="G10" i="59"/>
  <c r="I7" i="57"/>
  <c r="I8" i="57" s="1"/>
  <c r="F7" i="57"/>
  <c r="D65" i="50"/>
  <c r="G47" i="43" s="1"/>
  <c r="G47" i="57" s="1"/>
  <c r="G22" i="43"/>
  <c r="D59" i="50"/>
  <c r="G43" i="43" s="1"/>
  <c r="D60" i="50"/>
  <c r="G37" i="43" s="1"/>
  <c r="D62" i="50"/>
  <c r="G45" i="43"/>
  <c r="G45" i="59" s="1"/>
  <c r="D64" i="50"/>
  <c r="G38" i="43" s="1"/>
  <c r="D22" i="50"/>
  <c r="D45" i="43" s="1"/>
  <c r="D20" i="50"/>
  <c r="D37" i="43" s="1"/>
  <c r="D25" i="50"/>
  <c r="D47" i="43" s="1"/>
  <c r="D18" i="50"/>
  <c r="D36" i="43" s="1"/>
  <c r="D24" i="50"/>
  <c r="D38" i="43" s="1"/>
  <c r="D104" i="50"/>
  <c r="J47" i="43" s="1"/>
  <c r="D98" i="50"/>
  <c r="J43" i="43"/>
  <c r="D99" i="50"/>
  <c r="J37" i="43" s="1"/>
  <c r="J37" i="59" s="1"/>
  <c r="I44" i="57"/>
  <c r="I19" i="57" s="1"/>
  <c r="I44" i="59"/>
  <c r="I19" i="59" s="1"/>
  <c r="I44" i="56"/>
  <c r="I19" i="56"/>
  <c r="I44" i="58"/>
  <c r="I19" i="58" s="1"/>
  <c r="D43" i="56"/>
  <c r="I43" i="59"/>
  <c r="I43" i="57"/>
  <c r="I43" i="58"/>
  <c r="I43" i="56"/>
  <c r="J43" i="56"/>
  <c r="G37" i="58"/>
  <c r="G12" i="43"/>
  <c r="E37" i="57"/>
  <c r="E12" i="57" s="1"/>
  <c r="E37" i="59"/>
  <c r="E12" i="59" s="1"/>
  <c r="E37" i="56"/>
  <c r="E12" i="56" s="1"/>
  <c r="E37" i="58"/>
  <c r="E12" i="58"/>
  <c r="E44" i="58"/>
  <c r="E19" i="58"/>
  <c r="E44" i="59"/>
  <c r="E19" i="59" s="1"/>
  <c r="E44" i="57"/>
  <c r="E19" i="57"/>
  <c r="E44" i="56"/>
  <c r="E19" i="56" s="1"/>
  <c r="E19" i="43"/>
  <c r="E43" i="56"/>
  <c r="H47" i="58"/>
  <c r="H22" i="58"/>
  <c r="H47" i="57"/>
  <c r="H22" i="57" s="1"/>
  <c r="H47" i="56"/>
  <c r="H22" i="56" s="1"/>
  <c r="H47" i="59"/>
  <c r="H22" i="59"/>
  <c r="H22" i="43"/>
  <c r="H36" i="57"/>
  <c r="H11" i="57"/>
  <c r="H36" i="59"/>
  <c r="H11" i="59" s="1"/>
  <c r="H36" i="58"/>
  <c r="H11" i="58" s="1"/>
  <c r="H14" i="58" s="1"/>
  <c r="H36" i="56"/>
  <c r="H11" i="56"/>
  <c r="H11" i="43"/>
  <c r="J47" i="56"/>
  <c r="J22" i="56" s="1"/>
  <c r="G38" i="59"/>
  <c r="G13" i="59" s="1"/>
  <c r="G43" i="58"/>
  <c r="G43" i="56"/>
  <c r="E8" i="57"/>
  <c r="H38" i="59"/>
  <c r="H13" i="59"/>
  <c r="H38" i="57"/>
  <c r="H13" i="57" s="1"/>
  <c r="H38" i="58"/>
  <c r="H13" i="58" s="1"/>
  <c r="H38" i="56"/>
  <c r="H13" i="56"/>
  <c r="H13" i="43"/>
  <c r="H45" i="58"/>
  <c r="H20" i="58"/>
  <c r="H45" i="57"/>
  <c r="H20" i="57" s="1"/>
  <c r="H45" i="59"/>
  <c r="H20" i="59"/>
  <c r="H45" i="56"/>
  <c r="H20" i="56"/>
  <c r="H40" i="43"/>
  <c r="K7" i="43"/>
  <c r="C5" i="2" s="1"/>
  <c r="C4" i="2"/>
  <c r="J37" i="58"/>
  <c r="J12" i="58" s="1"/>
  <c r="J37" i="56"/>
  <c r="J12" i="56"/>
  <c r="J37" i="57"/>
  <c r="J12" i="57" s="1"/>
  <c r="J12" i="59"/>
  <c r="J12" i="43"/>
  <c r="G45" i="57"/>
  <c r="G20" i="57" s="1"/>
  <c r="G45" i="58"/>
  <c r="G20" i="58" s="1"/>
  <c r="G20" i="59"/>
  <c r="G45" i="56"/>
  <c r="G20" i="56" s="1"/>
  <c r="G20" i="43"/>
  <c r="G47" i="58"/>
  <c r="G22" i="58" s="1"/>
  <c r="G47" i="59"/>
  <c r="G22" i="59" s="1"/>
  <c r="G22" i="57"/>
  <c r="G47" i="56"/>
  <c r="G22" i="56" s="1"/>
  <c r="F8" i="57"/>
  <c r="F9" i="57"/>
  <c r="E45" i="58"/>
  <c r="E20" i="58" s="1"/>
  <c r="E45" i="56"/>
  <c r="E20" i="56" s="1"/>
  <c r="E45" i="57"/>
  <c r="E20" i="57" s="1"/>
  <c r="E45" i="59"/>
  <c r="E20" i="59" s="1"/>
  <c r="E36" i="59"/>
  <c r="E11" i="59" s="1"/>
  <c r="E36" i="57"/>
  <c r="E11" i="57" s="1"/>
  <c r="E36" i="56"/>
  <c r="E11" i="56" s="1"/>
  <c r="E36" i="58"/>
  <c r="E11" i="58" s="1"/>
  <c r="E11" i="43"/>
  <c r="H43" i="58"/>
  <c r="H43" i="57"/>
  <c r="H43" i="59"/>
  <c r="H43" i="56"/>
  <c r="H37" i="57"/>
  <c r="H12" i="57" s="1"/>
  <c r="H14" i="57" s="1"/>
  <c r="H37" i="59"/>
  <c r="H12" i="59" s="1"/>
  <c r="H14" i="59" s="1"/>
  <c r="H37" i="58"/>
  <c r="H12" i="58"/>
  <c r="H37" i="56"/>
  <c r="H12" i="56" s="1"/>
  <c r="H14" i="56" s="1"/>
  <c r="J8" i="57"/>
  <c r="J9" i="57" s="1"/>
  <c r="G13" i="43"/>
  <c r="J22" i="43"/>
  <c r="H14" i="43"/>
  <c r="H15" i="43" s="1"/>
  <c r="H16" i="43" s="1"/>
  <c r="E9" i="57"/>
  <c r="F32" i="57"/>
  <c r="F34" i="57" s="1"/>
  <c r="G12" i="58"/>
  <c r="E32" i="57"/>
  <c r="H28" i="51"/>
  <c r="J10" i="36" l="1"/>
  <c r="J17" i="36" s="1"/>
  <c r="J19" i="36" s="1"/>
  <c r="M14" i="36"/>
  <c r="C10" i="36"/>
  <c r="H10" i="36"/>
  <c r="M10" i="36" s="1"/>
  <c r="K10" i="36"/>
  <c r="G10" i="36"/>
  <c r="L10" i="36"/>
  <c r="M7" i="36"/>
  <c r="I10" i="36"/>
  <c r="I17" i="36" s="1"/>
  <c r="I19" i="36" s="1"/>
  <c r="M12" i="36"/>
  <c r="D22" i="55"/>
  <c r="J32" i="57"/>
  <c r="J34" i="57" s="1"/>
  <c r="D36" i="57"/>
  <c r="D11" i="57" s="1"/>
  <c r="D36" i="56"/>
  <c r="D11" i="56" s="1"/>
  <c r="D36" i="58"/>
  <c r="J13" i="43"/>
  <c r="J38" i="59"/>
  <c r="J13" i="59" s="1"/>
  <c r="J38" i="56"/>
  <c r="J13" i="56" s="1"/>
  <c r="J38" i="58"/>
  <c r="J13" i="58" s="1"/>
  <c r="J38" i="57"/>
  <c r="J13" i="57" s="1"/>
  <c r="F13" i="58"/>
  <c r="F10" i="58"/>
  <c r="F20" i="58"/>
  <c r="F7" i="58"/>
  <c r="F11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D5" i="50"/>
  <c r="C43" i="43" s="1"/>
  <c r="C43" i="56" s="1"/>
  <c r="D11" i="50"/>
  <c r="C47" i="43" s="1"/>
  <c r="C47" i="57" s="1"/>
  <c r="C22" i="57" s="1"/>
  <c r="D8" i="50"/>
  <c r="C45" i="43" s="1"/>
  <c r="D6" i="50"/>
  <c r="C37" i="43" s="1"/>
  <c r="C37" i="59" s="1"/>
  <c r="C12" i="59" s="1"/>
  <c r="I9" i="57"/>
  <c r="J47" i="57"/>
  <c r="J22" i="57" s="1"/>
  <c r="J47" i="59"/>
  <c r="J22" i="59" s="1"/>
  <c r="J47" i="58"/>
  <c r="J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37" i="56"/>
  <c r="I12" i="56" s="1"/>
  <c r="I37" i="57"/>
  <c r="I12" i="57" s="1"/>
  <c r="I37" i="59"/>
  <c r="I12" i="59" s="1"/>
  <c r="I37" i="58"/>
  <c r="I12" i="58" s="1"/>
  <c r="D43" i="59"/>
  <c r="D43" i="58"/>
  <c r="I4" i="57"/>
  <c r="I4" i="56"/>
  <c r="I4" i="59"/>
  <c r="E7" i="43"/>
  <c r="E9" i="43" s="1"/>
  <c r="E20" i="43"/>
  <c r="E12" i="43"/>
  <c r="F43" i="58"/>
  <c r="F43" i="56"/>
  <c r="F43" i="59"/>
  <c r="F43" i="57"/>
  <c r="K6" i="58"/>
  <c r="E4" i="2" s="1"/>
  <c r="C7" i="58"/>
  <c r="K7" i="58" s="1"/>
  <c r="E5" i="2" s="1"/>
  <c r="F20" i="43"/>
  <c r="F45" i="59"/>
  <c r="F20" i="59" s="1"/>
  <c r="F45" i="56"/>
  <c r="F20" i="56" s="1"/>
  <c r="F45" i="58"/>
  <c r="J43" i="57"/>
  <c r="J43" i="59"/>
  <c r="J43" i="58"/>
  <c r="G43" i="57"/>
  <c r="G43" i="59"/>
  <c r="D4" i="50"/>
  <c r="C36" i="43" s="1"/>
  <c r="C36" i="56" s="1"/>
  <c r="C11" i="56" s="1"/>
  <c r="E43" i="58"/>
  <c r="E43" i="57"/>
  <c r="E43" i="59"/>
  <c r="J19" i="43"/>
  <c r="J44" i="58"/>
  <c r="J19" i="58" s="1"/>
  <c r="J44" i="56"/>
  <c r="J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9"/>
  <c r="I11" i="59" s="1"/>
  <c r="I14" i="59" s="1"/>
  <c r="I11" i="43"/>
  <c r="I36" i="58"/>
  <c r="I11" i="58" s="1"/>
  <c r="I14" i="58" s="1"/>
  <c r="I36" i="56"/>
  <c r="I11" i="56" s="1"/>
  <c r="I14" i="56" s="1"/>
  <c r="I45" i="59"/>
  <c r="I45" i="56"/>
  <c r="I20" i="56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H19" i="58"/>
  <c r="G7" i="57"/>
  <c r="K6" i="57"/>
  <c r="D8" i="57"/>
  <c r="D9" i="57" s="1"/>
  <c r="D32" i="57" s="1"/>
  <c r="F38" i="57"/>
  <c r="F13" i="57" s="1"/>
  <c r="F13" i="43"/>
  <c r="F14" i="43" s="1"/>
  <c r="F15" i="43" s="1"/>
  <c r="F16" i="43" s="1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J45" i="43" s="1"/>
  <c r="D100" i="50"/>
  <c r="D97" i="50"/>
  <c r="J36" i="43" s="1"/>
  <c r="I40" i="43"/>
  <c r="C32" i="43"/>
  <c r="C31" i="58"/>
  <c r="C31" i="59"/>
  <c r="C31" i="57"/>
  <c r="F4" i="57"/>
  <c r="F4" i="59"/>
  <c r="F4" i="58"/>
  <c r="J31" i="57"/>
  <c r="J31" i="56"/>
  <c r="J31" i="59"/>
  <c r="I7" i="56"/>
  <c r="K7" i="56" s="1"/>
  <c r="D5" i="2" s="1"/>
  <c r="I10" i="56"/>
  <c r="I10" i="59"/>
  <c r="I20" i="59"/>
  <c r="I7" i="59"/>
  <c r="F11" i="59"/>
  <c r="F14" i="59" s="1"/>
  <c r="F10" i="59"/>
  <c r="F12" i="59"/>
  <c r="I11" i="57"/>
  <c r="I20" i="57"/>
  <c r="I10" i="57"/>
  <c r="F37" i="56"/>
  <c r="F12" i="56" s="1"/>
  <c r="F37" i="59"/>
  <c r="F37" i="58"/>
  <c r="F12" i="58" s="1"/>
  <c r="F36" i="58"/>
  <c r="F36" i="57"/>
  <c r="F11" i="57" s="1"/>
  <c r="F14" i="57" s="1"/>
  <c r="F15" i="57" s="1"/>
  <c r="F16" i="57" s="1"/>
  <c r="F36" i="56"/>
  <c r="F11" i="56" s="1"/>
  <c r="F14" i="56" s="1"/>
  <c r="H44" i="58"/>
  <c r="H44" i="56"/>
  <c r="H19" i="56" s="1"/>
  <c r="I22" i="43"/>
  <c r="I47" i="57"/>
  <c r="I22" i="57" s="1"/>
  <c r="D63" i="50"/>
  <c r="G44" i="43" s="1"/>
  <c r="D58" i="50"/>
  <c r="G36" i="43" s="1"/>
  <c r="D61" i="50"/>
  <c r="D45" i="59"/>
  <c r="D20" i="59" s="1"/>
  <c r="D45" i="57"/>
  <c r="D20" i="57" s="1"/>
  <c r="D45" i="56"/>
  <c r="D20" i="56" s="1"/>
  <c r="D20" i="43"/>
  <c r="D45" i="58"/>
  <c r="D20" i="58" s="1"/>
  <c r="D47" i="56"/>
  <c r="D22" i="56" s="1"/>
  <c r="D47" i="59"/>
  <c r="D47" i="58"/>
  <c r="D22" i="58" s="1"/>
  <c r="D47" i="57"/>
  <c r="D22" i="57" s="1"/>
  <c r="D22" i="43"/>
  <c r="D11" i="43"/>
  <c r="D36" i="59"/>
  <c r="D11" i="59" s="1"/>
  <c r="C47" i="58"/>
  <c r="C38" i="59"/>
  <c r="C13" i="59" s="1"/>
  <c r="C13" i="43"/>
  <c r="C22" i="43"/>
  <c r="C47" i="56"/>
  <c r="C47" i="59"/>
  <c r="C22" i="59" s="1"/>
  <c r="C17" i="36"/>
  <c r="M11" i="36"/>
  <c r="K17" i="36"/>
  <c r="K19" i="36" s="1"/>
  <c r="D34" i="43"/>
  <c r="D40" i="43" s="1"/>
  <c r="D33" i="56"/>
  <c r="D33" i="58" s="1"/>
  <c r="D10" i="43"/>
  <c r="D10" i="56"/>
  <c r="C33" i="43"/>
  <c r="C10" i="43" s="1"/>
  <c r="C17" i="55"/>
  <c r="C22" i="55" s="1"/>
  <c r="E10" i="56"/>
  <c r="E33" i="58"/>
  <c r="E34" i="56"/>
  <c r="E34" i="43"/>
  <c r="E40" i="43" s="1"/>
  <c r="H15" i="56"/>
  <c r="H16" i="56" s="1"/>
  <c r="H32" i="56"/>
  <c r="H34" i="56" s="1"/>
  <c r="H40" i="56" s="1"/>
  <c r="J32" i="56"/>
  <c r="J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I8" i="59"/>
  <c r="I9" i="59" s="1"/>
  <c r="D8" i="56"/>
  <c r="D9" i="56" s="1"/>
  <c r="D32" i="56" s="1"/>
  <c r="D34" i="56" s="1"/>
  <c r="F8" i="56"/>
  <c r="F9" i="56" s="1"/>
  <c r="G8" i="56"/>
  <c r="G9" i="56" s="1"/>
  <c r="O8" i="55"/>
  <c r="C8" i="59"/>
  <c r="K9" i="43"/>
  <c r="L15" i="55"/>
  <c r="D8" i="59"/>
  <c r="D9" i="59" s="1"/>
  <c r="D32" i="59" s="1"/>
  <c r="K7" i="59"/>
  <c r="F5" i="2" s="1"/>
  <c r="C8" i="56"/>
  <c r="C9" i="56" s="1"/>
  <c r="D22" i="59"/>
  <c r="C22" i="56"/>
  <c r="K22" i="56" s="1"/>
  <c r="D20" i="2" s="1"/>
  <c r="K6" i="59"/>
  <c r="F4" i="2" s="1"/>
  <c r="C22" i="58"/>
  <c r="D11" i="58"/>
  <c r="K6" i="56"/>
  <c r="D4" i="2" s="1"/>
  <c r="H4" i="2" s="1"/>
  <c r="F6" i="36"/>
  <c r="F5" i="36" s="1"/>
  <c r="F17" i="36" s="1"/>
  <c r="F19" i="36" s="1"/>
  <c r="C7" i="2"/>
  <c r="C30" i="2" s="1"/>
  <c r="E47" i="57"/>
  <c r="E22" i="57" s="1"/>
  <c r="E47" i="56"/>
  <c r="E22" i="56" s="1"/>
  <c r="E47" i="59"/>
  <c r="E22" i="59" s="1"/>
  <c r="E47" i="58"/>
  <c r="E22" i="58" s="1"/>
  <c r="E22" i="43"/>
  <c r="E14" i="58"/>
  <c r="E38" i="59"/>
  <c r="E13" i="59" s="1"/>
  <c r="E14" i="59" s="1"/>
  <c r="E38" i="56"/>
  <c r="E38" i="57"/>
  <c r="E13" i="57" s="1"/>
  <c r="E14" i="57" s="1"/>
  <c r="E38" i="58"/>
  <c r="E13" i="58" s="1"/>
  <c r="E13" i="43"/>
  <c r="C37" i="56"/>
  <c r="C12" i="56" s="1"/>
  <c r="C37" i="58"/>
  <c r="C12" i="58" s="1"/>
  <c r="C9" i="59"/>
  <c r="D37" i="56"/>
  <c r="D12" i="56" s="1"/>
  <c r="D37" i="58"/>
  <c r="D12" i="58" s="1"/>
  <c r="D12" i="43"/>
  <c r="D37" i="57"/>
  <c r="D12" i="57" s="1"/>
  <c r="D37" i="59"/>
  <c r="C43" i="59"/>
  <c r="C9" i="57"/>
  <c r="D44" i="57"/>
  <c r="D19" i="57" s="1"/>
  <c r="D44" i="59"/>
  <c r="D19" i="59" s="1"/>
  <c r="D19" i="43"/>
  <c r="D44" i="58"/>
  <c r="D19" i="58" s="1"/>
  <c r="D44" i="56"/>
  <c r="D19" i="56" s="1"/>
  <c r="D38" i="57"/>
  <c r="D13" i="57" s="1"/>
  <c r="D38" i="59"/>
  <c r="D13" i="59" s="1"/>
  <c r="D38" i="58"/>
  <c r="D13" i="58" s="1"/>
  <c r="D13" i="43"/>
  <c r="K13" i="43" s="1"/>
  <c r="C11" i="2" s="1"/>
  <c r="D38" i="56"/>
  <c r="D13" i="56" s="1"/>
  <c r="C44" i="59"/>
  <c r="C19" i="59" s="1"/>
  <c r="C19" i="43"/>
  <c r="C44" i="57"/>
  <c r="C19" i="57" s="1"/>
  <c r="C44" i="58"/>
  <c r="C19" i="58" s="1"/>
  <c r="C44" i="56"/>
  <c r="C19" i="56" s="1"/>
  <c r="C45" i="59"/>
  <c r="C20" i="59" s="1"/>
  <c r="C45" i="56"/>
  <c r="C20" i="56" s="1"/>
  <c r="C20" i="43"/>
  <c r="K20" i="43" s="1"/>
  <c r="C18" i="2" s="1"/>
  <c r="C45" i="57"/>
  <c r="C20" i="57" s="1"/>
  <c r="C45" i="58"/>
  <c r="C20" i="58" s="1"/>
  <c r="C57" i="2"/>
  <c r="B10" i="51"/>
  <c r="J26" i="51"/>
  <c r="C58" i="2"/>
  <c r="E17" i="36"/>
  <c r="M5" i="36"/>
  <c r="H32" i="57" l="1"/>
  <c r="H34" i="57" s="1"/>
  <c r="H40" i="57" s="1"/>
  <c r="H15" i="57"/>
  <c r="H16" i="57" s="1"/>
  <c r="H5" i="2"/>
  <c r="L6" i="36" s="1"/>
  <c r="L5" i="36" s="1"/>
  <c r="L17" i="36" s="1"/>
  <c r="L19" i="36" s="1"/>
  <c r="G6" i="36"/>
  <c r="G5" i="36" s="1"/>
  <c r="G17" i="36" s="1"/>
  <c r="G19" i="36" s="1"/>
  <c r="K20" i="59"/>
  <c r="F18" i="2" s="1"/>
  <c r="J45" i="56"/>
  <c r="J20" i="56" s="1"/>
  <c r="J45" i="59"/>
  <c r="J20" i="59" s="1"/>
  <c r="J20" i="43"/>
  <c r="J45" i="57"/>
  <c r="J20" i="57" s="1"/>
  <c r="J45" i="58"/>
  <c r="J20" i="58" s="1"/>
  <c r="F14" i="58"/>
  <c r="J40" i="57"/>
  <c r="C43" i="57"/>
  <c r="C37" i="57"/>
  <c r="C12" i="57" s="1"/>
  <c r="C12" i="43"/>
  <c r="K12" i="43" s="1"/>
  <c r="C10" i="2" s="1"/>
  <c r="C36" i="2" s="1"/>
  <c r="E14" i="43"/>
  <c r="E15" i="43" s="1"/>
  <c r="E16" i="43" s="1"/>
  <c r="K22" i="59"/>
  <c r="F20" i="2" s="1"/>
  <c r="I8" i="56"/>
  <c r="I9" i="56" s="1"/>
  <c r="I32" i="56" s="1"/>
  <c r="I34" i="56" s="1"/>
  <c r="I40" i="56" s="1"/>
  <c r="G44" i="56"/>
  <c r="G19" i="56" s="1"/>
  <c r="G44" i="59"/>
  <c r="G19" i="59" s="1"/>
  <c r="K19" i="59" s="1"/>
  <c r="F17" i="2" s="1"/>
  <c r="G44" i="57"/>
  <c r="G19" i="57" s="1"/>
  <c r="G44" i="58"/>
  <c r="G19" i="58" s="1"/>
  <c r="J11" i="43"/>
  <c r="J14" i="43" s="1"/>
  <c r="J15" i="43" s="1"/>
  <c r="J16" i="43" s="1"/>
  <c r="J36" i="58"/>
  <c r="J11" i="58" s="1"/>
  <c r="J14" i="58" s="1"/>
  <c r="J36" i="57"/>
  <c r="J11" i="57" s="1"/>
  <c r="J14" i="57" s="1"/>
  <c r="J15" i="57" s="1"/>
  <c r="J16" i="57" s="1"/>
  <c r="J36" i="56"/>
  <c r="J11" i="56" s="1"/>
  <c r="J14" i="56" s="1"/>
  <c r="J15" i="56" s="1"/>
  <c r="J16" i="56" s="1"/>
  <c r="J40" i="43"/>
  <c r="J36" i="59"/>
  <c r="J11" i="59" s="1"/>
  <c r="J14" i="59" s="1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I14" i="43"/>
  <c r="I15" i="43" s="1"/>
  <c r="I16" i="43" s="1"/>
  <c r="I32" i="57"/>
  <c r="I34" i="57" s="1"/>
  <c r="I40" i="57" s="1"/>
  <c r="C38" i="58"/>
  <c r="C13" i="58" s="1"/>
  <c r="C38" i="57"/>
  <c r="C13" i="57" s="1"/>
  <c r="K13" i="57" s="1"/>
  <c r="G11" i="2" s="1"/>
  <c r="G37" i="2" s="1"/>
  <c r="C38" i="56"/>
  <c r="C13" i="56" s="1"/>
  <c r="K20" i="57"/>
  <c r="G18" i="2" s="1"/>
  <c r="G36" i="57"/>
  <c r="G11" i="57" s="1"/>
  <c r="G14" i="57" s="1"/>
  <c r="G36" i="58"/>
  <c r="G11" i="58" s="1"/>
  <c r="G14" i="58" s="1"/>
  <c r="G36" i="59"/>
  <c r="G11" i="59" s="1"/>
  <c r="G14" i="59" s="1"/>
  <c r="G36" i="56"/>
  <c r="G11" i="56" s="1"/>
  <c r="G14" i="56" s="1"/>
  <c r="G11" i="43"/>
  <c r="G14" i="43" s="1"/>
  <c r="G40" i="43"/>
  <c r="C36" i="57"/>
  <c r="C11" i="57" s="1"/>
  <c r="C36" i="58"/>
  <c r="C11" i="58" s="1"/>
  <c r="K11" i="58" s="1"/>
  <c r="E9" i="2" s="1"/>
  <c r="C11" i="43"/>
  <c r="K11" i="43" s="1"/>
  <c r="C9" i="2" s="1"/>
  <c r="C36" i="59"/>
  <c r="C11" i="59" s="1"/>
  <c r="K11" i="59" s="1"/>
  <c r="F9" i="2" s="1"/>
  <c r="K20" i="58"/>
  <c r="E18" i="2" s="1"/>
  <c r="K19" i="58"/>
  <c r="E17" i="2" s="1"/>
  <c r="K13" i="58"/>
  <c r="E11" i="2" s="1"/>
  <c r="E37" i="2" s="1"/>
  <c r="C43" i="58"/>
  <c r="K22" i="57"/>
  <c r="G20" i="2" s="1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G15" i="43"/>
  <c r="G16" i="43" s="1"/>
  <c r="F40" i="57"/>
  <c r="K20" i="56"/>
  <c r="D18" i="2" s="1"/>
  <c r="D44" i="2" s="1"/>
  <c r="K12" i="57"/>
  <c r="G10" i="2" s="1"/>
  <c r="G36" i="2" s="1"/>
  <c r="D14" i="58"/>
  <c r="K19" i="57"/>
  <c r="G17" i="2" s="1"/>
  <c r="G43" i="2" s="1"/>
  <c r="K22" i="43"/>
  <c r="C20" i="2" s="1"/>
  <c r="C52" i="2" s="1"/>
  <c r="K22" i="58"/>
  <c r="E20" i="2" s="1"/>
  <c r="K13" i="59"/>
  <c r="F11" i="2" s="1"/>
  <c r="F37" i="2" s="1"/>
  <c r="C18" i="36"/>
  <c r="D18" i="36" s="1"/>
  <c r="C19" i="36"/>
  <c r="C20" i="36" s="1"/>
  <c r="D20" i="36" s="1"/>
  <c r="D33" i="59"/>
  <c r="D10" i="58"/>
  <c r="K10" i="43"/>
  <c r="C8" i="2" s="1"/>
  <c r="C31" i="2" s="1"/>
  <c r="C32" i="2" s="1"/>
  <c r="C33" i="2" s="1"/>
  <c r="C34" i="43"/>
  <c r="C40" i="43" s="1"/>
  <c r="C18" i="55"/>
  <c r="C33" i="56"/>
  <c r="E10" i="58"/>
  <c r="E33" i="59"/>
  <c r="E34" i="59" s="1"/>
  <c r="E40" i="59" s="1"/>
  <c r="G8" i="58"/>
  <c r="G9" i="58" s="1"/>
  <c r="I8" i="58"/>
  <c r="I9" i="58" s="1"/>
  <c r="E8" i="58"/>
  <c r="E9" i="58" s="1"/>
  <c r="E32" i="58" s="1"/>
  <c r="E34" i="58" s="1"/>
  <c r="F8" i="58"/>
  <c r="F9" i="58" s="1"/>
  <c r="H8" i="58"/>
  <c r="H9" i="58" s="1"/>
  <c r="J8" i="58"/>
  <c r="J9" i="58" s="1"/>
  <c r="C8" i="58"/>
  <c r="C9" i="58" s="1"/>
  <c r="C32" i="58" s="1"/>
  <c r="G32" i="59"/>
  <c r="G34" i="59" s="1"/>
  <c r="G40" i="59" s="1"/>
  <c r="G15" i="59"/>
  <c r="G16" i="59" s="1"/>
  <c r="K8" i="59"/>
  <c r="F6" i="2" s="1"/>
  <c r="I15" i="56"/>
  <c r="I16" i="56" s="1"/>
  <c r="G32" i="56"/>
  <c r="G34" i="56" s="1"/>
  <c r="G15" i="56"/>
  <c r="G16" i="56" s="1"/>
  <c r="F32" i="59"/>
  <c r="F34" i="59" s="1"/>
  <c r="F40" i="59" s="1"/>
  <c r="F15" i="59"/>
  <c r="F16" i="59" s="1"/>
  <c r="F15" i="56"/>
  <c r="F16" i="56" s="1"/>
  <c r="F32" i="56"/>
  <c r="F34" i="56" s="1"/>
  <c r="F40" i="56" s="1"/>
  <c r="H32" i="59"/>
  <c r="H34" i="59" s="1"/>
  <c r="H40" i="59" s="1"/>
  <c r="H15" i="59"/>
  <c r="H16" i="59" s="1"/>
  <c r="D8" i="58"/>
  <c r="D9" i="58" s="1"/>
  <c r="I15" i="59"/>
  <c r="I16" i="59" s="1"/>
  <c r="I32" i="59"/>
  <c r="I34" i="59" s="1"/>
  <c r="I40" i="59" s="1"/>
  <c r="J15" i="59"/>
  <c r="J16" i="59" s="1"/>
  <c r="J32" i="59"/>
  <c r="J34" i="59" s="1"/>
  <c r="J40" i="59" s="1"/>
  <c r="K19" i="43"/>
  <c r="C17" i="2" s="1"/>
  <c r="C32" i="56"/>
  <c r="K19" i="56"/>
  <c r="D17" i="2" s="1"/>
  <c r="D43" i="2" s="1"/>
  <c r="F35" i="2"/>
  <c r="E40" i="56"/>
  <c r="E13" i="56"/>
  <c r="E14" i="56" s="1"/>
  <c r="E15" i="56" s="1"/>
  <c r="E16" i="56" s="1"/>
  <c r="E40" i="58"/>
  <c r="C37" i="2"/>
  <c r="C48" i="2"/>
  <c r="D14" i="43"/>
  <c r="D15" i="43" s="1"/>
  <c r="D16" i="43" s="1"/>
  <c r="C14" i="43"/>
  <c r="E35" i="2"/>
  <c r="D40" i="56"/>
  <c r="D12" i="59"/>
  <c r="D14" i="59" s="1"/>
  <c r="C32" i="59"/>
  <c r="K9" i="59"/>
  <c r="F7" i="2" s="1"/>
  <c r="K12" i="59"/>
  <c r="F10" i="2" s="1"/>
  <c r="F36" i="2" s="1"/>
  <c r="C14" i="59"/>
  <c r="C50" i="2"/>
  <c r="C44" i="2"/>
  <c r="C43" i="2"/>
  <c r="G44" i="2"/>
  <c r="H18" i="2"/>
  <c r="H44" i="2" s="1"/>
  <c r="C32" i="57"/>
  <c r="D14" i="57"/>
  <c r="D14" i="56"/>
  <c r="D15" i="56" s="1"/>
  <c r="D16" i="56" s="1"/>
  <c r="C14" i="58"/>
  <c r="K12" i="58"/>
  <c r="E10" i="2" s="1"/>
  <c r="C14" i="56"/>
  <c r="K12" i="56"/>
  <c r="D10" i="2" s="1"/>
  <c r="D36" i="2" s="1"/>
  <c r="C56" i="2"/>
  <c r="K18" i="57"/>
  <c r="E26" i="51"/>
  <c r="K18" i="58"/>
  <c r="K18" i="56"/>
  <c r="K18" i="43"/>
  <c r="D28" i="51"/>
  <c r="K18" i="59"/>
  <c r="K21" i="43"/>
  <c r="E27" i="51"/>
  <c r="E18" i="36"/>
  <c r="F18" i="36" s="1"/>
  <c r="E23" i="36"/>
  <c r="M17" i="36"/>
  <c r="E22" i="36"/>
  <c r="E19" i="36"/>
  <c r="G18" i="36" l="1"/>
  <c r="H18" i="36" s="1"/>
  <c r="E24" i="36" s="1"/>
  <c r="K14" i="59"/>
  <c r="F12" i="2" s="1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C35" i="2"/>
  <c r="K11" i="57"/>
  <c r="G9" i="2" s="1"/>
  <c r="G35" i="2" s="1"/>
  <c r="K8" i="57"/>
  <c r="G6" i="2" s="1"/>
  <c r="K9" i="56"/>
  <c r="D7" i="2" s="1"/>
  <c r="D30" i="2" s="1"/>
  <c r="G40" i="56"/>
  <c r="F48" i="57"/>
  <c r="I48" i="57"/>
  <c r="K11" i="56"/>
  <c r="D9" i="2" s="1"/>
  <c r="D35" i="2" s="1"/>
  <c r="C14" i="57"/>
  <c r="K8" i="56"/>
  <c r="D6" i="2" s="1"/>
  <c r="J40" i="56"/>
  <c r="J48" i="57"/>
  <c r="H48" i="57"/>
  <c r="H20" i="2"/>
  <c r="C34" i="56"/>
  <c r="C40" i="56" s="1"/>
  <c r="D15" i="58"/>
  <c r="D16" i="58" s="1"/>
  <c r="D33" i="57"/>
  <c r="D10" i="59"/>
  <c r="D15" i="59" s="1"/>
  <c r="D16" i="59" s="1"/>
  <c r="D34" i="59"/>
  <c r="D40" i="59" s="1"/>
  <c r="C33" i="58"/>
  <c r="C34" i="58" s="1"/>
  <c r="C40" i="58" s="1"/>
  <c r="C10" i="56"/>
  <c r="K10" i="56" s="1"/>
  <c r="D8" i="2" s="1"/>
  <c r="D31" i="2" s="1"/>
  <c r="D32" i="2" s="1"/>
  <c r="D33" i="2" s="1"/>
  <c r="C19" i="55"/>
  <c r="E33" i="57"/>
  <c r="E10" i="59"/>
  <c r="K8" i="58"/>
  <c r="E6" i="2" s="1"/>
  <c r="H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J15" i="58"/>
  <c r="J16" i="58" s="1"/>
  <c r="J32" i="58"/>
  <c r="J34" i="58" s="1"/>
  <c r="J40" i="58" s="1"/>
  <c r="E15" i="58"/>
  <c r="E16" i="58" s="1"/>
  <c r="D32" i="58"/>
  <c r="D34" i="58" s="1"/>
  <c r="D40" i="58" s="1"/>
  <c r="K9" i="58"/>
  <c r="E7" i="2" s="1"/>
  <c r="E30" i="2" s="1"/>
  <c r="D50" i="2"/>
  <c r="D52" i="2"/>
  <c r="G49" i="2"/>
  <c r="K13" i="56"/>
  <c r="D11" i="2" s="1"/>
  <c r="H10" i="2"/>
  <c r="H36" i="2" s="1"/>
  <c r="E36" i="2"/>
  <c r="K14" i="57"/>
  <c r="G12" i="2" s="1"/>
  <c r="K14" i="58"/>
  <c r="E12" i="2" s="1"/>
  <c r="F30" i="2"/>
  <c r="K14" i="56"/>
  <c r="D12" i="2" s="1"/>
  <c r="G51" i="2"/>
  <c r="C15" i="43"/>
  <c r="K14" i="43"/>
  <c r="C12" i="2" s="1"/>
  <c r="J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J18" i="58"/>
  <c r="J17" i="58" s="1"/>
  <c r="G18" i="58"/>
  <c r="G17" i="58" s="1"/>
  <c r="E18" i="58"/>
  <c r="E17" i="58" s="1"/>
  <c r="I18" i="58"/>
  <c r="I17" i="58" s="1"/>
  <c r="H18" i="58"/>
  <c r="H17" i="58" s="1"/>
  <c r="F27" i="51"/>
  <c r="K21" i="56"/>
  <c r="I18" i="43"/>
  <c r="I17" i="43" s="1"/>
  <c r="H18" i="43"/>
  <c r="H17" i="43" s="1"/>
  <c r="D18" i="43"/>
  <c r="D17" i="43" s="1"/>
  <c r="J18" i="43"/>
  <c r="J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J18" i="56"/>
  <c r="J17" i="56" s="1"/>
  <c r="E18" i="56"/>
  <c r="E17" i="56" s="1"/>
  <c r="J18" i="57"/>
  <c r="J17" i="57" s="1"/>
  <c r="J23" i="57" s="1"/>
  <c r="J24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G24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F20" i="36" s="1"/>
  <c r="G20" i="36" s="1"/>
  <c r="H20" i="36" s="1"/>
  <c r="I18" i="36"/>
  <c r="J18" i="36" s="1"/>
  <c r="K18" i="36" s="1"/>
  <c r="L18" i="36" s="1"/>
  <c r="H7" i="2" l="1"/>
  <c r="H30" i="2" s="1"/>
  <c r="H9" i="2"/>
  <c r="H35" i="2" s="1"/>
  <c r="C15" i="56"/>
  <c r="G52" i="2"/>
  <c r="G48" i="2"/>
  <c r="G30" i="2"/>
  <c r="D10" i="57"/>
  <c r="D15" i="57" s="1"/>
  <c r="D16" i="57" s="1"/>
  <c r="D34" i="57"/>
  <c r="D40" i="57" s="1"/>
  <c r="D48" i="57" s="1"/>
  <c r="C33" i="59"/>
  <c r="C10" i="58"/>
  <c r="E10" i="57"/>
  <c r="E34" i="57"/>
  <c r="E40" i="57" s="1"/>
  <c r="E48" i="57" s="1"/>
  <c r="E15" i="59"/>
  <c r="H12" i="2"/>
  <c r="D37" i="2"/>
  <c r="H11" i="2"/>
  <c r="H37" i="2" s="1"/>
  <c r="D48" i="2"/>
  <c r="K15" i="43"/>
  <c r="C16" i="43"/>
  <c r="H52" i="2"/>
  <c r="H50" i="2"/>
  <c r="K15" i="56"/>
  <c r="C16" i="56"/>
  <c r="J25" i="57"/>
  <c r="J26" i="57" s="1"/>
  <c r="J27" i="57" s="1"/>
  <c r="D19" i="2"/>
  <c r="D51" i="2" s="1"/>
  <c r="J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K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G25" i="57"/>
  <c r="G26" i="57" s="1"/>
  <c r="G27" i="57" s="1"/>
  <c r="F25" i="57"/>
  <c r="F26" i="57" s="1"/>
  <c r="F27" i="57" s="1"/>
  <c r="K17" i="56"/>
  <c r="D15" i="2" s="1"/>
  <c r="K17" i="43"/>
  <c r="K21" i="58"/>
  <c r="C51" i="2"/>
  <c r="F46" i="43"/>
  <c r="F48" i="43" s="1"/>
  <c r="F23" i="43"/>
  <c r="F24" i="43" s="1"/>
  <c r="H23" i="43"/>
  <c r="H24" i="43" s="1"/>
  <c r="H46" i="43"/>
  <c r="H48" i="43" s="1"/>
  <c r="J46" i="43"/>
  <c r="J48" i="43" s="1"/>
  <c r="J23" i="43"/>
  <c r="J24" i="43" s="1"/>
  <c r="I24" i="36"/>
  <c r="I20" i="36"/>
  <c r="J20" i="36" s="1"/>
  <c r="K20" i="36" s="1"/>
  <c r="L20" i="36" s="1"/>
  <c r="D24" i="57" l="1"/>
  <c r="D25" i="57" s="1"/>
  <c r="D26" i="57" s="1"/>
  <c r="D27" i="57" s="1"/>
  <c r="C15" i="58"/>
  <c r="K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D13" i="2"/>
  <c r="D39" i="2" s="1"/>
  <c r="K16" i="56"/>
  <c r="D14" i="2" s="1"/>
  <c r="C13" i="2"/>
  <c r="K16" i="43"/>
  <c r="J25" i="43"/>
  <c r="J26" i="43" s="1"/>
  <c r="J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J46" i="56"/>
  <c r="J48" i="56" s="1"/>
  <c r="J23" i="56"/>
  <c r="J24" i="56" s="1"/>
  <c r="E19" i="2"/>
  <c r="G21" i="58"/>
  <c r="I21" i="58"/>
  <c r="F21" i="58"/>
  <c r="C21" i="58"/>
  <c r="J21" i="58"/>
  <c r="E21" i="58"/>
  <c r="D21" i="58"/>
  <c r="K23" i="58"/>
  <c r="H21" i="58"/>
  <c r="C15" i="2"/>
  <c r="K23" i="43"/>
  <c r="K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K23" i="56"/>
  <c r="H46" i="56"/>
  <c r="H48" i="56" s="1"/>
  <c r="H23" i="56"/>
  <c r="H24" i="56" s="1"/>
  <c r="C10" i="57" l="1"/>
  <c r="C34" i="57"/>
  <c r="C40" i="57" s="1"/>
  <c r="C48" i="57" s="1"/>
  <c r="K15" i="58"/>
  <c r="K24" i="58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K24" i="56"/>
  <c r="D21" i="2"/>
  <c r="D40" i="2" s="1"/>
  <c r="E21" i="2"/>
  <c r="J46" i="58"/>
  <c r="J48" i="58" s="1"/>
  <c r="J23" i="58"/>
  <c r="J24" i="58" s="1"/>
  <c r="J25" i="56"/>
  <c r="J26" i="56" s="1"/>
  <c r="J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K25" i="43"/>
  <c r="K26" i="43" s="1"/>
  <c r="K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F31" i="2" l="1"/>
  <c r="F32" i="2" s="1"/>
  <c r="F33" i="2" s="1"/>
  <c r="E13" i="2"/>
  <c r="E39" i="2" s="1"/>
  <c r="E40" i="2" s="1"/>
  <c r="K16" i="58"/>
  <c r="E14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J25" i="58"/>
  <c r="J26" i="58" s="1"/>
  <c r="J27" i="58" s="1"/>
  <c r="K25" i="58"/>
  <c r="E23" i="2" s="1"/>
  <c r="E22" i="2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K25" i="56"/>
  <c r="D23" i="2" s="1"/>
  <c r="D22" i="2"/>
  <c r="D54" i="2" s="1"/>
  <c r="H8" i="2" l="1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K26" i="58"/>
  <c r="C27" i="58"/>
  <c r="C25" i="59"/>
  <c r="C26" i="59" s="1"/>
  <c r="I25" i="59"/>
  <c r="I26" i="59" s="1"/>
  <c r="I27" i="59" s="1"/>
  <c r="K26" i="56"/>
  <c r="J25" i="59"/>
  <c r="J26" i="59" s="1"/>
  <c r="J27" i="59" s="1"/>
  <c r="H21" i="2"/>
  <c r="F22" i="2"/>
  <c r="K25" i="59"/>
  <c r="F23" i="2" s="1"/>
  <c r="H31" i="2" l="1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D24" i="2"/>
  <c r="K27" i="56"/>
  <c r="D25" i="2" s="1"/>
  <c r="K27" i="58"/>
  <c r="E25" i="2" s="1"/>
  <c r="E24" i="2"/>
  <c r="C25" i="2"/>
  <c r="C60" i="2"/>
  <c r="C59" i="2" s="1"/>
  <c r="C53" i="2"/>
  <c r="K25" i="57" l="1"/>
  <c r="G23" i="2" s="1"/>
  <c r="G22" i="2"/>
  <c r="G54" i="2" s="1"/>
  <c r="D53" i="2"/>
  <c r="D60" i="2"/>
  <c r="D59" i="2" s="1"/>
  <c r="H23" i="2"/>
  <c r="H24" i="2" s="1"/>
  <c r="H54" i="2"/>
  <c r="K27" i="59"/>
  <c r="F25" i="2" s="1"/>
  <c r="F24" i="2"/>
  <c r="K26" i="57" l="1"/>
  <c r="G24" i="2" s="1"/>
  <c r="G60" i="2" s="1"/>
  <c r="G59" i="2" s="1"/>
  <c r="H60" i="2"/>
  <c r="H59" i="2" s="1"/>
  <c r="H53" i="2"/>
  <c r="H25" i="2"/>
  <c r="G53" i="2" l="1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<sst xmlns="http://schemas.openxmlformats.org/spreadsheetml/2006/main" count="1420" uniqueCount="305">
  <si>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</si>
  <si>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</si>
  <si>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</si>
  <si>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</si>
  <si>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</si>
  <si>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</si>
  <si>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</si>
  <si>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</si>
  <si>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</si>
  <si>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</si>
  <si>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</si>
  <si>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</si>
  <si>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</si>
  <si>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</si>
  <si>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</si>
  <si>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</si>
  <si>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</si>
  <si>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</si>
  <si>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</si>
  <si>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</si>
  <si>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</si>
  <si>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</si>
  <si>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</si>
  <si>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</si>
  <si>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</si>
  <si>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</si>
  <si>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</si>
  <si>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</si>
  <si>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</si>
  <si>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</si>
  <si>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</si>
  <si>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</si>
  <si>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</si>
  <si>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</si>
  <si>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</si>
  <si>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</si>
  <si>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</si>
  <si>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</si>
  <si>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</si>
  <si>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</si>
  <si>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</si>
  <si>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</si>
  <si>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</si>
  <si>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</si>
  <si>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</si>
  <si>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</si>
  <si>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</si>
  <si>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</si>
  <si>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</si>
  <si>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</si>
  <si>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</si>
  <si>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</si>
  <si>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</si>
  <si>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</si>
  <si>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</si>
  <si>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</si>
  <si>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</si>
  <si>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</si>
  <si>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</si>
  <si>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</si>
  <si>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</si>
  <si>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</si>
  <si>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</si>
  <si>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</si>
  <si>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</si>
  <si>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</si>
  <si>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</si>
  <si>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</si>
  <si>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</si>
  <si>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</si>
  <si>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</si>
  <si>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</si>
  <si>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</si>
  <si>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</si>
  <si>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</si>
  <si>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</si>
  <si>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</si>
  <si>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</si>
  <si>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</si>
  <si>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</si>
  <si>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</si>
  <si>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</si>
  <si>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</si>
  <si>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</si>
  <si>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</si>
  <si>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</si>
  <si>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</si>
  <si>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</si>
  <si>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</si>
  <si>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</si>
  <si>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</si>
  <si>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</si>
  <si>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</si>
  <si>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</si>
  <si>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</si>
  <si>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</si>
  <si>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</si>
  <si>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</si>
  <si>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</si>
  <si>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</si>
  <si>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</si>
  <si>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</si>
  <si>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</si>
  <si>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</si>
  <si>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</si>
  <si>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</si>
  <si>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</si>
  <si>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</si>
  <si>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</si>
  <si>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</si>
  <si>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</si>
  <si>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</si>
  <si>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</si>
  <si>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</si>
  <si>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</si>
  <si>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</si>
  <si>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</si>
  <si>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</si>
  <si>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</si>
  <si>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</si>
  <si>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</si>
  <si>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</si>
  <si>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</si>
  <si>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</si>
  <si>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</si>
  <si>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</si>
  <si>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</si>
  <si>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</si>
  <si>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</si>
  <si>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</si>
  <si>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</si>
  <si>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</si>
  <si>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</si>
  <si>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</si>
  <si>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</si>
  <si>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</si>
  <si>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</si>
  <si>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</si>
  <si>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</si>
  <si>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</si>
  <si>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</si>
  <si>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</si>
  <si>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</si>
  <si>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</si>
  <si>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</si>
  <si>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</si>
  <si>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</si>
  <si>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</si>
  <si>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</si>
  <si>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</si>
  <si>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</si>
  <si>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</si>
  <si>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</si>
  <si>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</si>
  <si>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</si>
  <si>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</si>
  <si>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</si>
  <si>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</si>
  <si>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</si>
  <si>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</si>
  <si>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</si>
  <si>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</si>
  <si>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</si>
  <si>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</si>
  <si>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</si>
  <si>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</si>
  <si>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</si>
  <si>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</si>
  <si>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</si>
  <si>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</si>
  <si>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</si>
  <si>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</si>
  <si>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</si>
  <si>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</si>
  <si>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</si>
  <si>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</si>
  <si>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</si>
  <si>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</si>
  <si>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</si>
  <si>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</si>
  <si>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</si>
  <si>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</si>
  <si>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</si>
  <si>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</si>
  <si>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</si>
  <si>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</si>
  <si>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</si>
  <si>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</si>
  <si>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</si>
  <si>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</si>
  <si>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</si>
  <si>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</si>
  <si>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</si>
  <si>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</si>
  <si>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</si>
  <si>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</si>
  <si>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</si>
  <si>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</si>
  <si>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</si>
  <si>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</si>
  <si>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</si>
  <si>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</si>
  <si>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</si>
  <si>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</si>
  <si>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</si>
  <si>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</si>
  <si>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</si>
  <si>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</si>
  <si>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</si>
  <si>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</si>
  <si>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</si>
  <si>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</si>
  <si>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</si>
  <si>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</si>
  <si>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</si>
  <si>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</si>
  <si>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</si>
  <si>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</si>
  <si>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</si>
  <si>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</si>
  <si>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</si>
  <si>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</si>
  <si>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</si>
  <si>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</si>
  <si>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</si>
  <si>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</si>
  <si>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</si>
  <si>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</si>
  <si>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</si>
  <si>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</si>
  <si>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</si>
  <si>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</si>
  <si>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</si>
  <si>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</si>
  <si>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</si>
  <si>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</si>
  <si>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</si>
  <si>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</si>
  <si>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</si>
  <si>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</si>
  <si>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</si>
  <si>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</si>
  <si>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</si>
  <si>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</si>
  <si>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</si>
  <si>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</si>
  <si>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</si>
  <si>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</si>
  <si>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</si>
  <si>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</si>
  <si>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</si>
  <si>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</si>
  <si>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</si>
  <si>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</si>
  <si>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</si>
  <si>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</si>
  <si>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2022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</si>
  <si>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</si>
  <si>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</si>
  <si>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</si>
  <si>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</si>
  <si>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</si>
  <si>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目标投资</t>
    <phoneticPr fontId="37" type="noConversion"/>
  </si>
  <si>
    <t>ZY2265</t>
    <phoneticPr fontId="37" type="noConversion"/>
  </si>
  <si>
    <t>单位：元</t>
    <phoneticPr fontId="37" type="noConversion"/>
  </si>
  <si>
    <t>豪瀚MAX座椅项目投资收益分析</t>
    <phoneticPr fontId="37" type="noConversion"/>
  </si>
  <si>
    <t>副司机底支架焊接总成焊接夹具2</t>
    <phoneticPr fontId="34" type="noConversion"/>
  </si>
  <si>
    <t>新开副司机底支架焊接总成（供应商1个/我司1个）-每个检具1.2万元左右</t>
    <phoneticPr fontId="34" type="noConversion"/>
  </si>
  <si>
    <t>240h*125</t>
    <phoneticPr fontId="34" type="noConversion"/>
  </si>
  <si>
    <t>前期样件10台，装车验证10台，小批量30台</t>
    <phoneticPr fontId="34" type="noConversion"/>
  </si>
  <si>
    <t>强检试验费</t>
    <phoneticPr fontId="34" type="noConversion"/>
  </si>
  <si>
    <t>底座上线工装车6台3万，总成上线工装车12台6万</t>
    <phoneticPr fontId="34" type="noConversion"/>
  </si>
  <si>
    <t>前后地脚钣金冲压模具，新开滑轨模具</t>
    <phoneticPr fontId="34" type="noConversion"/>
  </si>
  <si>
    <t>MAX左座椅总成（TX平台 空气减震）</t>
    <phoneticPr fontId="37" type="noConversion"/>
  </si>
  <si>
    <t>MAX右座椅总成（TX平台 简易版 无</t>
    <phoneticPr fontId="37" type="noConversion"/>
  </si>
  <si>
    <t>YZ167151000039</t>
    <phoneticPr fontId="37" type="noConversion"/>
  </si>
  <si>
    <t>YZ167151000040</t>
    <phoneticPr fontId="37" type="noConversion"/>
  </si>
  <si>
    <t>2.1C平台 气动升降、靠背调节、前后调节、集成三点式安全带、TX造型</t>
    <phoneticPr fontId="34" type="noConversion"/>
  </si>
  <si>
    <t>管式结构、靠背调节、集成安全带、TX造型</t>
    <phoneticPr fontId="34" type="noConversion"/>
  </si>
  <si>
    <t>分摊</t>
    <phoneticPr fontId="34" type="noConversion"/>
  </si>
  <si>
    <t>公路载货车</t>
    <phoneticPr fontId="34" type="noConversion"/>
  </si>
  <si>
    <t>18月</t>
    <phoneticPr fontId="34" type="noConversion"/>
  </si>
  <si>
    <t>其他</t>
    <phoneticPr fontId="34" type="noConversion"/>
  </si>
  <si>
    <t>涂红色处为必填项</t>
    <phoneticPr fontId="34" type="noConversion"/>
  </si>
  <si>
    <t>黄骅</t>
    <phoneticPr fontId="34" type="noConversion"/>
  </si>
  <si>
    <t>济宁/济南</t>
    <phoneticPr fontId="34" type="noConversion"/>
  </si>
  <si>
    <t>送货地点</t>
    <phoneticPr fontId="34" type="noConversion"/>
  </si>
  <si>
    <t>商业承兑</t>
    <phoneticPr fontId="34" type="noConversion"/>
  </si>
  <si>
    <t>现汇或承兑的比例</t>
    <phoneticPr fontId="34" type="noConversion"/>
  </si>
  <si>
    <t>工装运输</t>
    <phoneticPr fontId="34" type="noConversion"/>
  </si>
  <si>
    <t>驻场服务</t>
    <phoneticPr fontId="34" type="noConversion"/>
  </si>
  <si>
    <t>同现卡车TX产品</t>
    <phoneticPr fontId="34" type="noConversion"/>
  </si>
  <si>
    <t>待商定</t>
    <phoneticPr fontId="34" type="noConversion"/>
  </si>
  <si>
    <t>包含所有的主、辅料</t>
    <phoneticPr fontId="34" type="noConversion"/>
  </si>
  <si>
    <t>无</t>
    <phoneticPr fontId="34" type="noConversion"/>
  </si>
  <si>
    <t>SHT0015637</t>
  </si>
  <si>
    <t>SHT0015668</t>
  </si>
  <si>
    <t>材料成本（连降4%）</t>
    <phoneticPr fontId="37" type="noConversion"/>
  </si>
  <si>
    <t>2023年</t>
    <phoneticPr fontId="37" type="noConversion"/>
  </si>
  <si>
    <t>2030年</t>
  </si>
  <si>
    <t>销售价格（未税）：由营销部门提供，包括年降4%。</t>
    <phoneticPr fontId="37" type="noConversion"/>
  </si>
  <si>
    <t>成本预估根据项目经理提供资料估算。供应商年度降价与销价降价同步。</t>
    <phoneticPr fontId="37" type="noConversion"/>
  </si>
  <si>
    <t>变动费用参考河北工厂2021年实际及2022预算暂估。</t>
    <phoneticPr fontId="37" type="noConversion"/>
  </si>
  <si>
    <t>供应商年降：    连降4%</t>
    <phoneticPr fontId="37" type="noConversion"/>
  </si>
  <si>
    <t>中国重汽济宁商用车有限公司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</si>
</sst>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2F8F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6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6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8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9" borderId="1" xfId="0" applyFont="1" applyFill="1" applyBorder="1">
      <alignment vertical="center"/>
    </xf>
    <xf numFmtId="43" fontId="9" fillId="8" borderId="1" xfId="1" applyFont="1" applyFill="1" applyBorder="1" applyAlignment="1" applyProtection="1">
      <alignment horizontal="center" vertical="center"/>
    </xf>
    <xf numFmtId="0" fontId="25" fillId="11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readingOrder="1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8" sqref="C8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9" t="str">
        <f>损益表!A1</f>
        <v>豪瀚MAX座椅项目投资收益分析</v>
      </c>
      <c r="B1" s="250"/>
      <c r="C1" s="250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300</v>
      </c>
    </row>
    <row r="5" spans="1:4" s="126" customFormat="1" ht="33.75" customHeight="1">
      <c r="A5" s="129">
        <v>3</v>
      </c>
      <c r="B5" s="247" t="s">
        <v>6</v>
      </c>
      <c r="C5" s="131" t="s">
        <v>301</v>
      </c>
    </row>
    <row r="6" spans="1:4" s="126" customFormat="1" ht="33.75" customHeight="1">
      <c r="A6" s="129">
        <v>4</v>
      </c>
      <c r="B6" s="248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302</v>
      </c>
    </row>
    <row r="8" spans="1:4" s="126" customFormat="1" ht="33.75" customHeight="1">
      <c r="A8" s="129">
        <v>6</v>
      </c>
      <c r="B8" s="247" t="s">
        <v>9</v>
      </c>
      <c r="C8" s="130" t="s">
        <v>240</v>
      </c>
    </row>
    <row r="9" spans="1:4" s="126" customFormat="1" ht="33.75" customHeight="1">
      <c r="A9" s="129">
        <v>7</v>
      </c>
      <c r="B9" s="248"/>
      <c r="C9" s="130" t="s">
        <v>10</v>
      </c>
    </row>
    <row r="10" spans="1:4" s="126" customFormat="1" ht="33.75" customHeight="1">
      <c r="A10" s="129">
        <v>8</v>
      </c>
      <c r="B10" s="248"/>
      <c r="C10" s="131" t="s">
        <v>233</v>
      </c>
    </row>
    <row r="11" spans="1:4" s="126" customFormat="1" ht="33.75" customHeight="1">
      <c r="A11" s="129">
        <v>9</v>
      </c>
      <c r="B11" s="248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F9" sqref="F9"/>
    </sheetView>
  </sheetViews>
  <sheetFormatPr defaultColWidth="9" defaultRowHeight="20.25"/>
  <cols>
    <col min="1" max="1" width="14" style="189" customWidth="1"/>
    <col min="2" max="2" width="14.125" style="189" customWidth="1"/>
    <col min="3" max="4" width="22.875" style="189" customWidth="1"/>
    <col min="5" max="11" width="18.25" style="189" customWidth="1"/>
    <col min="12" max="12" width="11.625" style="189" customWidth="1"/>
    <col min="13" max="13" width="15.625" style="189" customWidth="1"/>
    <col min="14" max="14" width="12.25" style="189" customWidth="1"/>
    <col min="15" max="16384" width="9" style="189"/>
  </cols>
  <sheetData>
    <row r="1" spans="1:15" ht="29.25" customHeight="1">
      <c r="A1" s="283" t="s">
        <v>185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5" ht="24" customHeight="1">
      <c r="A2" s="191" t="s">
        <v>186</v>
      </c>
      <c r="E2" s="190"/>
      <c r="F2" s="190"/>
      <c r="G2" s="190"/>
      <c r="H2" s="190"/>
      <c r="I2" s="190"/>
      <c r="J2" s="190"/>
      <c r="K2" s="190"/>
      <c r="L2" s="190"/>
    </row>
    <row r="3" spans="1:15">
      <c r="C3" s="189" t="s">
        <v>187</v>
      </c>
      <c r="D3" s="192" t="s">
        <v>230</v>
      </c>
      <c r="E3" s="193">
        <v>0.04</v>
      </c>
      <c r="F3" s="194"/>
      <c r="G3" s="194"/>
      <c r="H3" s="194"/>
    </row>
    <row r="4" spans="1:15">
      <c r="K4" s="195"/>
    </row>
    <row r="5" spans="1:15" ht="45" customHeight="1">
      <c r="A5" s="282" t="s">
        <v>188</v>
      </c>
      <c r="B5" s="214" t="s">
        <v>138</v>
      </c>
      <c r="C5" s="238" t="s">
        <v>273</v>
      </c>
      <c r="D5" s="238" t="s">
        <v>274</v>
      </c>
      <c r="E5" s="218"/>
      <c r="F5" s="216"/>
      <c r="G5" s="196"/>
      <c r="H5" s="196"/>
      <c r="I5" s="196"/>
      <c r="J5" s="196"/>
      <c r="K5" s="197"/>
      <c r="L5" s="281" t="s">
        <v>15</v>
      </c>
    </row>
    <row r="6" spans="1:15" ht="31.5" customHeight="1">
      <c r="A6" s="282"/>
      <c r="B6" s="214" t="s">
        <v>139</v>
      </c>
      <c r="C6" s="239" t="s">
        <v>275</v>
      </c>
      <c r="D6" s="239" t="s">
        <v>276</v>
      </c>
      <c r="E6" s="218"/>
      <c r="F6" s="216"/>
      <c r="G6" s="196"/>
      <c r="H6" s="196"/>
      <c r="I6" s="196"/>
      <c r="J6" s="196"/>
      <c r="K6" s="198"/>
      <c r="L6" s="281"/>
      <c r="N6" s="189">
        <v>100</v>
      </c>
    </row>
    <row r="7" spans="1:15" ht="32.25" customHeight="1">
      <c r="A7" s="282"/>
      <c r="B7" s="215" t="s">
        <v>189</v>
      </c>
      <c r="C7" s="240" t="s">
        <v>277</v>
      </c>
      <c r="D7" s="241" t="s">
        <v>278</v>
      </c>
      <c r="E7" s="217"/>
      <c r="F7" s="216"/>
      <c r="G7" s="196"/>
      <c r="H7" s="196"/>
      <c r="I7" s="196"/>
      <c r="J7" s="196"/>
      <c r="K7" s="198"/>
      <c r="L7" s="281"/>
      <c r="N7" s="189">
        <f>N6*(1-$E$3)</f>
        <v>96</v>
      </c>
      <c r="O7" s="189">
        <f>N7/$N$6</f>
        <v>0.96</v>
      </c>
    </row>
    <row r="8" spans="1:15" ht="60.75">
      <c r="A8" s="282"/>
      <c r="B8" s="199" t="s">
        <v>190</v>
      </c>
      <c r="C8" s="241">
        <v>1180</v>
      </c>
      <c r="D8" s="241">
        <v>470</v>
      </c>
      <c r="E8" s="221"/>
      <c r="F8" s="200"/>
      <c r="G8" s="201"/>
      <c r="H8" s="201"/>
      <c r="I8" s="201"/>
      <c r="J8" s="201"/>
      <c r="K8" s="198"/>
      <c r="L8" s="281"/>
      <c r="M8" s="224">
        <f>SUM(C8:K8)</f>
        <v>1650</v>
      </c>
      <c r="N8" s="189">
        <f>N7*(1-$E$3)</f>
        <v>92.16</v>
      </c>
      <c r="O8" s="189">
        <f t="shared" ref="O8:O9" si="0">N8/$N$6</f>
        <v>0.92159999999999997</v>
      </c>
    </row>
    <row r="9" spans="1:15">
      <c r="A9" s="282" t="s">
        <v>191</v>
      </c>
      <c r="B9" s="202" t="s">
        <v>298</v>
      </c>
      <c r="C9" s="241">
        <v>1500</v>
      </c>
      <c r="D9" s="241">
        <v>1500</v>
      </c>
      <c r="E9" s="213"/>
      <c r="F9" s="203"/>
      <c r="G9" s="203"/>
      <c r="H9" s="203"/>
      <c r="I9" s="203"/>
      <c r="J9" s="203"/>
      <c r="K9" s="204"/>
      <c r="L9" s="205">
        <f>SUM(C9:K9)</f>
        <v>3000</v>
      </c>
      <c r="N9" s="189">
        <f t="shared" ref="N9" si="1">N8*(1-$E$3)</f>
        <v>88.47359999999999</v>
      </c>
      <c r="O9" s="189">
        <f t="shared" si="0"/>
        <v>0.88473599999999986</v>
      </c>
    </row>
    <row r="10" spans="1:15">
      <c r="A10" s="282"/>
      <c r="B10" s="229" t="s">
        <v>181</v>
      </c>
      <c r="C10" s="242">
        <v>3000</v>
      </c>
      <c r="D10" s="242">
        <v>3000</v>
      </c>
      <c r="E10" s="213"/>
      <c r="F10" s="203"/>
      <c r="G10" s="203"/>
      <c r="H10" s="203"/>
      <c r="I10" s="203"/>
      <c r="J10" s="203"/>
      <c r="K10" s="206"/>
      <c r="L10" s="205">
        <f t="shared" ref="L10:L14" si="2">SUM(C10:K10)</f>
        <v>6000</v>
      </c>
    </row>
    <row r="11" spans="1:15">
      <c r="A11" s="282"/>
      <c r="B11" s="229" t="s">
        <v>182</v>
      </c>
      <c r="C11" s="242">
        <v>4000</v>
      </c>
      <c r="D11" s="242">
        <v>4000</v>
      </c>
      <c r="E11" s="213"/>
      <c r="F11" s="203"/>
      <c r="G11" s="203"/>
      <c r="H11" s="203"/>
      <c r="I11" s="203"/>
      <c r="J11" s="203"/>
      <c r="K11" s="204"/>
      <c r="L11" s="205">
        <f t="shared" si="2"/>
        <v>8000</v>
      </c>
    </row>
    <row r="12" spans="1:15">
      <c r="A12" s="282"/>
      <c r="B12" s="229" t="s">
        <v>226</v>
      </c>
      <c r="C12" s="219"/>
      <c r="D12" s="219"/>
      <c r="E12" s="213"/>
      <c r="F12" s="203"/>
      <c r="G12" s="203"/>
      <c r="H12" s="203"/>
      <c r="I12" s="203"/>
      <c r="J12" s="203"/>
      <c r="K12" s="171"/>
      <c r="L12" s="205">
        <f t="shared" si="2"/>
        <v>0</v>
      </c>
    </row>
    <row r="13" spans="1:15">
      <c r="A13" s="282"/>
      <c r="B13" s="229" t="s">
        <v>238</v>
      </c>
      <c r="C13" s="219"/>
      <c r="D13" s="219"/>
      <c r="E13" s="219"/>
      <c r="F13" s="203"/>
      <c r="G13" s="203"/>
      <c r="H13" s="203"/>
      <c r="I13" s="203"/>
      <c r="J13" s="203"/>
      <c r="K13" s="171"/>
      <c r="L13" s="205">
        <f t="shared" si="2"/>
        <v>0</v>
      </c>
    </row>
    <row r="14" spans="1:15">
      <c r="A14" s="282"/>
      <c r="B14" s="229" t="s">
        <v>239</v>
      </c>
      <c r="C14" s="220"/>
      <c r="D14" s="220"/>
      <c r="E14" s="220"/>
      <c r="F14" s="204"/>
      <c r="G14" s="204"/>
      <c r="H14" s="204"/>
      <c r="I14" s="204"/>
      <c r="J14" s="204"/>
      <c r="K14" s="204"/>
      <c r="L14" s="205">
        <f t="shared" si="2"/>
        <v>0</v>
      </c>
    </row>
    <row r="15" spans="1:15">
      <c r="A15" s="281" t="s">
        <v>15</v>
      </c>
      <c r="B15" s="281"/>
      <c r="C15" s="207">
        <f>SUM(C9:C14)</f>
        <v>8500</v>
      </c>
      <c r="D15" s="207">
        <f>SUM(D9:D14)</f>
        <v>8500</v>
      </c>
      <c r="E15" s="207">
        <f t="shared" ref="E15:L15" si="3">SUM(E9:E14)</f>
        <v>0</v>
      </c>
      <c r="F15" s="207">
        <f t="shared" si="3"/>
        <v>0</v>
      </c>
      <c r="G15" s="207">
        <f t="shared" si="3"/>
        <v>0</v>
      </c>
      <c r="H15" s="207">
        <f t="shared" si="3"/>
        <v>0</v>
      </c>
      <c r="I15" s="207">
        <f t="shared" si="3"/>
        <v>0</v>
      </c>
      <c r="J15" s="207">
        <f t="shared" si="3"/>
        <v>0</v>
      </c>
      <c r="K15" s="207">
        <f t="shared" si="3"/>
        <v>0</v>
      </c>
      <c r="L15" s="207">
        <f t="shared" si="3"/>
        <v>17000</v>
      </c>
    </row>
    <row r="16" spans="1:15">
      <c r="A16" s="208"/>
      <c r="B16" s="208"/>
      <c r="C16" s="208"/>
    </row>
    <row r="17" spans="2:14" ht="29.25" customHeight="1">
      <c r="B17" s="209" t="s">
        <v>250</v>
      </c>
      <c r="C17" s="210">
        <f>材料成本!D12</f>
        <v>800.46990866793863</v>
      </c>
      <c r="D17" s="210">
        <f>材料成本!E12</f>
        <v>392.57439050565989</v>
      </c>
      <c r="E17" s="210"/>
      <c r="F17" s="210"/>
      <c r="G17" s="210"/>
      <c r="H17" s="210"/>
      <c r="I17" s="210"/>
      <c r="J17" s="210"/>
      <c r="K17" s="209"/>
      <c r="L17" s="209"/>
      <c r="M17" s="208"/>
      <c r="N17" s="224"/>
    </row>
    <row r="18" spans="2:14" ht="29.25" customHeight="1">
      <c r="B18" s="209" t="s">
        <v>251</v>
      </c>
      <c r="C18" s="210">
        <f>C8-C17</f>
        <v>379.53009133206137</v>
      </c>
      <c r="D18" s="210">
        <f t="shared" ref="D18:J18" si="4">D8-D17</f>
        <v>77.425609494340108</v>
      </c>
      <c r="E18" s="210"/>
      <c r="F18" s="210">
        <f t="shared" si="4"/>
        <v>0</v>
      </c>
      <c r="G18" s="210">
        <f t="shared" si="4"/>
        <v>0</v>
      </c>
      <c r="H18" s="210">
        <f t="shared" si="4"/>
        <v>0</v>
      </c>
      <c r="I18" s="210">
        <f t="shared" si="4"/>
        <v>0</v>
      </c>
      <c r="J18" s="210">
        <f t="shared" si="4"/>
        <v>0</v>
      </c>
      <c r="K18" s="209"/>
      <c r="L18" s="209"/>
      <c r="M18" s="208"/>
      <c r="N18" s="224"/>
    </row>
    <row r="19" spans="2:14" ht="29.25" customHeight="1">
      <c r="B19" s="209" t="s">
        <v>252</v>
      </c>
      <c r="C19" s="211">
        <f>C18/C8</f>
        <v>0.321635670620391</v>
      </c>
      <c r="D19" s="211">
        <f t="shared" ref="D19:J19" si="5">D18/D8</f>
        <v>0.16473533934965981</v>
      </c>
      <c r="E19" s="211" t="e">
        <f t="shared" si="5"/>
        <v>#DIV/0!</v>
      </c>
      <c r="F19" s="211" t="e">
        <f t="shared" si="5"/>
        <v>#DIV/0!</v>
      </c>
      <c r="G19" s="211" t="e">
        <f t="shared" si="5"/>
        <v>#DIV/0!</v>
      </c>
      <c r="H19" s="211" t="e">
        <f t="shared" si="5"/>
        <v>#DIV/0!</v>
      </c>
      <c r="I19" s="211" t="e">
        <f t="shared" si="5"/>
        <v>#DIV/0!</v>
      </c>
      <c r="J19" s="211" t="e">
        <f t="shared" si="5"/>
        <v>#DIV/0!</v>
      </c>
      <c r="K19" s="209"/>
      <c r="L19" s="209"/>
      <c r="M19" s="225"/>
      <c r="N19" s="225"/>
    </row>
    <row r="21" spans="2:14">
      <c r="B21" s="189" t="s">
        <v>260</v>
      </c>
      <c r="C21" s="224">
        <f>C8*0.7</f>
        <v>826</v>
      </c>
      <c r="D21" s="224">
        <f>D8*0.7</f>
        <v>329</v>
      </c>
      <c r="E21" s="224">
        <f>E8*0.7</f>
        <v>0</v>
      </c>
      <c r="M21" s="224"/>
    </row>
    <row r="22" spans="2:14">
      <c r="B22" s="189" t="s">
        <v>261</v>
      </c>
      <c r="C22" s="224">
        <f>C17-C21</f>
        <v>-25.530091332061374</v>
      </c>
      <c r="D22" s="224">
        <f>D17-D21</f>
        <v>63.574390505659892</v>
      </c>
      <c r="E22" s="224">
        <f>E17-E21</f>
        <v>0</v>
      </c>
      <c r="M22" s="224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F6" sqref="F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96" t="s">
        <v>6</v>
      </c>
      <c r="B1" s="296"/>
      <c r="C1" s="5"/>
      <c r="N1" s="8"/>
    </row>
    <row r="2" spans="1:15">
      <c r="A2" s="297" t="s">
        <v>192</v>
      </c>
      <c r="B2" s="297"/>
      <c r="C2" s="298"/>
      <c r="D2" s="298"/>
      <c r="E2" s="299" t="s">
        <v>303</v>
      </c>
      <c r="F2" s="300"/>
      <c r="G2" s="300"/>
      <c r="H2" s="300"/>
      <c r="I2" s="300"/>
      <c r="J2" s="300"/>
      <c r="K2" s="300"/>
      <c r="L2" s="300"/>
      <c r="M2" s="301"/>
    </row>
    <row r="3" spans="1:15" ht="24" customHeight="1">
      <c r="A3" s="286" t="s">
        <v>14</v>
      </c>
      <c r="B3" s="286" t="s">
        <v>193</v>
      </c>
      <c r="C3" s="6" t="s">
        <v>194</v>
      </c>
      <c r="D3" s="302" t="str">
        <f>损益表!A1</f>
        <v>豪瀚MAX座椅项目投资收益分析</v>
      </c>
      <c r="E3" s="302"/>
      <c r="F3" s="6" t="s">
        <v>195</v>
      </c>
      <c r="G3" s="178" t="s">
        <v>263</v>
      </c>
      <c r="H3" s="178"/>
      <c r="I3" s="178"/>
      <c r="J3" s="178"/>
      <c r="K3" s="178"/>
      <c r="L3" s="172"/>
      <c r="M3" s="303" t="s">
        <v>148</v>
      </c>
    </row>
    <row r="4" spans="1:15" ht="49.5">
      <c r="A4" s="286"/>
      <c r="B4" s="286"/>
      <c r="C4" s="6" t="s">
        <v>138</v>
      </c>
      <c r="D4" s="162" t="str">
        <f>销量!C5</f>
        <v>MAX左座椅总成（TX平台 空气减震）</v>
      </c>
      <c r="E4" s="162" t="str">
        <f>销量!D5</f>
        <v>MAX右座椅总成（TX平台 简易版 无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162">
        <f>销量!I5</f>
        <v>0</v>
      </c>
      <c r="K4" s="162">
        <f>销量!J5</f>
        <v>0</v>
      </c>
      <c r="L4" s="162"/>
      <c r="M4" s="304"/>
    </row>
    <row r="5" spans="1:15" ht="30">
      <c r="A5" s="286"/>
      <c r="B5" s="286"/>
      <c r="C5" s="6" t="s">
        <v>242</v>
      </c>
      <c r="D5" s="163" t="str">
        <f>销量!C6</f>
        <v>YZ167151000039</v>
      </c>
      <c r="E5" s="163" t="str">
        <f>销量!D6</f>
        <v>YZ167151000040</v>
      </c>
      <c r="F5" s="163">
        <f>销量!E6</f>
        <v>0</v>
      </c>
      <c r="G5" s="163">
        <f>销量!F6</f>
        <v>0</v>
      </c>
      <c r="H5" s="163">
        <f>销量!G6</f>
        <v>0</v>
      </c>
      <c r="I5" s="163">
        <f>销量!H6</f>
        <v>0</v>
      </c>
      <c r="J5" s="163">
        <f>销量!I6</f>
        <v>0</v>
      </c>
      <c r="K5" s="163">
        <f>销量!J6</f>
        <v>0</v>
      </c>
      <c r="L5" s="163"/>
      <c r="M5" s="305"/>
    </row>
    <row r="6" spans="1:15" s="175" customFormat="1" ht="38.25" customHeight="1">
      <c r="A6" s="177">
        <v>1</v>
      </c>
      <c r="B6" s="306"/>
      <c r="C6" s="307"/>
      <c r="D6" s="180">
        <v>800.46990866793863</v>
      </c>
      <c r="E6" s="180">
        <v>392.57439050565989</v>
      </c>
      <c r="F6" s="180"/>
      <c r="G6" s="180"/>
      <c r="H6" s="180"/>
      <c r="I6" s="180"/>
      <c r="J6" s="180"/>
      <c r="K6" s="180"/>
      <c r="L6" s="183"/>
      <c r="M6" s="144" t="s">
        <v>243</v>
      </c>
    </row>
    <row r="7" spans="1:15" s="175" customFormat="1" ht="16.5" customHeight="1">
      <c r="A7" s="177">
        <v>2</v>
      </c>
      <c r="B7" s="306"/>
      <c r="C7" s="307"/>
      <c r="D7" s="182"/>
      <c r="E7" s="182"/>
      <c r="F7" s="182"/>
      <c r="G7" s="182"/>
      <c r="H7" s="182"/>
      <c r="I7" s="182"/>
      <c r="J7" s="182"/>
      <c r="K7" s="182"/>
      <c r="L7" s="182"/>
      <c r="M7" s="181"/>
    </row>
    <row r="8" spans="1:15" s="175" customFormat="1" ht="16.5" customHeight="1">
      <c r="A8" s="177">
        <v>3</v>
      </c>
      <c r="B8" s="306"/>
      <c r="C8" s="307"/>
      <c r="D8" s="183"/>
      <c r="E8" s="182"/>
      <c r="F8" s="183"/>
      <c r="G8" s="183"/>
      <c r="H8" s="183"/>
      <c r="I8" s="183"/>
      <c r="J8" s="183"/>
      <c r="K8" s="183"/>
      <c r="L8" s="182"/>
      <c r="M8" s="181"/>
    </row>
    <row r="9" spans="1:15" s="175" customFormat="1">
      <c r="A9" s="177">
        <v>4</v>
      </c>
      <c r="B9" s="306"/>
      <c r="C9" s="307"/>
      <c r="D9" s="183"/>
      <c r="E9" s="182"/>
      <c r="F9" s="183"/>
      <c r="G9" s="183"/>
      <c r="H9" s="183"/>
      <c r="I9" s="183"/>
      <c r="J9" s="183"/>
      <c r="K9" s="183"/>
      <c r="L9" s="182"/>
      <c r="M9" s="181"/>
    </row>
    <row r="10" spans="1:15" s="175" customFormat="1" ht="16.5" customHeight="1">
      <c r="A10" s="177">
        <v>5</v>
      </c>
      <c r="B10" s="306"/>
      <c r="C10" s="307"/>
      <c r="D10" s="183"/>
      <c r="E10" s="182"/>
      <c r="F10" s="183"/>
      <c r="G10" s="183"/>
      <c r="H10" s="183"/>
      <c r="I10" s="183"/>
      <c r="J10" s="183"/>
      <c r="K10" s="183"/>
      <c r="L10" s="182"/>
      <c r="M10" s="181"/>
      <c r="N10" s="284"/>
      <c r="O10" s="285"/>
    </row>
    <row r="11" spans="1:15" s="175" customFormat="1" ht="16.5" customHeight="1">
      <c r="A11" s="177">
        <v>6</v>
      </c>
      <c r="B11" s="306"/>
      <c r="C11" s="307"/>
      <c r="D11" s="183"/>
      <c r="E11" s="182"/>
      <c r="F11" s="183"/>
      <c r="G11" s="183"/>
      <c r="H11" s="183"/>
      <c r="I11" s="183"/>
      <c r="J11" s="183"/>
      <c r="K11" s="183"/>
      <c r="L11" s="182"/>
      <c r="M11" s="181"/>
      <c r="N11" s="284"/>
      <c r="O11" s="285"/>
    </row>
    <row r="12" spans="1:15" ht="31.5" customHeight="1">
      <c r="A12" s="288" t="s">
        <v>196</v>
      </c>
      <c r="B12" s="289"/>
      <c r="C12" s="290"/>
      <c r="D12" s="7">
        <f>SUM(D6:D11)</f>
        <v>800.46990866793863</v>
      </c>
      <c r="E12" s="7">
        <f>SUM(E6:E11)</f>
        <v>392.57439050565989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8" t="s">
        <v>249</v>
      </c>
    </row>
    <row r="13" spans="1:15">
      <c r="D13" s="148" t="s">
        <v>295</v>
      </c>
      <c r="E13" s="13" t="s">
        <v>296</v>
      </c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87" t="s">
        <v>244</v>
      </c>
      <c r="E17" s="287"/>
      <c r="F17" s="287"/>
      <c r="G17" s="287"/>
      <c r="H17" s="287"/>
      <c r="I17" s="287"/>
      <c r="J17" s="287"/>
      <c r="K17" s="287"/>
      <c r="L17" s="287"/>
      <c r="M17" s="287"/>
    </row>
    <row r="18" spans="2:13">
      <c r="C18" s="291" t="s">
        <v>225</v>
      </c>
      <c r="D18" s="291" t="s">
        <v>258</v>
      </c>
      <c r="E18" s="293" t="s">
        <v>297</v>
      </c>
      <c r="F18" s="294"/>
      <c r="G18" s="294"/>
      <c r="H18" s="294"/>
      <c r="I18" s="294"/>
      <c r="J18" s="294"/>
      <c r="K18" s="294"/>
      <c r="L18" s="294"/>
      <c r="M18" s="295"/>
    </row>
    <row r="19" spans="2:13">
      <c r="B19" s="13"/>
      <c r="C19" s="292"/>
      <c r="D19" s="292"/>
      <c r="E19" s="152" t="s">
        <v>298</v>
      </c>
      <c r="F19" s="230" t="s">
        <v>181</v>
      </c>
      <c r="G19" s="230" t="s">
        <v>182</v>
      </c>
      <c r="H19" s="230" t="s">
        <v>226</v>
      </c>
      <c r="I19" s="230" t="s">
        <v>238</v>
      </c>
      <c r="J19" s="230" t="s">
        <v>239</v>
      </c>
      <c r="K19" s="230" t="s">
        <v>241</v>
      </c>
      <c r="L19" s="230" t="s">
        <v>299</v>
      </c>
      <c r="M19" s="152"/>
    </row>
    <row r="20" spans="2:13" ht="49.5">
      <c r="C20" s="163" t="str">
        <f>D4</f>
        <v>MAX左座椅总成（TX平台 空气减震）</v>
      </c>
      <c r="D20" s="163" t="str">
        <f>D5</f>
        <v>YZ167151000039</v>
      </c>
      <c r="E20" s="182">
        <f>D12</f>
        <v>800.46990866793863</v>
      </c>
      <c r="F20" s="154">
        <f>E20*(1-0.04)</f>
        <v>768.4511123212211</v>
      </c>
      <c r="G20" s="154">
        <f>F20*(1-0.04)</f>
        <v>737.71306782837223</v>
      </c>
      <c r="H20" s="154"/>
      <c r="I20" s="154"/>
      <c r="J20" s="154"/>
      <c r="K20" s="154"/>
      <c r="L20" s="154"/>
      <c r="M20" s="154"/>
    </row>
    <row r="21" spans="2:13" ht="49.5">
      <c r="C21" s="163" t="str">
        <f>E4</f>
        <v>MAX右座椅总成（TX平台 简易版 无</v>
      </c>
      <c r="D21" s="163" t="str">
        <f>E5</f>
        <v>YZ167151000040</v>
      </c>
      <c r="E21" s="182">
        <f>E12</f>
        <v>392.57439050565989</v>
      </c>
      <c r="F21" s="154">
        <f>E21*(1-0.04)</f>
        <v>376.87141488543347</v>
      </c>
      <c r="G21" s="154">
        <f>F21*(1-0.04)</f>
        <v>361.79655829001609</v>
      </c>
      <c r="H21" s="154"/>
      <c r="I21" s="154"/>
      <c r="J21" s="154"/>
      <c r="K21" s="154"/>
      <c r="L21" s="154"/>
      <c r="M21" s="154"/>
    </row>
    <row r="22" spans="2:13">
      <c r="C22" s="218"/>
      <c r="D22" s="218"/>
      <c r="E22" s="182"/>
      <c r="F22" s="154">
        <f t="shared" ref="F22:H27" si="1">E22*(1-0.01)</f>
        <v>0</v>
      </c>
      <c r="G22" s="154">
        <f t="shared" si="1"/>
        <v>0</v>
      </c>
      <c r="H22" s="154">
        <f t="shared" si="1"/>
        <v>0</v>
      </c>
      <c r="I22" s="154"/>
      <c r="J22" s="154"/>
      <c r="K22" s="154"/>
      <c r="L22" s="154"/>
      <c r="M22" s="154"/>
    </row>
    <row r="23" spans="2:13">
      <c r="C23" s="179"/>
      <c r="D23" s="179"/>
      <c r="E23" s="182"/>
      <c r="F23" s="154">
        <f t="shared" si="1"/>
        <v>0</v>
      </c>
      <c r="G23" s="154">
        <f t="shared" si="1"/>
        <v>0</v>
      </c>
      <c r="H23" s="154">
        <f t="shared" si="1"/>
        <v>0</v>
      </c>
      <c r="I23" s="154"/>
      <c r="J23" s="154"/>
      <c r="K23" s="154"/>
      <c r="L23" s="154"/>
      <c r="M23" s="154"/>
    </row>
    <row r="24" spans="2:13">
      <c r="C24" s="179"/>
      <c r="D24" s="179"/>
      <c r="E24" s="182"/>
      <c r="F24" s="154">
        <f t="shared" si="1"/>
        <v>0</v>
      </c>
      <c r="G24" s="154">
        <f t="shared" si="1"/>
        <v>0</v>
      </c>
      <c r="H24" s="154">
        <f t="shared" si="1"/>
        <v>0</v>
      </c>
      <c r="I24" s="154"/>
      <c r="J24" s="154"/>
      <c r="K24" s="154"/>
      <c r="L24" s="154"/>
      <c r="M24" s="154"/>
    </row>
    <row r="25" spans="2:13">
      <c r="C25" s="179"/>
      <c r="D25" s="179"/>
      <c r="E25" s="182"/>
      <c r="F25" s="154">
        <f t="shared" si="1"/>
        <v>0</v>
      </c>
      <c r="G25" s="154">
        <f t="shared" si="1"/>
        <v>0</v>
      </c>
      <c r="H25" s="154">
        <f t="shared" si="1"/>
        <v>0</v>
      </c>
      <c r="I25" s="154"/>
      <c r="J25" s="154"/>
      <c r="K25" s="154"/>
      <c r="L25" s="154"/>
      <c r="M25" s="154"/>
    </row>
    <row r="26" spans="2:13">
      <c r="C26" s="179"/>
      <c r="D26" s="179"/>
      <c r="E26" s="182"/>
      <c r="F26" s="154">
        <f t="shared" si="1"/>
        <v>0</v>
      </c>
      <c r="G26" s="154">
        <f t="shared" si="1"/>
        <v>0</v>
      </c>
      <c r="H26" s="154">
        <f t="shared" si="1"/>
        <v>0</v>
      </c>
      <c r="I26" s="154"/>
      <c r="J26" s="154"/>
      <c r="K26" s="154"/>
      <c r="L26" s="154"/>
      <c r="M26" s="9"/>
    </row>
    <row r="27" spans="2:13">
      <c r="C27" s="179"/>
      <c r="D27" s="179"/>
      <c r="E27" s="182"/>
      <c r="F27" s="154">
        <f t="shared" si="1"/>
        <v>0</v>
      </c>
      <c r="G27" s="154">
        <f t="shared" si="1"/>
        <v>0</v>
      </c>
      <c r="H27" s="154">
        <f t="shared" si="1"/>
        <v>0</v>
      </c>
      <c r="I27" s="154"/>
      <c r="J27" s="154"/>
      <c r="K27" s="154"/>
      <c r="L27" s="154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8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9" style="223"/>
    <col min="2" max="2" width="29.625" style="223" customWidth="1"/>
    <col min="3" max="3" width="25.5" style="223" customWidth="1"/>
    <col min="4" max="4" width="22" style="223" customWidth="1"/>
    <col min="5" max="16384" width="9" style="223"/>
  </cols>
  <sheetData>
    <row r="1" spans="1:5" ht="27" customHeight="1">
      <c r="A1" s="222" t="s">
        <v>14</v>
      </c>
      <c r="B1" s="222" t="s">
        <v>197</v>
      </c>
      <c r="C1" s="222" t="s">
        <v>198</v>
      </c>
      <c r="D1" s="222" t="s">
        <v>199</v>
      </c>
    </row>
    <row r="2" spans="1:5" ht="19.5" customHeight="1">
      <c r="A2" s="222">
        <v>1</v>
      </c>
      <c r="B2" s="243" t="s">
        <v>200</v>
      </c>
      <c r="C2" s="173" t="s">
        <v>284</v>
      </c>
      <c r="D2" s="244"/>
    </row>
    <row r="3" spans="1:5" ht="36" customHeight="1">
      <c r="A3" s="222">
        <v>2</v>
      </c>
      <c r="B3" s="243" t="s">
        <v>201</v>
      </c>
      <c r="C3" s="174" t="s">
        <v>285</v>
      </c>
      <c r="D3" s="244" t="s">
        <v>286</v>
      </c>
    </row>
    <row r="4" spans="1:5" ht="19.5" customHeight="1">
      <c r="A4" s="222">
        <v>3</v>
      </c>
      <c r="B4" s="243" t="s">
        <v>202</v>
      </c>
      <c r="C4" s="173" t="s">
        <v>287</v>
      </c>
      <c r="D4" s="244" t="s">
        <v>288</v>
      </c>
    </row>
    <row r="5" spans="1:5" ht="42.75" customHeight="1">
      <c r="A5" s="222">
        <v>4</v>
      </c>
      <c r="B5" s="243" t="s">
        <v>203</v>
      </c>
      <c r="C5" s="173"/>
      <c r="D5" s="244"/>
    </row>
    <row r="6" spans="1:5" ht="39" customHeight="1">
      <c r="A6" s="222">
        <v>5</v>
      </c>
      <c r="B6" s="243" t="s">
        <v>204</v>
      </c>
      <c r="C6" s="173"/>
      <c r="D6" s="244"/>
    </row>
    <row r="7" spans="1:5" ht="27.75" customHeight="1">
      <c r="A7" s="222">
        <v>6</v>
      </c>
      <c r="B7" s="244" t="s">
        <v>205</v>
      </c>
      <c r="C7" s="174" t="s">
        <v>289</v>
      </c>
      <c r="D7" s="244"/>
    </row>
    <row r="8" spans="1:5" ht="36" customHeight="1">
      <c r="A8" s="222">
        <v>7</v>
      </c>
      <c r="B8" s="243" t="s">
        <v>206</v>
      </c>
      <c r="C8" s="184" t="s">
        <v>290</v>
      </c>
      <c r="D8" s="244"/>
    </row>
    <row r="9" spans="1:5" ht="34.5" customHeight="1">
      <c r="A9" s="222">
        <v>8</v>
      </c>
      <c r="B9" s="244" t="s">
        <v>207</v>
      </c>
      <c r="C9" s="184" t="s">
        <v>291</v>
      </c>
      <c r="D9" s="244"/>
    </row>
    <row r="10" spans="1:5" ht="34.5" customHeight="1">
      <c r="A10" s="222">
        <v>9</v>
      </c>
      <c r="B10" s="244" t="s">
        <v>208</v>
      </c>
      <c r="C10" s="184" t="s">
        <v>291</v>
      </c>
      <c r="D10" s="244"/>
      <c r="E10" s="226"/>
    </row>
    <row r="11" spans="1:5" ht="34.5" customHeight="1">
      <c r="A11" s="222">
        <v>10</v>
      </c>
      <c r="B11" s="244" t="s">
        <v>209</v>
      </c>
      <c r="C11" s="184" t="s">
        <v>292</v>
      </c>
      <c r="D11" s="244" t="s">
        <v>293</v>
      </c>
    </row>
    <row r="12" spans="1:5" ht="34.5" customHeight="1">
      <c r="A12" s="222">
        <v>11</v>
      </c>
      <c r="B12" s="244" t="s">
        <v>210</v>
      </c>
      <c r="C12" s="184" t="s">
        <v>294</v>
      </c>
      <c r="D12" s="244"/>
    </row>
    <row r="13" spans="1:5" ht="24" customHeight="1">
      <c r="A13" s="222">
        <v>12</v>
      </c>
      <c r="B13" s="243" t="s">
        <v>245</v>
      </c>
      <c r="C13" s="184" t="s">
        <v>279</v>
      </c>
      <c r="D13" s="244"/>
    </row>
    <row r="14" spans="1:5" ht="24" customHeight="1">
      <c r="A14" s="222">
        <v>13</v>
      </c>
      <c r="B14" s="243" t="s">
        <v>246</v>
      </c>
      <c r="C14" s="184" t="s">
        <v>280</v>
      </c>
      <c r="D14" s="244"/>
    </row>
    <row r="15" spans="1:5" ht="24" customHeight="1">
      <c r="A15" s="222">
        <v>14</v>
      </c>
      <c r="B15" s="243" t="s">
        <v>247</v>
      </c>
      <c r="C15" s="184" t="s">
        <v>281</v>
      </c>
      <c r="D15" s="244"/>
    </row>
    <row r="16" spans="1:5" ht="24" customHeight="1">
      <c r="A16" s="222">
        <v>15</v>
      </c>
      <c r="B16" s="244" t="s">
        <v>282</v>
      </c>
      <c r="C16" s="244"/>
      <c r="D16" s="244"/>
    </row>
    <row r="17" spans="2:4" ht="16.5">
      <c r="B17" s="246" t="s">
        <v>283</v>
      </c>
      <c r="C17" s="245"/>
      <c r="D17" s="245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E14" sqref="E14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16384" width="9" style="54"/>
  </cols>
  <sheetData>
    <row r="1" spans="1:11" s="134" customFormat="1" ht="18.75" customHeight="1">
      <c r="F1" s="308" t="s">
        <v>211</v>
      </c>
      <c r="G1" s="308"/>
      <c r="H1" s="135"/>
    </row>
    <row r="2" spans="1:11" ht="20.25" customHeight="1">
      <c r="A2" s="314" t="s">
        <v>212</v>
      </c>
      <c r="B2" s="314"/>
      <c r="C2" s="315"/>
      <c r="D2" s="315"/>
      <c r="E2" s="315"/>
      <c r="F2" s="315"/>
      <c r="G2" s="311"/>
      <c r="H2" s="136" t="s">
        <v>219</v>
      </c>
      <c r="J2" s="151"/>
      <c r="K2" s="151"/>
    </row>
    <row r="3" spans="1:11" ht="34.5" customHeight="1">
      <c r="A3" s="314"/>
      <c r="B3" s="314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248</v>
      </c>
      <c r="H3" s="147">
        <f>销量!C8</f>
        <v>1180</v>
      </c>
    </row>
    <row r="4" spans="1:11">
      <c r="A4" s="309" t="s">
        <v>213</v>
      </c>
      <c r="B4" s="309"/>
      <c r="C4" s="138"/>
      <c r="D4" s="139">
        <f>$H$3*E4</f>
        <v>66.339583919497315</v>
      </c>
      <c r="E4" s="157">
        <v>5.6219986372455351E-2</v>
      </c>
      <c r="F4" s="157">
        <v>0.10179000000000001</v>
      </c>
      <c r="G4" s="140">
        <v>6.3270000000000007E-2</v>
      </c>
      <c r="I4" s="149"/>
      <c r="J4" s="55"/>
      <c r="K4" s="55"/>
    </row>
    <row r="5" spans="1:11">
      <c r="A5" s="309" t="s">
        <v>214</v>
      </c>
      <c r="B5" s="141" t="s">
        <v>215</v>
      </c>
      <c r="C5" s="138"/>
      <c r="D5" s="139">
        <f>$H$3*E5</f>
        <v>53.1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309"/>
      <c r="B6" s="141" t="s">
        <v>216</v>
      </c>
      <c r="C6" s="138"/>
      <c r="D6" s="139">
        <f t="shared" ref="D6" si="0">$H$3*E6</f>
        <v>17.789667729270395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310" t="s">
        <v>217</v>
      </c>
      <c r="B7" s="311"/>
      <c r="C7" s="142"/>
      <c r="D7" s="185">
        <f>$H$3*E7</f>
        <v>137.2292516487677</v>
      </c>
      <c r="E7" s="186">
        <v>0.11629597597353196</v>
      </c>
      <c r="F7" s="186">
        <f>SUM(F4:F6)</f>
        <v>0.34206999999999999</v>
      </c>
      <c r="G7" s="187">
        <f>SUM(G4:G6)</f>
        <v>0.16395000000000001</v>
      </c>
      <c r="I7" s="149"/>
      <c r="J7" s="55"/>
      <c r="K7" s="55"/>
    </row>
    <row r="8" spans="1:11">
      <c r="A8" s="309" t="s">
        <v>45</v>
      </c>
      <c r="B8" s="309"/>
      <c r="C8" s="138"/>
      <c r="D8" s="139">
        <f>$H$3*E8</f>
        <v>47.2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12" t="s">
        <v>218</v>
      </c>
      <c r="B9" s="141" t="s">
        <v>215</v>
      </c>
      <c r="C9" s="138"/>
      <c r="D9" s="139">
        <f>$H$3*E9</f>
        <v>8.26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13"/>
      <c r="B10" s="141" t="s">
        <v>216</v>
      </c>
      <c r="C10" s="138"/>
      <c r="D10" s="139">
        <f>$H$3*E10</f>
        <v>47.199999999999996</v>
      </c>
      <c r="E10" s="137">
        <v>3.9999999999999994E-2</v>
      </c>
      <c r="F10" s="157">
        <v>5.8119999999999998E-2</v>
      </c>
      <c r="G10" s="140">
        <v>5.4899999999999997E-2</v>
      </c>
      <c r="I10" s="137"/>
      <c r="J10" s="55"/>
      <c r="K10" s="55"/>
    </row>
    <row r="11" spans="1:11">
      <c r="A11" s="309" t="s">
        <v>48</v>
      </c>
      <c r="B11" s="309"/>
      <c r="C11" s="138"/>
      <c r="D11" s="139">
        <f t="shared" ref="D11" si="1">$H$3*E11</f>
        <v>25.134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308" t="s">
        <v>211</v>
      </c>
      <c r="G15" s="308"/>
      <c r="H15" s="135"/>
    </row>
    <row r="16" spans="1:11" ht="22.5" customHeight="1">
      <c r="A16" s="314" t="s">
        <v>212</v>
      </c>
      <c r="B16" s="314"/>
      <c r="C16" s="315"/>
      <c r="D16" s="315"/>
      <c r="E16" s="315"/>
      <c r="F16" s="315"/>
      <c r="G16" s="311"/>
      <c r="H16" s="136" t="s">
        <v>219</v>
      </c>
    </row>
    <row r="17" spans="1:8" ht="27">
      <c r="A17" s="314"/>
      <c r="B17" s="314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470</v>
      </c>
    </row>
    <row r="18" spans="1:8">
      <c r="A18" s="309" t="s">
        <v>213</v>
      </c>
      <c r="B18" s="309"/>
      <c r="C18" s="138"/>
      <c r="D18" s="139">
        <f>$H$17*E18</f>
        <v>26.423393595054016</v>
      </c>
      <c r="E18" s="157">
        <v>5.6219986372455351E-2</v>
      </c>
      <c r="F18" s="157">
        <v>0.10179000000000001</v>
      </c>
      <c r="G18" s="140">
        <v>6.3270000000000007E-2</v>
      </c>
    </row>
    <row r="19" spans="1:8">
      <c r="A19" s="309" t="s">
        <v>214</v>
      </c>
      <c r="B19" s="156" t="s">
        <v>215</v>
      </c>
      <c r="C19" s="138"/>
      <c r="D19" s="139">
        <f t="shared" ref="D19:D23" si="2">$H$17*E19</f>
        <v>21.15</v>
      </c>
      <c r="E19" s="140">
        <v>4.4999999999999998E-2</v>
      </c>
      <c r="F19" s="157">
        <v>0.2</v>
      </c>
      <c r="G19" s="140">
        <v>0.08</v>
      </c>
    </row>
    <row r="20" spans="1:8">
      <c r="A20" s="309"/>
      <c r="B20" s="156" t="s">
        <v>216</v>
      </c>
      <c r="C20" s="138"/>
      <c r="D20" s="139">
        <f t="shared" si="2"/>
        <v>7.0857151125060041</v>
      </c>
      <c r="E20" s="157">
        <v>1.5075989601076605E-2</v>
      </c>
      <c r="F20" s="157">
        <v>4.0280000000000003E-2</v>
      </c>
      <c r="G20" s="140">
        <v>2.068E-2</v>
      </c>
    </row>
    <row r="21" spans="1:8">
      <c r="A21" s="310" t="s">
        <v>217</v>
      </c>
      <c r="B21" s="311"/>
      <c r="C21" s="142"/>
      <c r="D21" s="139">
        <f t="shared" si="2"/>
        <v>54.659108707560023</v>
      </c>
      <c r="E21" s="186">
        <v>0.11629597597353196</v>
      </c>
      <c r="F21" s="186">
        <f>SUM(F18:F20)</f>
        <v>0.34206999999999999</v>
      </c>
      <c r="G21" s="187">
        <f>SUM(G18:G20)</f>
        <v>0.16395000000000001</v>
      </c>
    </row>
    <row r="22" spans="1:8">
      <c r="A22" s="309" t="s">
        <v>45</v>
      </c>
      <c r="B22" s="309"/>
      <c r="C22" s="138"/>
      <c r="D22" s="139">
        <f t="shared" si="2"/>
        <v>18.8</v>
      </c>
      <c r="E22" s="158">
        <v>0.04</v>
      </c>
      <c r="F22" s="157">
        <v>2.9350000000000001E-2</v>
      </c>
      <c r="G22" s="140">
        <v>4.9200000000000001E-2</v>
      </c>
    </row>
    <row r="23" spans="1:8">
      <c r="A23" s="312" t="s">
        <v>218</v>
      </c>
      <c r="B23" s="156" t="s">
        <v>215</v>
      </c>
      <c r="C23" s="138"/>
      <c r="D23" s="139">
        <f t="shared" si="2"/>
        <v>3.29</v>
      </c>
      <c r="E23" s="140">
        <v>7.0000000000000001E-3</v>
      </c>
      <c r="F23" s="157">
        <v>2.1489999999999999E-2</v>
      </c>
      <c r="G23" s="140">
        <v>9.4900000000000002E-3</v>
      </c>
    </row>
    <row r="24" spans="1:8">
      <c r="A24" s="313"/>
      <c r="B24" s="156" t="s">
        <v>216</v>
      </c>
      <c r="C24" s="138"/>
      <c r="D24" s="139">
        <f>$H$17*E24</f>
        <v>18.799999999999997</v>
      </c>
      <c r="E24" s="137">
        <v>3.9999999999999994E-2</v>
      </c>
      <c r="F24" s="157">
        <v>5.8119999999999998E-2</v>
      </c>
      <c r="G24" s="140">
        <v>5.4899999999999997E-2</v>
      </c>
    </row>
    <row r="25" spans="1:8">
      <c r="A25" s="309" t="s">
        <v>48</v>
      </c>
      <c r="B25" s="309"/>
      <c r="C25" s="138"/>
      <c r="D25" s="139">
        <f t="shared" ref="D25" si="3">$H$17*E25</f>
        <v>10.010999999999999</v>
      </c>
      <c r="E25" s="140">
        <v>2.1299999999999999E-2</v>
      </c>
      <c r="F25" s="157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308" t="s">
        <v>211</v>
      </c>
      <c r="G29" s="308"/>
      <c r="H29" s="135"/>
    </row>
    <row r="30" spans="1:8" ht="30" customHeight="1">
      <c r="A30" s="314" t="s">
        <v>212</v>
      </c>
      <c r="B30" s="314"/>
      <c r="C30" s="315"/>
      <c r="D30" s="315"/>
      <c r="E30" s="315"/>
      <c r="F30" s="315"/>
      <c r="G30" s="311"/>
      <c r="H30" s="136" t="s">
        <v>219</v>
      </c>
    </row>
    <row r="31" spans="1:8" ht="27">
      <c r="A31" s="314"/>
      <c r="B31" s="314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0</v>
      </c>
    </row>
    <row r="32" spans="1:8">
      <c r="A32" s="309" t="s">
        <v>213</v>
      </c>
      <c r="B32" s="309"/>
      <c r="C32" s="138"/>
      <c r="D32" s="139">
        <f>$H$31*E32</f>
        <v>0</v>
      </c>
      <c r="E32" s="157">
        <v>5.8140600126520232E-2</v>
      </c>
      <c r="F32" s="157">
        <v>0.10179000000000001</v>
      </c>
      <c r="G32" s="140">
        <v>6.3270000000000007E-2</v>
      </c>
    </row>
    <row r="33" spans="1:8">
      <c r="A33" s="309" t="s">
        <v>214</v>
      </c>
      <c r="B33" s="156" t="s">
        <v>215</v>
      </c>
      <c r="C33" s="138"/>
      <c r="D33" s="139">
        <f t="shared" ref="D33:D37" si="4">$H$31*E33</f>
        <v>0</v>
      </c>
      <c r="E33" s="140">
        <v>4.4999999999999998E-2</v>
      </c>
      <c r="F33" s="157">
        <v>0.2</v>
      </c>
      <c r="G33" s="140">
        <v>0.08</v>
      </c>
    </row>
    <row r="34" spans="1:8">
      <c r="A34" s="309"/>
      <c r="B34" s="156" t="s">
        <v>216</v>
      </c>
      <c r="C34" s="138"/>
      <c r="D34" s="139">
        <f t="shared" si="4"/>
        <v>0</v>
      </c>
      <c r="E34" s="157">
        <v>1.8068356891203199E-2</v>
      </c>
      <c r="F34" s="157">
        <v>4.0280000000000003E-2</v>
      </c>
      <c r="G34" s="140">
        <v>2.068E-2</v>
      </c>
    </row>
    <row r="35" spans="1:8">
      <c r="A35" s="310" t="s">
        <v>217</v>
      </c>
      <c r="B35" s="311"/>
      <c r="C35" s="142"/>
      <c r="D35" s="139">
        <f t="shared" si="4"/>
        <v>0</v>
      </c>
      <c r="E35" s="186">
        <f>SUM(E32:E34)</f>
        <v>0.12120895701772344</v>
      </c>
      <c r="F35" s="186">
        <f>SUM(F32:F34)</f>
        <v>0.34206999999999999</v>
      </c>
      <c r="G35" s="187">
        <f>SUM(G32:G34)</f>
        <v>0.16395000000000001</v>
      </c>
    </row>
    <row r="36" spans="1:8">
      <c r="A36" s="309" t="s">
        <v>45</v>
      </c>
      <c r="B36" s="309"/>
      <c r="C36" s="138"/>
      <c r="D36" s="139">
        <f t="shared" si="4"/>
        <v>0</v>
      </c>
      <c r="E36" s="158">
        <v>4.0563309291379773E-2</v>
      </c>
      <c r="F36" s="157">
        <v>2.9350000000000001E-2</v>
      </c>
      <c r="G36" s="140">
        <v>4.9200000000000001E-2</v>
      </c>
    </row>
    <row r="37" spans="1:8">
      <c r="A37" s="312" t="s">
        <v>218</v>
      </c>
      <c r="B37" s="156" t="s">
        <v>215</v>
      </c>
      <c r="C37" s="138"/>
      <c r="D37" s="139">
        <f t="shared" si="4"/>
        <v>0</v>
      </c>
      <c r="E37" s="140">
        <v>7.9000000000000008E-3</v>
      </c>
      <c r="F37" s="157">
        <v>2.1489999999999999E-2</v>
      </c>
      <c r="G37" s="140">
        <v>9.4900000000000002E-3</v>
      </c>
    </row>
    <row r="38" spans="1:8">
      <c r="A38" s="313"/>
      <c r="B38" s="156" t="s">
        <v>216</v>
      </c>
      <c r="C38" s="138"/>
      <c r="D38" s="139">
        <f>$H$31*E38</f>
        <v>0</v>
      </c>
      <c r="E38" s="137">
        <v>0.01</v>
      </c>
      <c r="F38" s="157">
        <v>5.8119999999999998E-2</v>
      </c>
      <c r="G38" s="140">
        <v>5.4899999999999997E-2</v>
      </c>
    </row>
    <row r="39" spans="1:8">
      <c r="A39" s="309" t="s">
        <v>48</v>
      </c>
      <c r="B39" s="309"/>
      <c r="C39" s="138"/>
      <c r="D39" s="139">
        <f t="shared" ref="D39" si="5">$H$31*E39</f>
        <v>0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308" t="s">
        <v>211</v>
      </c>
      <c r="G42" s="308"/>
      <c r="H42" s="135"/>
    </row>
    <row r="43" spans="1:8" ht="28.5" customHeight="1">
      <c r="A43" s="314" t="s">
        <v>212</v>
      </c>
      <c r="B43" s="314"/>
      <c r="C43" s="315"/>
      <c r="D43" s="315"/>
      <c r="E43" s="315"/>
      <c r="F43" s="315"/>
      <c r="G43" s="311"/>
      <c r="H43" s="136" t="s">
        <v>219</v>
      </c>
    </row>
    <row r="44" spans="1:8" ht="27">
      <c r="A44" s="314"/>
      <c r="B44" s="314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0</v>
      </c>
    </row>
    <row r="45" spans="1:8">
      <c r="A45" s="309" t="s">
        <v>213</v>
      </c>
      <c r="B45" s="309"/>
      <c r="C45" s="138"/>
      <c r="D45" s="139">
        <f>$H$44*E45</f>
        <v>0</v>
      </c>
      <c r="E45" s="157">
        <v>5.8140600126520232E-2</v>
      </c>
      <c r="F45" s="157">
        <v>0.10179000000000001</v>
      </c>
      <c r="G45" s="140">
        <v>6.3270000000000007E-2</v>
      </c>
    </row>
    <row r="46" spans="1:8">
      <c r="A46" s="309" t="s">
        <v>214</v>
      </c>
      <c r="B46" s="156" t="s">
        <v>215</v>
      </c>
      <c r="C46" s="138"/>
      <c r="D46" s="139">
        <f t="shared" ref="D46:D50" si="6">$H$44*E46</f>
        <v>0</v>
      </c>
      <c r="E46" s="140">
        <v>4.4999999999999998E-2</v>
      </c>
      <c r="F46" s="157">
        <v>0.2</v>
      </c>
      <c r="G46" s="140">
        <v>0.08</v>
      </c>
    </row>
    <row r="47" spans="1:8">
      <c r="A47" s="309"/>
      <c r="B47" s="156" t="s">
        <v>216</v>
      </c>
      <c r="C47" s="138"/>
      <c r="D47" s="139">
        <f t="shared" si="6"/>
        <v>0</v>
      </c>
      <c r="E47" s="157">
        <v>1.8068356891203199E-2</v>
      </c>
      <c r="F47" s="157">
        <v>4.0280000000000003E-2</v>
      </c>
      <c r="G47" s="140">
        <v>2.068E-2</v>
      </c>
    </row>
    <row r="48" spans="1:8">
      <c r="A48" s="310" t="s">
        <v>217</v>
      </c>
      <c r="B48" s="311"/>
      <c r="C48" s="142"/>
      <c r="D48" s="139">
        <f t="shared" si="6"/>
        <v>0</v>
      </c>
      <c r="E48" s="186">
        <f>SUM(E45:E47)</f>
        <v>0.12120895701772344</v>
      </c>
      <c r="F48" s="186">
        <f>SUM(F45:F47)</f>
        <v>0.34206999999999999</v>
      </c>
      <c r="G48" s="187">
        <f>SUM(G45:G47)</f>
        <v>0.16395000000000001</v>
      </c>
    </row>
    <row r="49" spans="1:8">
      <c r="A49" s="309" t="s">
        <v>45</v>
      </c>
      <c r="B49" s="309"/>
      <c r="C49" s="138"/>
      <c r="D49" s="139">
        <f t="shared" si="6"/>
        <v>0</v>
      </c>
      <c r="E49" s="158">
        <v>4.0563309291379773E-2</v>
      </c>
      <c r="F49" s="157">
        <v>2.9350000000000001E-2</v>
      </c>
      <c r="G49" s="140">
        <v>4.9200000000000001E-2</v>
      </c>
    </row>
    <row r="50" spans="1:8">
      <c r="A50" s="312" t="s">
        <v>218</v>
      </c>
      <c r="B50" s="156" t="s">
        <v>215</v>
      </c>
      <c r="C50" s="138"/>
      <c r="D50" s="139">
        <f t="shared" si="6"/>
        <v>0</v>
      </c>
      <c r="E50" s="140">
        <v>7.9000000000000008E-3</v>
      </c>
      <c r="F50" s="157">
        <v>2.1489999999999999E-2</v>
      </c>
      <c r="G50" s="140">
        <v>9.4900000000000002E-3</v>
      </c>
    </row>
    <row r="51" spans="1:8">
      <c r="A51" s="313"/>
      <c r="B51" s="156" t="s">
        <v>216</v>
      </c>
      <c r="C51" s="138"/>
      <c r="D51" s="139">
        <f>$H$44*E51</f>
        <v>0</v>
      </c>
      <c r="E51" s="137">
        <v>0.01</v>
      </c>
      <c r="F51" s="157">
        <v>5.8119999999999998E-2</v>
      </c>
      <c r="G51" s="140">
        <v>5.4899999999999997E-2</v>
      </c>
    </row>
    <row r="52" spans="1:8">
      <c r="A52" s="309" t="s">
        <v>48</v>
      </c>
      <c r="B52" s="309"/>
      <c r="C52" s="138"/>
      <c r="D52" s="139">
        <f t="shared" ref="D52" si="7">$H$44*E52</f>
        <v>0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308" t="s">
        <v>211</v>
      </c>
      <c r="G55" s="308"/>
      <c r="H55" s="135"/>
    </row>
    <row r="56" spans="1:8">
      <c r="A56" s="314" t="s">
        <v>212</v>
      </c>
      <c r="B56" s="314"/>
      <c r="C56" s="315"/>
      <c r="D56" s="315"/>
      <c r="E56" s="315"/>
      <c r="F56" s="315"/>
      <c r="G56" s="311"/>
      <c r="H56" s="136" t="s">
        <v>219</v>
      </c>
    </row>
    <row r="57" spans="1:8" ht="27">
      <c r="A57" s="314"/>
      <c r="B57" s="314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0</v>
      </c>
    </row>
    <row r="58" spans="1:8">
      <c r="A58" s="309" t="s">
        <v>213</v>
      </c>
      <c r="B58" s="309"/>
      <c r="C58" s="138"/>
      <c r="D58" s="139">
        <f>$H$57*E58</f>
        <v>0</v>
      </c>
      <c r="E58" s="157">
        <v>5.8140600126520232E-2</v>
      </c>
      <c r="F58" s="157">
        <v>0.10179000000000001</v>
      </c>
      <c r="G58" s="140">
        <v>6.3270000000000007E-2</v>
      </c>
    </row>
    <row r="59" spans="1:8">
      <c r="A59" s="309" t="s">
        <v>214</v>
      </c>
      <c r="B59" s="156" t="s">
        <v>215</v>
      </c>
      <c r="C59" s="138"/>
      <c r="D59" s="139">
        <f t="shared" ref="D59:D63" si="8">$H$57*E59</f>
        <v>0</v>
      </c>
      <c r="E59" s="140">
        <v>4.4999999999999998E-2</v>
      </c>
      <c r="F59" s="157">
        <v>0.2</v>
      </c>
      <c r="G59" s="140">
        <v>0.08</v>
      </c>
    </row>
    <row r="60" spans="1:8">
      <c r="A60" s="309"/>
      <c r="B60" s="156" t="s">
        <v>216</v>
      </c>
      <c r="C60" s="138"/>
      <c r="D60" s="139">
        <f t="shared" si="8"/>
        <v>0</v>
      </c>
      <c r="E60" s="157">
        <v>1.8068356891203199E-2</v>
      </c>
      <c r="F60" s="157">
        <v>4.0280000000000003E-2</v>
      </c>
      <c r="G60" s="140">
        <v>2.068E-2</v>
      </c>
    </row>
    <row r="61" spans="1:8">
      <c r="A61" s="310" t="s">
        <v>217</v>
      </c>
      <c r="B61" s="311"/>
      <c r="C61" s="142"/>
      <c r="D61" s="139">
        <f t="shared" si="8"/>
        <v>0</v>
      </c>
      <c r="E61" s="186">
        <f>SUM(E58:E60)</f>
        <v>0.12120895701772344</v>
      </c>
      <c r="F61" s="186">
        <f>SUM(F58:F60)</f>
        <v>0.34206999999999999</v>
      </c>
      <c r="G61" s="187">
        <f>SUM(G58:G60)</f>
        <v>0.16395000000000001</v>
      </c>
    </row>
    <row r="62" spans="1:8">
      <c r="A62" s="309" t="s">
        <v>45</v>
      </c>
      <c r="B62" s="309"/>
      <c r="C62" s="138"/>
      <c r="D62" s="139">
        <f t="shared" si="8"/>
        <v>0</v>
      </c>
      <c r="E62" s="158">
        <v>4.0563309291379773E-2</v>
      </c>
      <c r="F62" s="157">
        <v>2.9350000000000001E-2</v>
      </c>
      <c r="G62" s="140">
        <v>4.9200000000000001E-2</v>
      </c>
    </row>
    <row r="63" spans="1:8">
      <c r="A63" s="312" t="s">
        <v>218</v>
      </c>
      <c r="B63" s="156" t="s">
        <v>215</v>
      </c>
      <c r="C63" s="138"/>
      <c r="D63" s="139">
        <f t="shared" si="8"/>
        <v>0</v>
      </c>
      <c r="E63" s="140">
        <v>7.9000000000000008E-3</v>
      </c>
      <c r="F63" s="157">
        <v>2.1489999999999999E-2</v>
      </c>
      <c r="G63" s="140">
        <v>9.4900000000000002E-3</v>
      </c>
    </row>
    <row r="64" spans="1:8">
      <c r="A64" s="313"/>
      <c r="B64" s="156" t="s">
        <v>216</v>
      </c>
      <c r="C64" s="138"/>
      <c r="D64" s="139">
        <f>$H$57*E64</f>
        <v>0</v>
      </c>
      <c r="E64" s="137">
        <v>0.01</v>
      </c>
      <c r="F64" s="157">
        <v>5.8119999999999998E-2</v>
      </c>
      <c r="G64" s="140">
        <v>5.4899999999999997E-2</v>
      </c>
    </row>
    <row r="65" spans="1:8">
      <c r="A65" s="309" t="s">
        <v>48</v>
      </c>
      <c r="B65" s="309"/>
      <c r="C65" s="138"/>
      <c r="D65" s="139">
        <f t="shared" ref="D65" si="9">$H$57*E65</f>
        <v>0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308" t="s">
        <v>211</v>
      </c>
      <c r="G68" s="308"/>
      <c r="H68" s="135"/>
    </row>
    <row r="69" spans="1:8">
      <c r="A69" s="314" t="s">
        <v>212</v>
      </c>
      <c r="B69" s="314"/>
      <c r="C69" s="315"/>
      <c r="D69" s="315"/>
      <c r="E69" s="315"/>
      <c r="F69" s="315"/>
      <c r="G69" s="311"/>
      <c r="H69" s="136" t="s">
        <v>219</v>
      </c>
    </row>
    <row r="70" spans="1:8" ht="27">
      <c r="A70" s="314"/>
      <c r="B70" s="314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0</v>
      </c>
    </row>
    <row r="71" spans="1:8">
      <c r="A71" s="309" t="s">
        <v>213</v>
      </c>
      <c r="B71" s="309"/>
      <c r="C71" s="138"/>
      <c r="D71" s="139">
        <f>$H$70*E71</f>
        <v>0</v>
      </c>
      <c r="E71" s="157">
        <v>5.8140600126520232E-2</v>
      </c>
      <c r="F71" s="157">
        <v>0.10179000000000001</v>
      </c>
      <c r="G71" s="140">
        <v>6.3270000000000007E-2</v>
      </c>
    </row>
    <row r="72" spans="1:8">
      <c r="A72" s="309" t="s">
        <v>214</v>
      </c>
      <c r="B72" s="156" t="s">
        <v>215</v>
      </c>
      <c r="C72" s="138"/>
      <c r="D72" s="139">
        <f t="shared" ref="D72:D76" si="10">$H$70*E72</f>
        <v>0</v>
      </c>
      <c r="E72" s="140">
        <v>4.4999999999999998E-2</v>
      </c>
      <c r="F72" s="157">
        <v>0.2</v>
      </c>
      <c r="G72" s="140">
        <v>0.08</v>
      </c>
    </row>
    <row r="73" spans="1:8">
      <c r="A73" s="309"/>
      <c r="B73" s="156" t="s">
        <v>216</v>
      </c>
      <c r="C73" s="138"/>
      <c r="D73" s="139">
        <f t="shared" si="10"/>
        <v>0</v>
      </c>
      <c r="E73" s="157">
        <v>1.8068356891203199E-2</v>
      </c>
      <c r="F73" s="157">
        <v>4.0280000000000003E-2</v>
      </c>
      <c r="G73" s="140">
        <v>2.068E-2</v>
      </c>
    </row>
    <row r="74" spans="1:8">
      <c r="A74" s="310" t="s">
        <v>217</v>
      </c>
      <c r="B74" s="311"/>
      <c r="C74" s="142"/>
      <c r="D74" s="139">
        <f t="shared" si="10"/>
        <v>0</v>
      </c>
      <c r="E74" s="186">
        <f>SUM(E71:E73)</f>
        <v>0.12120895701772344</v>
      </c>
      <c r="F74" s="186">
        <f>SUM(F71:F73)</f>
        <v>0.34206999999999999</v>
      </c>
      <c r="G74" s="187">
        <f>SUM(G71:G73)</f>
        <v>0.16395000000000001</v>
      </c>
    </row>
    <row r="75" spans="1:8">
      <c r="A75" s="309" t="s">
        <v>45</v>
      </c>
      <c r="B75" s="309"/>
      <c r="C75" s="138"/>
      <c r="D75" s="139">
        <f t="shared" si="10"/>
        <v>0</v>
      </c>
      <c r="E75" s="158">
        <v>4.0563309291379773E-2</v>
      </c>
      <c r="F75" s="157">
        <v>2.9350000000000001E-2</v>
      </c>
      <c r="G75" s="140">
        <v>4.9200000000000001E-2</v>
      </c>
    </row>
    <row r="76" spans="1:8">
      <c r="A76" s="312" t="s">
        <v>218</v>
      </c>
      <c r="B76" s="156" t="s">
        <v>215</v>
      </c>
      <c r="C76" s="138"/>
      <c r="D76" s="139">
        <f t="shared" si="10"/>
        <v>0</v>
      </c>
      <c r="E76" s="140">
        <v>7.9000000000000008E-3</v>
      </c>
      <c r="F76" s="157">
        <v>2.1489999999999999E-2</v>
      </c>
      <c r="G76" s="140">
        <v>9.4900000000000002E-3</v>
      </c>
    </row>
    <row r="77" spans="1:8">
      <c r="A77" s="313"/>
      <c r="B77" s="156" t="s">
        <v>216</v>
      </c>
      <c r="C77" s="138"/>
      <c r="D77" s="139">
        <f>$H$70*E77</f>
        <v>0</v>
      </c>
      <c r="E77" s="137">
        <v>0.01</v>
      </c>
      <c r="F77" s="157">
        <v>5.8119999999999998E-2</v>
      </c>
      <c r="G77" s="140">
        <v>5.4899999999999997E-2</v>
      </c>
    </row>
    <row r="78" spans="1:8">
      <c r="A78" s="309" t="s">
        <v>48</v>
      </c>
      <c r="B78" s="309"/>
      <c r="C78" s="138"/>
      <c r="D78" s="139">
        <f t="shared" ref="D78" si="11">$H$70*E78</f>
        <v>0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308" t="s">
        <v>211</v>
      </c>
      <c r="G81" s="308"/>
      <c r="H81" s="135"/>
    </row>
    <row r="82" spans="1:8">
      <c r="A82" s="314" t="s">
        <v>212</v>
      </c>
      <c r="B82" s="314"/>
      <c r="C82" s="315"/>
      <c r="D82" s="315"/>
      <c r="E82" s="315"/>
      <c r="F82" s="315"/>
      <c r="G82" s="311"/>
      <c r="H82" s="136" t="s">
        <v>219</v>
      </c>
    </row>
    <row r="83" spans="1:8" ht="27">
      <c r="A83" s="314"/>
      <c r="B83" s="314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0</v>
      </c>
    </row>
    <row r="84" spans="1:8">
      <c r="A84" s="309" t="s">
        <v>213</v>
      </c>
      <c r="B84" s="309"/>
      <c r="C84" s="138"/>
      <c r="D84" s="139">
        <f>$H$83*E84</f>
        <v>0</v>
      </c>
      <c r="E84" s="157">
        <v>5.8140600126520232E-2</v>
      </c>
      <c r="F84" s="157">
        <v>0.10179000000000001</v>
      </c>
      <c r="G84" s="140">
        <v>6.3270000000000007E-2</v>
      </c>
    </row>
    <row r="85" spans="1:8">
      <c r="A85" s="309" t="s">
        <v>214</v>
      </c>
      <c r="B85" s="169" t="s">
        <v>215</v>
      </c>
      <c r="C85" s="138"/>
      <c r="D85" s="139">
        <f t="shared" ref="D85:D89" si="12">$H$83*E85</f>
        <v>0</v>
      </c>
      <c r="E85" s="140">
        <v>4.4999999999999998E-2</v>
      </c>
      <c r="F85" s="157">
        <v>0.2</v>
      </c>
      <c r="G85" s="140">
        <v>0.08</v>
      </c>
    </row>
    <row r="86" spans="1:8">
      <c r="A86" s="309"/>
      <c r="B86" s="169" t="s">
        <v>216</v>
      </c>
      <c r="C86" s="138"/>
      <c r="D86" s="139">
        <f t="shared" si="12"/>
        <v>0</v>
      </c>
      <c r="E86" s="157">
        <v>1.8068356891203199E-2</v>
      </c>
      <c r="F86" s="157">
        <v>4.0280000000000003E-2</v>
      </c>
      <c r="G86" s="140">
        <v>2.068E-2</v>
      </c>
    </row>
    <row r="87" spans="1:8">
      <c r="A87" s="310" t="s">
        <v>217</v>
      </c>
      <c r="B87" s="311"/>
      <c r="C87" s="142"/>
      <c r="D87" s="139">
        <f t="shared" si="12"/>
        <v>0</v>
      </c>
      <c r="E87" s="186">
        <f>SUM(E84:E86)</f>
        <v>0.12120895701772344</v>
      </c>
      <c r="F87" s="186">
        <f>SUM(F84:F86)</f>
        <v>0.34206999999999999</v>
      </c>
      <c r="G87" s="187">
        <f>SUM(G84:G86)</f>
        <v>0.16395000000000001</v>
      </c>
    </row>
    <row r="88" spans="1:8">
      <c r="A88" s="309" t="s">
        <v>45</v>
      </c>
      <c r="B88" s="309"/>
      <c r="C88" s="138"/>
      <c r="D88" s="139">
        <f t="shared" si="12"/>
        <v>0</v>
      </c>
      <c r="E88" s="158">
        <v>4.0563309291379773E-2</v>
      </c>
      <c r="F88" s="157">
        <v>2.9350000000000001E-2</v>
      </c>
      <c r="G88" s="140">
        <v>4.9200000000000001E-2</v>
      </c>
    </row>
    <row r="89" spans="1:8">
      <c r="A89" s="312" t="s">
        <v>218</v>
      </c>
      <c r="B89" s="169" t="s">
        <v>215</v>
      </c>
      <c r="C89" s="138"/>
      <c r="D89" s="139">
        <f t="shared" si="12"/>
        <v>0</v>
      </c>
      <c r="E89" s="140">
        <v>7.9000000000000008E-3</v>
      </c>
      <c r="F89" s="157">
        <v>2.1489999999999999E-2</v>
      </c>
      <c r="G89" s="140">
        <v>9.4900000000000002E-3</v>
      </c>
    </row>
    <row r="90" spans="1:8">
      <c r="A90" s="313"/>
      <c r="B90" s="169" t="s">
        <v>216</v>
      </c>
      <c r="C90" s="138"/>
      <c r="D90" s="139">
        <f t="shared" ref="D90:D91" si="13">$H$83*E90</f>
        <v>0</v>
      </c>
      <c r="E90" s="137">
        <v>0.01</v>
      </c>
      <c r="F90" s="157">
        <v>5.8119999999999998E-2</v>
      </c>
      <c r="G90" s="140">
        <v>5.4899999999999997E-2</v>
      </c>
    </row>
    <row r="91" spans="1:8">
      <c r="A91" s="309" t="s">
        <v>48</v>
      </c>
      <c r="B91" s="309"/>
      <c r="C91" s="138"/>
      <c r="D91" s="139">
        <f t="shared" si="13"/>
        <v>0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308" t="s">
        <v>211</v>
      </c>
      <c r="G94" s="308"/>
      <c r="H94" s="135"/>
    </row>
    <row r="95" spans="1:8">
      <c r="A95" s="314" t="s">
        <v>212</v>
      </c>
      <c r="B95" s="314"/>
      <c r="C95" s="315"/>
      <c r="D95" s="315"/>
      <c r="E95" s="315"/>
      <c r="F95" s="315"/>
      <c r="G95" s="311"/>
      <c r="H95" s="136" t="s">
        <v>219</v>
      </c>
    </row>
    <row r="96" spans="1:8" ht="27">
      <c r="A96" s="314"/>
      <c r="B96" s="314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0</v>
      </c>
    </row>
    <row r="97" spans="1:8">
      <c r="A97" s="309" t="s">
        <v>213</v>
      </c>
      <c r="B97" s="309"/>
      <c r="C97" s="138"/>
      <c r="D97" s="139">
        <f>$H$96*E97</f>
        <v>0</v>
      </c>
      <c r="E97" s="157">
        <v>5.8140600126520232E-2</v>
      </c>
      <c r="F97" s="157">
        <v>0.10179000000000001</v>
      </c>
      <c r="G97" s="140">
        <v>6.3270000000000007E-2</v>
      </c>
    </row>
    <row r="98" spans="1:8">
      <c r="A98" s="309" t="s">
        <v>214</v>
      </c>
      <c r="B98" s="169" t="s">
        <v>215</v>
      </c>
      <c r="C98" s="138"/>
      <c r="D98" s="139">
        <f t="shared" ref="D98:D103" si="14">$H$96*E98</f>
        <v>0</v>
      </c>
      <c r="E98" s="140">
        <v>4.4999999999999998E-2</v>
      </c>
      <c r="F98" s="157">
        <v>0.2</v>
      </c>
      <c r="G98" s="140">
        <v>0.08</v>
      </c>
    </row>
    <row r="99" spans="1:8">
      <c r="A99" s="309"/>
      <c r="B99" s="169" t="s">
        <v>216</v>
      </c>
      <c r="C99" s="138"/>
      <c r="D99" s="139">
        <f t="shared" si="14"/>
        <v>0</v>
      </c>
      <c r="E99" s="157">
        <v>1.8068356891203199E-2</v>
      </c>
      <c r="F99" s="157">
        <v>4.0280000000000003E-2</v>
      </c>
      <c r="G99" s="140">
        <v>2.068E-2</v>
      </c>
    </row>
    <row r="100" spans="1:8">
      <c r="A100" s="310" t="s">
        <v>217</v>
      </c>
      <c r="B100" s="311"/>
      <c r="C100" s="142"/>
      <c r="D100" s="139">
        <f t="shared" si="14"/>
        <v>0</v>
      </c>
      <c r="E100" s="186">
        <f>SUM(E97:E99)</f>
        <v>0.12120895701772344</v>
      </c>
      <c r="F100" s="186">
        <f>SUM(F97:F99)</f>
        <v>0.34206999999999999</v>
      </c>
      <c r="G100" s="187">
        <f>SUM(G97:G99)</f>
        <v>0.16395000000000001</v>
      </c>
    </row>
    <row r="101" spans="1:8">
      <c r="A101" s="309" t="s">
        <v>45</v>
      </c>
      <c r="B101" s="309"/>
      <c r="C101" s="138"/>
      <c r="D101" s="139">
        <f t="shared" si="14"/>
        <v>0</v>
      </c>
      <c r="E101" s="158">
        <v>4.0563309291379773E-2</v>
      </c>
      <c r="F101" s="157">
        <v>2.9350000000000001E-2</v>
      </c>
      <c r="G101" s="140">
        <v>4.9200000000000001E-2</v>
      </c>
    </row>
    <row r="102" spans="1:8">
      <c r="A102" s="312" t="s">
        <v>218</v>
      </c>
      <c r="B102" s="169" t="s">
        <v>215</v>
      </c>
      <c r="C102" s="138"/>
      <c r="D102" s="139">
        <f t="shared" si="14"/>
        <v>0</v>
      </c>
      <c r="E102" s="140">
        <v>7.9000000000000008E-3</v>
      </c>
      <c r="F102" s="157">
        <v>2.1489999999999999E-2</v>
      </c>
      <c r="G102" s="140">
        <v>9.4900000000000002E-3</v>
      </c>
    </row>
    <row r="103" spans="1:8">
      <c r="A103" s="313"/>
      <c r="B103" s="169" t="s">
        <v>216</v>
      </c>
      <c r="C103" s="138"/>
      <c r="D103" s="139">
        <f t="shared" si="14"/>
        <v>0</v>
      </c>
      <c r="E103" s="137">
        <v>0.01</v>
      </c>
      <c r="F103" s="157">
        <v>5.8119999999999998E-2</v>
      </c>
      <c r="G103" s="140">
        <v>5.4899999999999997E-2</v>
      </c>
    </row>
    <row r="104" spans="1:8">
      <c r="A104" s="309" t="s">
        <v>48</v>
      </c>
      <c r="B104" s="309"/>
      <c r="C104" s="138"/>
      <c r="D104" s="139">
        <f t="shared" ref="D104" si="15">$H$96*E104</f>
        <v>0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308" t="s">
        <v>211</v>
      </c>
      <c r="G107" s="308"/>
      <c r="H107" s="135"/>
    </row>
    <row r="108" spans="1:8">
      <c r="A108" s="314" t="s">
        <v>212</v>
      </c>
      <c r="B108" s="314"/>
      <c r="C108" s="315"/>
      <c r="D108" s="315"/>
      <c r="E108" s="315"/>
      <c r="F108" s="315"/>
      <c r="G108" s="311"/>
      <c r="H108" s="136" t="s">
        <v>219</v>
      </c>
    </row>
    <row r="109" spans="1:8" ht="27">
      <c r="A109" s="314"/>
      <c r="B109" s="314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0</v>
      </c>
    </row>
    <row r="110" spans="1:8">
      <c r="A110" s="309" t="s">
        <v>213</v>
      </c>
      <c r="B110" s="309"/>
      <c r="C110" s="138"/>
      <c r="D110" s="139">
        <f>$H$109*E110</f>
        <v>0</v>
      </c>
      <c r="E110" s="157">
        <v>5.8140600126520232E-2</v>
      </c>
      <c r="F110" s="157">
        <v>0.10179000000000001</v>
      </c>
      <c r="G110" s="140">
        <v>6.3270000000000007E-2</v>
      </c>
    </row>
    <row r="111" spans="1:8">
      <c r="A111" s="309" t="s">
        <v>214</v>
      </c>
      <c r="B111" s="169" t="s">
        <v>215</v>
      </c>
      <c r="C111" s="138"/>
      <c r="D111" s="139">
        <f t="shared" ref="D111:D115" si="16">$H$109*E111</f>
        <v>0</v>
      </c>
      <c r="E111" s="140">
        <v>4.4999999999999998E-2</v>
      </c>
      <c r="F111" s="157">
        <v>0.2</v>
      </c>
      <c r="G111" s="140">
        <v>0.08</v>
      </c>
    </row>
    <row r="112" spans="1:8">
      <c r="A112" s="309"/>
      <c r="B112" s="169" t="s">
        <v>216</v>
      </c>
      <c r="C112" s="138"/>
      <c r="D112" s="139">
        <f t="shared" si="16"/>
        <v>0</v>
      </c>
      <c r="E112" s="157">
        <v>1.8068356891203199E-2</v>
      </c>
      <c r="F112" s="157">
        <v>4.0280000000000003E-2</v>
      </c>
      <c r="G112" s="140">
        <v>2.068E-2</v>
      </c>
    </row>
    <row r="113" spans="1:7">
      <c r="A113" s="310" t="s">
        <v>217</v>
      </c>
      <c r="B113" s="311"/>
      <c r="C113" s="142"/>
      <c r="D113" s="139">
        <f t="shared" si="16"/>
        <v>0</v>
      </c>
      <c r="E113" s="186">
        <f>SUM(E110:E112)</f>
        <v>0.12120895701772344</v>
      </c>
      <c r="F113" s="186">
        <f>SUM(F110:F112)</f>
        <v>0.34206999999999999</v>
      </c>
      <c r="G113" s="187">
        <f>SUM(G110:G112)</f>
        <v>0.16395000000000001</v>
      </c>
    </row>
    <row r="114" spans="1:7">
      <c r="A114" s="309" t="s">
        <v>45</v>
      </c>
      <c r="B114" s="309"/>
      <c r="C114" s="138"/>
      <c r="D114" s="139">
        <f t="shared" si="16"/>
        <v>0</v>
      </c>
      <c r="E114" s="158">
        <v>4.0563309291379773E-2</v>
      </c>
      <c r="F114" s="157">
        <v>2.9350000000000001E-2</v>
      </c>
      <c r="G114" s="140">
        <v>4.9200000000000001E-2</v>
      </c>
    </row>
    <row r="115" spans="1:7">
      <c r="A115" s="312" t="s">
        <v>218</v>
      </c>
      <c r="B115" s="169" t="s">
        <v>215</v>
      </c>
      <c r="C115" s="138"/>
      <c r="D115" s="139">
        <f t="shared" si="16"/>
        <v>0</v>
      </c>
      <c r="E115" s="140">
        <v>7.9000000000000008E-3</v>
      </c>
      <c r="F115" s="157">
        <v>2.1489999999999999E-2</v>
      </c>
      <c r="G115" s="140">
        <v>9.4900000000000002E-3</v>
      </c>
    </row>
    <row r="116" spans="1:7">
      <c r="A116" s="313"/>
      <c r="B116" s="169" t="s">
        <v>216</v>
      </c>
      <c r="C116" s="138"/>
      <c r="D116" s="139">
        <f>$H$109*E116</f>
        <v>0</v>
      </c>
      <c r="E116" s="137">
        <v>0.01</v>
      </c>
      <c r="F116" s="157">
        <v>5.8119999999999998E-2</v>
      </c>
      <c r="G116" s="140">
        <v>5.4899999999999997E-2</v>
      </c>
    </row>
    <row r="117" spans="1:7">
      <c r="A117" s="309" t="s">
        <v>48</v>
      </c>
      <c r="B117" s="309"/>
      <c r="C117" s="138"/>
      <c r="D117" s="139">
        <f t="shared" ref="D117" si="17">$H$109*E117</f>
        <v>0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51" t="s">
        <v>265</v>
      </c>
      <c r="B1" s="251"/>
      <c r="C1" s="251"/>
      <c r="D1" s="251"/>
      <c r="E1" s="251"/>
      <c r="F1" s="251"/>
      <c r="G1" s="251"/>
      <c r="H1" s="251"/>
    </row>
    <row r="2" spans="1:38" s="233" customFormat="1" ht="15.75" customHeight="1">
      <c r="A2" s="231"/>
      <c r="B2" s="232"/>
      <c r="C2" s="232"/>
      <c r="D2" s="232"/>
      <c r="E2" s="232"/>
      <c r="F2" s="232"/>
      <c r="G2" s="232" t="s">
        <v>264</v>
      </c>
      <c r="H2" s="232"/>
    </row>
    <row r="3" spans="1:38" ht="15.75" customHeight="1">
      <c r="A3" s="252" t="s">
        <v>14</v>
      </c>
      <c r="B3" s="99" t="s">
        <v>1</v>
      </c>
      <c r="C3" s="99" t="s">
        <v>256</v>
      </c>
      <c r="D3" s="99" t="s">
        <v>257</v>
      </c>
      <c r="E3" s="99" t="s">
        <v>253</v>
      </c>
      <c r="F3" s="99" t="s">
        <v>254</v>
      </c>
      <c r="G3" s="99" t="s">
        <v>255</v>
      </c>
      <c r="H3" s="38" t="s">
        <v>15</v>
      </c>
      <c r="AL3" s="97" t="s">
        <v>16</v>
      </c>
    </row>
    <row r="4" spans="1:38" s="35" customFormat="1" ht="15.75" customHeight="1">
      <c r="A4" s="253"/>
      <c r="B4" s="40" t="s">
        <v>3</v>
      </c>
      <c r="C4" s="100">
        <f>'2023年'!K6</f>
        <v>3000</v>
      </c>
      <c r="D4" s="100">
        <f>'2024年'!K6</f>
        <v>6000</v>
      </c>
      <c r="E4" s="100">
        <f>'2025年'!K6</f>
        <v>8000</v>
      </c>
      <c r="F4" s="100">
        <f>'2026年'!K6</f>
        <v>0</v>
      </c>
      <c r="G4" s="100">
        <f>'2027年'!K6</f>
        <v>0</v>
      </c>
      <c r="H4" s="100">
        <f>SUM(C4:G4)</f>
        <v>17000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'2023年'!K7</f>
        <v>2475000</v>
      </c>
      <c r="D5" s="100">
        <f>'2024年'!K7</f>
        <v>4950000</v>
      </c>
      <c r="E5" s="100">
        <f>'2025年'!K7</f>
        <v>6600000</v>
      </c>
      <c r="F5" s="100">
        <f>'2026年'!K7</f>
        <v>0</v>
      </c>
      <c r="G5" s="100">
        <f>'2027年'!K7</f>
        <v>0</v>
      </c>
      <c r="H5" s="100">
        <f t="shared" ref="H5:H12" si="0">SUM(C5:G5)</f>
        <v>14025000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'2023年'!K8</f>
        <v>0</v>
      </c>
      <c r="D6" s="100">
        <f>'2024年'!K8</f>
        <v>198000.00000000017</v>
      </c>
      <c r="E6" s="100">
        <f>'2025年'!K8</f>
        <v>517440.00000000017</v>
      </c>
      <c r="F6" s="100">
        <f>'2026年'!K8</f>
        <v>0</v>
      </c>
      <c r="G6" s="100">
        <f>'2027年'!K8</f>
        <v>0</v>
      </c>
      <c r="H6" s="100">
        <f t="shared" si="0"/>
        <v>715440.00000000035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2475000</v>
      </c>
      <c r="D7" s="101">
        <f>'2024年'!K9</f>
        <v>4752000</v>
      </c>
      <c r="E7" s="101">
        <f>'2025年'!K9</f>
        <v>6082560</v>
      </c>
      <c r="F7" s="101">
        <f>'2026年'!K9</f>
        <v>0</v>
      </c>
      <c r="G7" s="101">
        <f>'2027年'!K9</f>
        <v>0</v>
      </c>
      <c r="H7" s="100">
        <f t="shared" si="0"/>
        <v>13309560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'2023年'!K10</f>
        <v>1789566.4487603977</v>
      </c>
      <c r="D8" s="100">
        <f>'2024年'!K10</f>
        <v>3471299.2767654732</v>
      </c>
      <c r="E8" s="100">
        <f>'2025年'!K10</f>
        <v>4582115.0453304248</v>
      </c>
      <c r="F8" s="100">
        <f>'2026年'!K10</f>
        <v>0</v>
      </c>
      <c r="G8" s="100">
        <f>'2027年'!K10</f>
        <v>0</v>
      </c>
      <c r="H8" s="100">
        <f t="shared" si="0"/>
        <v>9842980.7708562948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'2023年'!K11</f>
        <v>139144.466271827</v>
      </c>
      <c r="D9" s="100">
        <f>'2024年'!K11</f>
        <v>278288.93254365399</v>
      </c>
      <c r="E9" s="100">
        <f>'2025年'!K11</f>
        <v>371051.91005820531</v>
      </c>
      <c r="F9" s="100">
        <f>'2026年'!K11</f>
        <v>0</v>
      </c>
      <c r="G9" s="100">
        <f>'2027年'!K11</f>
        <v>0</v>
      </c>
      <c r="H9" s="100">
        <f t="shared" si="0"/>
        <v>788485.30887368624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'2023年'!K12</f>
        <v>37313.074262664595</v>
      </c>
      <c r="D10" s="100">
        <f>'2024年'!K12</f>
        <v>74626.14852532919</v>
      </c>
      <c r="E10" s="100">
        <f>'2025年'!K12</f>
        <v>99501.531367105592</v>
      </c>
      <c r="F10" s="100">
        <f>'2026年'!K12</f>
        <v>0</v>
      </c>
      <c r="G10" s="100">
        <f>'2027年'!K12</f>
        <v>0</v>
      </c>
      <c r="H10" s="100">
        <f t="shared" si="0"/>
        <v>211440.75415509939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'2023年'!K13</f>
        <v>99000</v>
      </c>
      <c r="D11" s="100">
        <f>'2024年'!K13</f>
        <v>198000</v>
      </c>
      <c r="E11" s="100">
        <f>'2025年'!K13</f>
        <v>263999.99999999994</v>
      </c>
      <c r="F11" s="100">
        <f>'2026年'!K13</f>
        <v>0</v>
      </c>
      <c r="G11" s="100">
        <f>'2027年'!K13</f>
        <v>0</v>
      </c>
      <c r="H11" s="100">
        <f t="shared" si="0"/>
        <v>561000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'2023年'!K14</f>
        <v>275457.54053449159</v>
      </c>
      <c r="D12" s="104">
        <f>'2024年'!K14</f>
        <v>550915.08106898319</v>
      </c>
      <c r="E12" s="104">
        <f>'2025年'!K14</f>
        <v>734553.44142531091</v>
      </c>
      <c r="F12" s="104">
        <f>'2026年'!K14</f>
        <v>0</v>
      </c>
      <c r="G12" s="104">
        <f>'2027年'!K14</f>
        <v>0</v>
      </c>
      <c r="H12" s="104">
        <f t="shared" si="0"/>
        <v>1560926.0630287856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'2023年'!K15</f>
        <v>409976.01070511068</v>
      </c>
      <c r="D13" s="100">
        <f>'2024年'!K15</f>
        <v>729785.64216554363</v>
      </c>
      <c r="E13" s="100">
        <f>'2025年'!K15</f>
        <v>765891.51324426453</v>
      </c>
      <c r="F13" s="100">
        <f>'2026年'!K15</f>
        <v>0</v>
      </c>
      <c r="G13" s="100">
        <f>'2027年'!K15</f>
        <v>0</v>
      </c>
      <c r="H13" s="100">
        <f>H7-H8-H12</f>
        <v>1905653.1661149196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0.16564687301216593</v>
      </c>
      <c r="D14" s="107">
        <f>'2024年'!K16</f>
        <v>0.15357441964763124</v>
      </c>
      <c r="E14" s="212">
        <f>'2025年'!K16</f>
        <v>0.1259159816334347</v>
      </c>
      <c r="F14" s="212" t="e">
        <f>'2026年'!K16</f>
        <v>#DIV/0!</v>
      </c>
      <c r="G14" s="212"/>
      <c r="H14" s="107">
        <f>+H13/H7</f>
        <v>0.14317927610791939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'2023年'!K17</f>
        <v>206375</v>
      </c>
      <c r="D15" s="100">
        <f>'2024年'!K17</f>
        <v>317750</v>
      </c>
      <c r="E15" s="100">
        <f>'2025年'!K17</f>
        <v>392000</v>
      </c>
      <c r="F15" s="100"/>
      <c r="G15" s="100"/>
      <c r="H15" s="100">
        <f>SUM(C15:G15)</f>
        <v>916125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'2023年'!K19</f>
        <v>17325</v>
      </c>
      <c r="D17" s="108">
        <f>'2024年'!K19</f>
        <v>34650</v>
      </c>
      <c r="E17" s="108">
        <f>'2025年'!K19</f>
        <v>46200</v>
      </c>
      <c r="F17" s="108">
        <f>'2026年'!K19</f>
        <v>0</v>
      </c>
      <c r="G17" s="108">
        <f>'2027年'!K19</f>
        <v>0</v>
      </c>
      <c r="H17" s="100">
        <f>SUM(C17:G17)</f>
        <v>98175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'2023年'!K20</f>
        <v>99000</v>
      </c>
      <c r="D18" s="108">
        <f>'2024年'!K20</f>
        <v>198000</v>
      </c>
      <c r="E18" s="108">
        <f>'2025年'!K20</f>
        <v>264000</v>
      </c>
      <c r="F18" s="108">
        <f>'2026年'!K20</f>
        <v>0</v>
      </c>
      <c r="G18" s="108">
        <f>'2027年'!K20</f>
        <v>0</v>
      </c>
      <c r="H18" s="100">
        <f>SUM(C18:G18)</f>
        <v>561000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'2023年'!K21</f>
        <v>66666.666666666672</v>
      </c>
      <c r="D19" s="109">
        <f>'2024年'!K21</f>
        <v>66666.666666666672</v>
      </c>
      <c r="E19" s="109">
        <f>'2025年'!K21</f>
        <v>66666.666666666672</v>
      </c>
      <c r="F19" s="109">
        <f>'2026年'!K21</f>
        <v>0</v>
      </c>
      <c r="G19" s="109">
        <f>'2027年'!K21</f>
        <v>0</v>
      </c>
      <c r="H19" s="100">
        <f>SUM(C19:G19)</f>
        <v>200000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'2023年'!K22</f>
        <v>52717.5</v>
      </c>
      <c r="D20" s="108">
        <f>'2024年'!K22</f>
        <v>105435</v>
      </c>
      <c r="E20" s="108">
        <f>'2025年'!K22</f>
        <v>140580</v>
      </c>
      <c r="F20" s="108">
        <f>'2026年'!K22</f>
        <v>0</v>
      </c>
      <c r="G20" s="108">
        <f>'2027年'!K22</f>
        <v>0</v>
      </c>
      <c r="H20" s="100">
        <f>SUM(C20:G20)</f>
        <v>298732.5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442084.16666666669</v>
      </c>
      <c r="D21" s="104">
        <f>'2024年'!K23</f>
        <v>722501.66666666674</v>
      </c>
      <c r="E21" s="104">
        <f>'2025年'!K23</f>
        <v>909446.66666666674</v>
      </c>
      <c r="F21" s="104"/>
      <c r="G21" s="104"/>
      <c r="H21" s="104">
        <f>SUM(C21:G21)</f>
        <v>2074032.5000000002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-32108.155961556011</v>
      </c>
      <c r="D22" s="111">
        <f>'2024年'!K24</f>
        <v>7283.9754988768836</v>
      </c>
      <c r="E22" s="111">
        <f>'2025年'!K24</f>
        <v>-143555.15342240222</v>
      </c>
      <c r="F22" s="111" t="e">
        <f>'2026年'!K24</f>
        <v>#DIV/0!</v>
      </c>
      <c r="G22" s="111" t="e">
        <f>'2027年'!K24</f>
        <v>#DIV/0!</v>
      </c>
      <c r="H22" s="111">
        <f>+H13-H21</f>
        <v>-168379.33388508065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0</v>
      </c>
      <c r="D23" s="111">
        <f>'2024年'!K25</f>
        <v>1092.5963248315325</v>
      </c>
      <c r="E23" s="111">
        <f>'2025年'!K25</f>
        <v>0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0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-32108.155961556011</v>
      </c>
      <c r="D24" s="111">
        <f>'2024年'!K26</f>
        <v>6191.3791740453507</v>
      </c>
      <c r="E24" s="111">
        <f>'2025年'!K26</f>
        <v>-168449.0417143362</v>
      </c>
      <c r="F24" s="111" t="e">
        <f>'2026年'!K26</f>
        <v>#DIV/0!</v>
      </c>
      <c r="G24" s="111" t="e">
        <f>'2027年'!K26</f>
        <v>#DIV/0!</v>
      </c>
      <c r="H24" s="111">
        <f>H22-H23</f>
        <v>-168379.33388508065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-1.2972992307699398E-2</v>
      </c>
      <c r="D25" s="112">
        <f>'2024年'!K27</f>
        <v>1.2507836715243133E-3</v>
      </c>
      <c r="E25" s="112">
        <f>'2025年'!K27</f>
        <v>-2.5522582077929727E-2</v>
      </c>
      <c r="F25" s="112" t="e">
        <f>'2026年'!K27</f>
        <v>#DIV/0!</v>
      </c>
      <c r="G25" s="112" t="e">
        <f>'2027年'!K27</f>
        <v>#DIV/0!</v>
      </c>
      <c r="H25" s="112">
        <f>(H24/H5)*100%</f>
        <v>-1.2005656604996837E-2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238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825</v>
      </c>
      <c r="D30" s="41">
        <f t="shared" ref="D30:G30" si="2">+D7/D4</f>
        <v>792</v>
      </c>
      <c r="E30" s="41">
        <f t="shared" si="2"/>
        <v>760.32</v>
      </c>
      <c r="F30" s="41" t="e">
        <f t="shared" si="2"/>
        <v>#DIV/0!</v>
      </c>
      <c r="G30" s="41" t="e">
        <f t="shared" si="2"/>
        <v>#DIV/0!</v>
      </c>
      <c r="H30" s="41">
        <f>+H7/H4</f>
        <v>782.91529411764702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596.52214958679929</v>
      </c>
      <c r="D31" s="41">
        <f t="shared" ref="D31:G31" si="3">+D8/D4</f>
        <v>578.54987946091217</v>
      </c>
      <c r="E31" s="41">
        <f t="shared" si="3"/>
        <v>572.76438066630305</v>
      </c>
      <c r="F31" s="41" t="e">
        <f t="shared" si="3"/>
        <v>#DIV/0!</v>
      </c>
      <c r="G31" s="41" t="e">
        <f t="shared" si="3"/>
        <v>#DIV/0!</v>
      </c>
      <c r="H31" s="41">
        <f>+H8/H4</f>
        <v>578.99886887389971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228.47785041320071</v>
      </c>
      <c r="D32" s="46">
        <f t="shared" ref="D32:G32" si="5">D30-D31</f>
        <v>213.45012053908783</v>
      </c>
      <c r="E32" s="46">
        <f t="shared" si="5"/>
        <v>187.555619333697</v>
      </c>
      <c r="F32" s="46" t="e">
        <f t="shared" si="5"/>
        <v>#DIV/0!</v>
      </c>
      <c r="G32" s="46" t="e">
        <f t="shared" si="5"/>
        <v>#DIV/0!</v>
      </c>
      <c r="H32" s="46">
        <f t="shared" si="4"/>
        <v>203.91642524374731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0.27694284898569782</v>
      </c>
      <c r="D33" s="116">
        <f t="shared" ref="D33:G33" si="7">D32/D30</f>
        <v>0.26950772795339373</v>
      </c>
      <c r="E33" s="116">
        <f t="shared" si="7"/>
        <v>0.24667984445193733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0.26045783851184445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46.381488757275669</v>
      </c>
      <c r="D35" s="41">
        <f t="shared" ref="D35:G35" si="8">+D9/D4</f>
        <v>46.381488757275669</v>
      </c>
      <c r="E35" s="41">
        <f t="shared" si="8"/>
        <v>46.381488757275662</v>
      </c>
      <c r="F35" s="41" t="e">
        <f t="shared" si="8"/>
        <v>#DIV/0!</v>
      </c>
      <c r="G35" s="41" t="e">
        <f t="shared" si="8"/>
        <v>#DIV/0!</v>
      </c>
      <c r="H35" s="41">
        <f>+H9/H4</f>
        <v>46.381488757275662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12.437691420888198</v>
      </c>
      <c r="D36" s="41">
        <f t="shared" ref="D36:G36" si="9">+D10/D4</f>
        <v>12.437691420888198</v>
      </c>
      <c r="E36" s="41">
        <f t="shared" si="9"/>
        <v>12.437691420888198</v>
      </c>
      <c r="F36" s="41" t="e">
        <f t="shared" si="9"/>
        <v>#DIV/0!</v>
      </c>
      <c r="G36" s="41" t="e">
        <f t="shared" si="9"/>
        <v>#DIV/0!</v>
      </c>
      <c r="H36" s="41">
        <f>+H10/H4</f>
        <v>12.4376914208882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33</v>
      </c>
      <c r="D37" s="41">
        <f t="shared" ref="D37:G37" si="10">+D11/D4</f>
        <v>33</v>
      </c>
      <c r="E37" s="41">
        <f t="shared" si="10"/>
        <v>32.999999999999993</v>
      </c>
      <c r="F37" s="41" t="e">
        <f t="shared" si="10"/>
        <v>#DIV/0!</v>
      </c>
      <c r="G37" s="41" t="e">
        <f t="shared" si="10"/>
        <v>#DIV/0!</v>
      </c>
      <c r="H37" s="41">
        <f>+H11/H4</f>
        <v>33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259</v>
      </c>
      <c r="C39" s="41">
        <f>+C13/C4</f>
        <v>136.65867023503688</v>
      </c>
      <c r="D39" s="41">
        <f t="shared" ref="D39:G39" si="11">+D13/D4</f>
        <v>121.63094036092394</v>
      </c>
      <c r="E39" s="41">
        <f t="shared" si="11"/>
        <v>95.736439155533063</v>
      </c>
      <c r="F39" s="41" t="e">
        <f t="shared" si="11"/>
        <v>#DIV/0!</v>
      </c>
      <c r="G39" s="41" t="e">
        <f t="shared" si="11"/>
        <v>#DIV/0!</v>
      </c>
      <c r="H39" s="41">
        <f>+H13/H4</f>
        <v>112.09724506558351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3234.9514736703773</v>
      </c>
      <c r="D40" s="100">
        <f t="shared" ref="D40:G40" si="13">+D21/D39</f>
        <v>5940.1141232875234</v>
      </c>
      <c r="E40" s="100">
        <f t="shared" si="13"/>
        <v>9499.4829000186965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18502.082712082432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68.791666666666671</v>
      </c>
      <c r="D42" s="46">
        <f t="shared" ref="D42:G42" si="15">+D15/D4</f>
        <v>52.958333333333336</v>
      </c>
      <c r="E42" s="46"/>
      <c r="F42" s="46"/>
      <c r="G42" s="46" t="e">
        <f t="shared" si="15"/>
        <v>#DIV/0!</v>
      </c>
      <c r="H42" s="46">
        <f>+H15/H4</f>
        <v>53.889705882352942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5.7750000000000004</v>
      </c>
      <c r="D43" s="46">
        <f t="shared" ref="D43:G43" si="16">+D17/D4</f>
        <v>5.7750000000000004</v>
      </c>
      <c r="E43" s="46"/>
      <c r="F43" s="46"/>
      <c r="G43" s="46" t="e">
        <f t="shared" si="16"/>
        <v>#DIV/0!</v>
      </c>
      <c r="H43" s="46">
        <f>+H17/H4</f>
        <v>5.7750000000000004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33</v>
      </c>
      <c r="D44" s="46">
        <f t="shared" ref="D44:G44" si="17">+D18/D4</f>
        <v>33</v>
      </c>
      <c r="E44" s="46"/>
      <c r="F44" s="46"/>
      <c r="G44" s="46" t="e">
        <f t="shared" si="17"/>
        <v>#DIV/0!</v>
      </c>
      <c r="H44" s="46">
        <f>+H18/H4</f>
        <v>33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4.7E-2</v>
      </c>
      <c r="D48" s="117">
        <f t="shared" ref="D48:G48" si="18">+(D11+D17)/D7</f>
        <v>4.8958333333333333E-2</v>
      </c>
      <c r="E48" s="117"/>
      <c r="F48" s="117"/>
      <c r="G48" s="117" t="e">
        <f t="shared" si="18"/>
        <v>#DIV/0!</v>
      </c>
      <c r="H48" s="117">
        <f>+(H11+H17)/H7</f>
        <v>4.9526430625805813E-2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0.15467981435737033</v>
      </c>
      <c r="D49" s="117">
        <f t="shared" ref="D49:G49" si="19">+(D9+D10+D15)/D7</f>
        <v>0.14113322413067828</v>
      </c>
      <c r="E49" s="117"/>
      <c r="F49" s="117"/>
      <c r="G49" s="117" t="e">
        <f t="shared" si="19"/>
        <v>#DIV/0!</v>
      </c>
      <c r="H49" s="117">
        <f>+(H9+H10+H15)/H7</f>
        <v>0.14396051131884041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4.1666666666666664E-2</v>
      </c>
      <c r="E50" s="117"/>
      <c r="F50" s="117"/>
      <c r="G50" s="117" t="e">
        <f t="shared" si="20"/>
        <v>#DIV/0!</v>
      </c>
      <c r="H50" s="117">
        <f>+H18/H7</f>
        <v>4.2150153724090055E-2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2.6936026936026938E-2</v>
      </c>
      <c r="D51" s="117">
        <f t="shared" ref="D51:G51" si="21">+D19/D7</f>
        <v>1.4029180695847363E-2</v>
      </c>
      <c r="E51" s="117"/>
      <c r="F51" s="117"/>
      <c r="G51" s="117" t="e">
        <f t="shared" si="21"/>
        <v>#DIV/0!</v>
      </c>
      <c r="H51" s="117">
        <f>+H19/H7</f>
        <v>1.5026792771511605E-2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2.2187499999999999E-2</v>
      </c>
      <c r="E52" s="117"/>
      <c r="F52" s="117"/>
      <c r="G52" s="117" t="e">
        <f t="shared" si="22"/>
        <v>#DIV/0!</v>
      </c>
      <c r="H52" s="117">
        <f>+H20/H7</f>
        <v>2.2444956858077954E-2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-1.2972992307699398E-2</v>
      </c>
      <c r="D53" s="117">
        <f t="shared" ref="D53:G53" si="23">+D24/D7</f>
        <v>1.3028996578378263E-3</v>
      </c>
      <c r="E53" s="117"/>
      <c r="F53" s="117"/>
      <c r="G53" s="117" t="e">
        <f t="shared" si="23"/>
        <v>#DIV/0!</v>
      </c>
      <c r="H53" s="117">
        <f>+H24/H7</f>
        <v>-1.2651006786481345E-2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-10.702718653852004</v>
      </c>
      <c r="D54" s="46">
        <f t="shared" ref="D54:G54" si="24">+D22/D4</f>
        <v>1.2139959164794807</v>
      </c>
      <c r="E54" s="46"/>
      <c r="F54" s="46"/>
      <c r="G54" s="46" t="e">
        <f t="shared" si="24"/>
        <v>#DIV/0!</v>
      </c>
      <c r="H54" s="46">
        <f>+H22/H4</f>
        <v>-9.9046666991223908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500000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200000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300000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62891.844038443989</v>
      </c>
      <c r="D59" s="120">
        <f t="shared" si="25"/>
        <v>101191.37917404535</v>
      </c>
      <c r="E59" s="120"/>
      <c r="F59" s="120"/>
      <c r="G59" s="120" t="e">
        <f t="shared" si="25"/>
        <v>#DIV/0!</v>
      </c>
      <c r="H59" s="120">
        <f t="shared" ref="H59" si="26">H60+H61</f>
        <v>116620.66611491935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-32108.155961556011</v>
      </c>
      <c r="D60" s="120">
        <f t="shared" si="27"/>
        <v>6191.3791740453507</v>
      </c>
      <c r="E60" s="120"/>
      <c r="F60" s="120"/>
      <c r="G60" s="120" t="e">
        <f t="shared" si="27"/>
        <v>#DIV/0!</v>
      </c>
      <c r="H60" s="120">
        <f t="shared" ref="H60" si="28">H24</f>
        <v>-168379.33388508065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'2023年'!K18</f>
        <v>95000</v>
      </c>
      <c r="D61" s="120">
        <f>'2024年'!K18</f>
        <v>95000</v>
      </c>
      <c r="E61" s="120"/>
      <c r="F61" s="120"/>
      <c r="G61" s="120">
        <f>'2027年'!K18</f>
        <v>95000</v>
      </c>
      <c r="H61" s="120">
        <f>项目投资!I26</f>
        <v>285000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54" t="s">
        <v>109</v>
      </c>
      <c r="D3" s="254"/>
      <c r="E3" s="254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2475000</v>
      </c>
      <c r="G5" s="74">
        <f t="shared" si="1"/>
        <v>4950000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14025000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2475000</v>
      </c>
      <c r="G6" s="76">
        <f>损益表!D5</f>
        <v>4950000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14025000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2475000</v>
      </c>
      <c r="G17" s="74">
        <f t="shared" si="4"/>
        <v>4950000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14025000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2475000</v>
      </c>
      <c r="G19" s="76">
        <f t="shared" si="6"/>
        <v>4950000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14025000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4" activePane="bottomRight" state="frozen"/>
      <selection pane="topRight"/>
      <selection pane="bottomLeft"/>
      <selection pane="bottomRight" activeCell="G14" sqref="G13:G14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4" width="9" style="35"/>
    <col min="35" max="35" width="4.375" style="35" customWidth="1"/>
    <col min="36" max="36" width="13.875" style="35" customWidth="1"/>
    <col min="37" max="16384" width="9" style="35"/>
  </cols>
  <sheetData>
    <row r="1" spans="1:37">
      <c r="A1" s="255" t="s">
        <v>136</v>
      </c>
      <c r="B1" s="255"/>
      <c r="C1" s="259" t="s">
        <v>236</v>
      </c>
      <c r="D1" s="260"/>
      <c r="E1" s="260"/>
      <c r="F1" s="260"/>
      <c r="G1" s="260"/>
      <c r="H1" s="260"/>
      <c r="I1" s="260"/>
      <c r="J1" s="260"/>
      <c r="K1" s="261"/>
    </row>
    <row r="2" spans="1:37">
      <c r="A2" s="255" t="s">
        <v>137</v>
      </c>
      <c r="B2" s="255"/>
      <c r="C2" s="262" t="s">
        <v>304</v>
      </c>
      <c r="D2" s="262"/>
      <c r="E2" s="262"/>
      <c r="F2" s="262"/>
      <c r="G2" s="262"/>
      <c r="H2" s="262"/>
      <c r="I2" s="262"/>
      <c r="J2" s="262"/>
      <c r="K2" s="262"/>
    </row>
    <row r="3" spans="1:37" ht="42.75">
      <c r="A3" s="255" t="s">
        <v>138</v>
      </c>
      <c r="B3" s="255"/>
      <c r="C3" s="146" t="str">
        <f>销量!C5</f>
        <v>MAX左座椅总成（TX平台 空气减震）</v>
      </c>
      <c r="D3" s="146" t="str">
        <f>销量!D5</f>
        <v>MAX右座椅总成（TX平台 简易版 无</v>
      </c>
      <c r="E3" s="146">
        <f>销量!E5</f>
        <v>0</v>
      </c>
      <c r="F3" s="146">
        <f>销量!F5</f>
        <v>0</v>
      </c>
      <c r="G3" s="146">
        <f>销量!G5</f>
        <v>0</v>
      </c>
      <c r="H3" s="146">
        <f>销量!H5</f>
        <v>0</v>
      </c>
      <c r="I3" s="146">
        <f>销量!I5</f>
        <v>0</v>
      </c>
      <c r="J3" s="146">
        <f>销量!J5</f>
        <v>0</v>
      </c>
      <c r="K3" s="256" t="s">
        <v>15</v>
      </c>
    </row>
    <row r="4" spans="1:37">
      <c r="A4" s="255" t="s">
        <v>139</v>
      </c>
      <c r="B4" s="255"/>
      <c r="C4" s="146" t="str">
        <f>销量!C6</f>
        <v>YZ167151000039</v>
      </c>
      <c r="D4" s="146" t="str">
        <f>销量!D6</f>
        <v>YZ167151000040</v>
      </c>
      <c r="E4" s="146">
        <f>销量!E6</f>
        <v>0</v>
      </c>
      <c r="F4" s="146">
        <f>销量!F6</f>
        <v>0</v>
      </c>
      <c r="G4" s="146">
        <f>销量!G6</f>
        <v>0</v>
      </c>
      <c r="H4" s="146">
        <f>销量!H6</f>
        <v>0</v>
      </c>
      <c r="I4" s="146">
        <f>销量!I6</f>
        <v>0</v>
      </c>
      <c r="J4" s="146">
        <f>销量!J6</f>
        <v>0</v>
      </c>
      <c r="K4" s="257"/>
    </row>
    <row r="5" spans="1:37">
      <c r="A5" s="255" t="s">
        <v>140</v>
      </c>
      <c r="B5" s="255"/>
      <c r="C5" s="38"/>
      <c r="D5" s="38"/>
      <c r="E5" s="38"/>
      <c r="F5" s="38"/>
      <c r="G5" s="38"/>
      <c r="H5" s="38"/>
      <c r="I5" s="38"/>
      <c r="J5" s="38"/>
      <c r="K5" s="258"/>
      <c r="AK5" s="35" t="s">
        <v>16</v>
      </c>
    </row>
    <row r="6" spans="1:37" ht="17.25">
      <c r="A6" s="39" t="s">
        <v>14</v>
      </c>
      <c r="B6" s="40" t="s">
        <v>141</v>
      </c>
      <c r="C6" s="12">
        <f>销量!C9</f>
        <v>1500</v>
      </c>
      <c r="D6" s="12">
        <f>销量!D9</f>
        <v>1500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1">
        <f t="shared" ref="K6:K15" si="0">SUM(C6:J6)</f>
        <v>3000</v>
      </c>
      <c r="AI6" s="39" t="s">
        <v>14</v>
      </c>
      <c r="AJ6" s="40" t="s">
        <v>3</v>
      </c>
      <c r="AK6" s="35" t="s">
        <v>17</v>
      </c>
    </row>
    <row r="7" spans="1:37">
      <c r="A7" s="37">
        <v>1</v>
      </c>
      <c r="B7" s="40" t="s">
        <v>18</v>
      </c>
      <c r="C7" s="41">
        <f>C6*销量!C8</f>
        <v>1770000</v>
      </c>
      <c r="D7" s="41">
        <f>D6*销量!D8</f>
        <v>705000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2475000</v>
      </c>
      <c r="L7" s="36"/>
      <c r="AI7" s="39" t="s">
        <v>19</v>
      </c>
      <c r="AJ7" s="40" t="s">
        <v>18</v>
      </c>
      <c r="AK7" s="35" t="s">
        <v>17</v>
      </c>
    </row>
    <row r="8" spans="1:37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>
        <f t="shared" si="0"/>
        <v>0</v>
      </c>
      <c r="L8" s="56"/>
      <c r="AI8" s="39" t="s">
        <v>21</v>
      </c>
      <c r="AJ8" s="37" t="s">
        <v>22</v>
      </c>
      <c r="AK8" s="35" t="s">
        <v>17</v>
      </c>
    </row>
    <row r="9" spans="1:37">
      <c r="A9" s="37">
        <v>3</v>
      </c>
      <c r="B9" s="40" t="s">
        <v>23</v>
      </c>
      <c r="C9" s="41">
        <f>+C7-C8</f>
        <v>1770000</v>
      </c>
      <c r="D9" s="41">
        <f t="shared" ref="D9:J9" si="1">+D7-D8</f>
        <v>705000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2475000</v>
      </c>
      <c r="AI9" s="39" t="s">
        <v>24</v>
      </c>
      <c r="AJ9" s="40" t="s">
        <v>23</v>
      </c>
      <c r="AK9" s="35" t="s">
        <v>25</v>
      </c>
    </row>
    <row r="10" spans="1:37">
      <c r="A10" s="37">
        <v>4</v>
      </c>
      <c r="B10" s="39" t="s">
        <v>26</v>
      </c>
      <c r="C10" s="41">
        <f>C6*C33</f>
        <v>1200704.8630019079</v>
      </c>
      <c r="D10" s="41">
        <f>D6*D33</f>
        <v>588861.58575848979</v>
      </c>
      <c r="E10" s="41">
        <f t="shared" ref="E10:J10" si="2">E6*E33</f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1789566.4487603977</v>
      </c>
      <c r="AI10" s="39" t="s">
        <v>27</v>
      </c>
      <c r="AJ10" s="39" t="s">
        <v>26</v>
      </c>
      <c r="AK10" s="35" t="s">
        <v>28</v>
      </c>
    </row>
    <row r="11" spans="1:37">
      <c r="A11" s="37">
        <v>5</v>
      </c>
      <c r="B11" s="39" t="s">
        <v>29</v>
      </c>
      <c r="C11" s="41">
        <f>+C6*C36</f>
        <v>99509.37587924597</v>
      </c>
      <c r="D11" s="41">
        <f t="shared" ref="D11:J11" si="3">+D6*D36</f>
        <v>39635.090392581027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139144.466271827</v>
      </c>
      <c r="AI11" s="39" t="s">
        <v>30</v>
      </c>
      <c r="AJ11" s="39" t="s">
        <v>29</v>
      </c>
    </row>
    <row r="12" spans="1:37">
      <c r="A12" s="37">
        <v>6</v>
      </c>
      <c r="B12" s="39" t="s">
        <v>31</v>
      </c>
      <c r="C12" s="41">
        <f>+C6*C37</f>
        <v>26684.501593905592</v>
      </c>
      <c r="D12" s="41">
        <f t="shared" ref="D12:J12" si="4">+D6*D37</f>
        <v>10628.572668759007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37313.074262664595</v>
      </c>
      <c r="AI12" s="39" t="s">
        <v>32</v>
      </c>
      <c r="AJ12" s="39" t="s">
        <v>31</v>
      </c>
    </row>
    <row r="13" spans="1:37">
      <c r="A13" s="37">
        <v>7</v>
      </c>
      <c r="B13" s="39" t="s">
        <v>33</v>
      </c>
      <c r="C13" s="41">
        <f>+C6*C38</f>
        <v>70800</v>
      </c>
      <c r="D13" s="41">
        <f t="shared" ref="D13:J13" si="5">+D6*D38</f>
        <v>28199.999999999996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99000</v>
      </c>
      <c r="AI13" s="39" t="s">
        <v>34</v>
      </c>
      <c r="AJ13" s="39" t="s">
        <v>33</v>
      </c>
      <c r="AK13" s="35" t="s">
        <v>17</v>
      </c>
    </row>
    <row r="14" spans="1:37">
      <c r="A14" s="37">
        <v>8</v>
      </c>
      <c r="B14" s="42" t="s">
        <v>35</v>
      </c>
      <c r="C14" s="41">
        <f>SUM(C11:C13)</f>
        <v>196993.87747315154</v>
      </c>
      <c r="D14" s="41">
        <f t="shared" ref="D14:J14" si="6">SUM(D11:D13)</f>
        <v>78463.663061340034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275457.54053449159</v>
      </c>
      <c r="AI14" s="39" t="s">
        <v>36</v>
      </c>
      <c r="AJ14" s="42" t="s">
        <v>35</v>
      </c>
    </row>
    <row r="15" spans="1:37">
      <c r="A15" s="37">
        <v>9</v>
      </c>
      <c r="B15" s="42" t="s">
        <v>37</v>
      </c>
      <c r="C15" s="41">
        <f>+C9-C10-C14</f>
        <v>372301.25952494051</v>
      </c>
      <c r="D15" s="41">
        <f t="shared" ref="D15:J15" si="7">+D9-D10-D14</f>
        <v>37674.751180170177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409976.01070511068</v>
      </c>
      <c r="AI15" s="39" t="s">
        <v>38</v>
      </c>
      <c r="AJ15" s="42" t="s">
        <v>37</v>
      </c>
    </row>
    <row r="16" spans="1:37">
      <c r="A16" s="37">
        <v>10</v>
      </c>
      <c r="B16" s="39" t="s">
        <v>39</v>
      </c>
      <c r="C16" s="43">
        <f>+C15/C9</f>
        <v>0.21033969464685906</v>
      </c>
      <c r="D16" s="43">
        <f t="shared" ref="D16:J16" si="8">+D15/D9</f>
        <v>5.343936337612791E-2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0.16564687301216593</v>
      </c>
      <c r="AI16" s="39" t="s">
        <v>40</v>
      </c>
      <c r="AJ16" s="39" t="s">
        <v>39</v>
      </c>
    </row>
    <row r="17" spans="1:37">
      <c r="A17" s="37">
        <v>11</v>
      </c>
      <c r="B17" s="39" t="s">
        <v>41</v>
      </c>
      <c r="C17" s="41">
        <f>C6*C43+C18</f>
        <v>127150</v>
      </c>
      <c r="D17" s="41">
        <f t="shared" ref="D17:J17" si="10">D6*D43+D18</f>
        <v>79225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206375</v>
      </c>
      <c r="AI17" s="39" t="s">
        <v>42</v>
      </c>
      <c r="AJ17" s="39" t="s">
        <v>41</v>
      </c>
    </row>
    <row r="18" spans="1:37" s="33" customFormat="1">
      <c r="A18" s="37">
        <v>12</v>
      </c>
      <c r="B18" s="44" t="s">
        <v>142</v>
      </c>
      <c r="C18" s="45">
        <f>$K$18/$K$6*C6</f>
        <v>47500</v>
      </c>
      <c r="D18" s="45">
        <f t="shared" ref="D18:J18" si="11">$K$18/$K$6*D6</f>
        <v>47500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95000</v>
      </c>
      <c r="L18" s="153" t="s">
        <v>143</v>
      </c>
      <c r="M18" s="153"/>
      <c r="N18" s="35"/>
    </row>
    <row r="19" spans="1:37">
      <c r="A19" s="37">
        <v>13</v>
      </c>
      <c r="B19" s="39" t="s">
        <v>43</v>
      </c>
      <c r="C19" s="41">
        <f>C6*C44</f>
        <v>12390</v>
      </c>
      <c r="D19" s="41">
        <f t="shared" ref="D19:J19" si="12">D6*D44</f>
        <v>4935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17325</v>
      </c>
      <c r="AI19" s="39" t="s">
        <v>44</v>
      </c>
      <c r="AJ19" s="39" t="s">
        <v>43</v>
      </c>
      <c r="AK19" s="35" t="s">
        <v>17</v>
      </c>
    </row>
    <row r="20" spans="1:37">
      <c r="A20" s="37">
        <v>14</v>
      </c>
      <c r="B20" s="39" t="s">
        <v>45</v>
      </c>
      <c r="C20" s="41">
        <f>C6*C45</f>
        <v>70800</v>
      </c>
      <c r="D20" s="41">
        <f t="shared" ref="D20:J20" si="13">D6*D45</f>
        <v>28200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99000</v>
      </c>
      <c r="AI20" s="39" t="s">
        <v>46</v>
      </c>
      <c r="AJ20" s="39" t="s">
        <v>45</v>
      </c>
    </row>
    <row r="21" spans="1:37">
      <c r="A21" s="37">
        <v>15</v>
      </c>
      <c r="B21" s="39" t="s">
        <v>47</v>
      </c>
      <c r="C21" s="46">
        <f>$K$21/$K$6*C6</f>
        <v>33333.333333333336</v>
      </c>
      <c r="D21" s="46">
        <f t="shared" ref="D21:J21" si="14">$K$21/$K$6*D6</f>
        <v>33333.333333333336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项目投资!D27</f>
        <v>66666.666666666672</v>
      </c>
      <c r="AI21" s="39"/>
      <c r="AJ21" s="39"/>
    </row>
    <row r="22" spans="1:37">
      <c r="A22" s="37">
        <v>16</v>
      </c>
      <c r="B22" s="39" t="s">
        <v>48</v>
      </c>
      <c r="C22" s="41">
        <f>C6*C47</f>
        <v>37701</v>
      </c>
      <c r="D22" s="41">
        <f t="shared" ref="D22:J22" si="15">D6*D47</f>
        <v>15016.499999999998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52717.5</v>
      </c>
      <c r="AI22" s="39" t="s">
        <v>49</v>
      </c>
      <c r="AJ22" s="39" t="s">
        <v>48</v>
      </c>
    </row>
    <row r="23" spans="1:37">
      <c r="A23" s="37">
        <v>17</v>
      </c>
      <c r="B23" s="42" t="s">
        <v>50</v>
      </c>
      <c r="C23" s="46">
        <f>+C22+C21+C20+C19+C17</f>
        <v>281374.33333333337</v>
      </c>
      <c r="D23" s="46">
        <f t="shared" ref="D23:J23" si="16">+D22+D21+D20+D19+D17</f>
        <v>160709.83333333334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442084.16666666669</v>
      </c>
      <c r="AI23" s="39" t="s">
        <v>51</v>
      </c>
      <c r="AJ23" s="42" t="s">
        <v>50</v>
      </c>
    </row>
    <row r="24" spans="1:37">
      <c r="A24" s="37">
        <v>18</v>
      </c>
      <c r="B24" s="47" t="s">
        <v>52</v>
      </c>
      <c r="C24" s="46">
        <f>+C15-C23</f>
        <v>90926.926191607141</v>
      </c>
      <c r="D24" s="46">
        <f t="shared" ref="D24:J24" si="18">+D15-D23</f>
        <v>-123035.08215316317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-32108.155961556011</v>
      </c>
      <c r="M24" s="58"/>
      <c r="AI24" s="39" t="s">
        <v>53</v>
      </c>
      <c r="AJ24" s="39" t="s">
        <v>52</v>
      </c>
    </row>
    <row r="25" spans="1:37">
      <c r="A25" s="37">
        <v>19</v>
      </c>
      <c r="B25" s="39" t="s">
        <v>232</v>
      </c>
      <c r="C25" s="46">
        <f>IF(C24&lt;0,0,C24*0.15)</f>
        <v>13639.038928741071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0</v>
      </c>
      <c r="L25" s="54"/>
      <c r="M25" s="54"/>
      <c r="N25" s="54"/>
      <c r="AI25" s="39" t="s">
        <v>55</v>
      </c>
      <c r="AJ25" s="39" t="s">
        <v>54</v>
      </c>
    </row>
    <row r="26" spans="1:37">
      <c r="A26" s="37">
        <v>20</v>
      </c>
      <c r="B26" s="39" t="s">
        <v>56</v>
      </c>
      <c r="C26" s="46">
        <f t="shared" ref="C26" si="21">C24-C25</f>
        <v>77287.887262866076</v>
      </c>
      <c r="D26" s="46">
        <f t="shared" ref="D26:J26" si="22">D24-D25</f>
        <v>-123035.08215316317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-32108.155961556011</v>
      </c>
      <c r="L26" s="54"/>
      <c r="M26" s="54"/>
      <c r="N26" s="54"/>
      <c r="AI26" s="39" t="s">
        <v>57</v>
      </c>
      <c r="AJ26" s="39" t="s">
        <v>56</v>
      </c>
    </row>
    <row r="27" spans="1:37">
      <c r="A27" s="37">
        <v>21</v>
      </c>
      <c r="B27" s="39" t="s">
        <v>60</v>
      </c>
      <c r="C27" s="48">
        <f t="shared" ref="C27:K27" si="23">C26/C7</f>
        <v>4.3665473029867841E-2</v>
      </c>
      <c r="D27" s="48">
        <f t="shared" ref="D27:J27" si="24">D26/D7</f>
        <v>-0.17451784702576337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-1.2972992307699398E-2</v>
      </c>
      <c r="L27" s="54"/>
      <c r="M27" s="54"/>
      <c r="N27" s="54"/>
      <c r="AI27" s="39" t="s">
        <v>59</v>
      </c>
      <c r="AJ27" s="39" t="s">
        <v>60</v>
      </c>
    </row>
    <row r="28" spans="1:37">
      <c r="L28" s="54"/>
      <c r="M28" s="54"/>
      <c r="N28" s="54"/>
    </row>
    <row r="29" spans="1:37">
      <c r="A29" s="35" t="s">
        <v>61</v>
      </c>
      <c r="K29" s="36" t="s">
        <v>144</v>
      </c>
      <c r="L29" s="54"/>
      <c r="M29" s="54"/>
      <c r="N29" s="54"/>
      <c r="AI29" s="35" t="s">
        <v>61</v>
      </c>
    </row>
    <row r="30" spans="1:37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I30" s="39" t="s">
        <v>64</v>
      </c>
      <c r="AJ30" s="42" t="s">
        <v>63</v>
      </c>
    </row>
    <row r="31" spans="1:37">
      <c r="A31" s="49">
        <v>1</v>
      </c>
      <c r="B31" s="44" t="s">
        <v>65</v>
      </c>
      <c r="C31" s="50">
        <f>销量!C8</f>
        <v>1180</v>
      </c>
      <c r="D31" s="50">
        <f>销量!D8</f>
        <v>470</v>
      </c>
      <c r="E31" s="50">
        <f>销量!E8</f>
        <v>0</v>
      </c>
      <c r="F31" s="50">
        <f>销量!F8</f>
        <v>0</v>
      </c>
      <c r="G31" s="50">
        <f>销量!G8</f>
        <v>0</v>
      </c>
      <c r="H31" s="50">
        <f>销量!H8</f>
        <v>0</v>
      </c>
      <c r="I31" s="50">
        <f>销量!I8</f>
        <v>0</v>
      </c>
      <c r="J31" s="50">
        <f>销量!J8</f>
        <v>0</v>
      </c>
      <c r="K31" s="46"/>
      <c r="L31" s="54"/>
      <c r="M31" s="54"/>
      <c r="N31" s="54"/>
      <c r="P31" s="54"/>
      <c r="AI31" s="39" t="s">
        <v>19</v>
      </c>
      <c r="AJ31" s="39" t="s">
        <v>65</v>
      </c>
    </row>
    <row r="32" spans="1:37">
      <c r="A32" s="49">
        <v>2</v>
      </c>
      <c r="B32" s="39" t="s">
        <v>145</v>
      </c>
      <c r="C32" s="41">
        <f>C31*1</f>
        <v>1180</v>
      </c>
      <c r="D32" s="41">
        <f t="shared" ref="D32:J32" si="25">D31*1</f>
        <v>470</v>
      </c>
      <c r="E32" s="41">
        <f t="shared" si="25"/>
        <v>0</v>
      </c>
      <c r="F32" s="41">
        <f t="shared" si="25"/>
        <v>0</v>
      </c>
      <c r="G32" s="41">
        <f t="shared" si="25"/>
        <v>0</v>
      </c>
      <c r="H32" s="41">
        <f t="shared" si="25"/>
        <v>0</v>
      </c>
      <c r="I32" s="41">
        <f t="shared" si="25"/>
        <v>0</v>
      </c>
      <c r="J32" s="41">
        <f t="shared" si="25"/>
        <v>0</v>
      </c>
      <c r="K32" s="46"/>
      <c r="L32" s="54"/>
      <c r="M32" s="54"/>
      <c r="N32" s="54"/>
      <c r="O32" s="54"/>
      <c r="P32" s="54"/>
      <c r="Q32" s="54"/>
      <c r="R32" s="54"/>
      <c r="AI32" s="39"/>
      <c r="AJ32" s="39"/>
    </row>
    <row r="33" spans="1:36">
      <c r="A33" s="49">
        <v>3</v>
      </c>
      <c r="B33" s="44" t="s">
        <v>66</v>
      </c>
      <c r="C33" s="182">
        <f>材料成本!E20</f>
        <v>800.46990866793863</v>
      </c>
      <c r="D33" s="182">
        <f>材料成本!E21</f>
        <v>392.57439050565989</v>
      </c>
      <c r="E33" s="182">
        <f>材料成本!E22</f>
        <v>0</v>
      </c>
      <c r="F33" s="182"/>
      <c r="G33" s="182"/>
      <c r="H33" s="182"/>
      <c r="I33" s="182"/>
      <c r="J33" s="182"/>
      <c r="K33" s="46"/>
      <c r="M33" s="54"/>
      <c r="N33" s="54"/>
      <c r="O33" s="54"/>
      <c r="P33" s="54"/>
      <c r="Q33" s="54"/>
      <c r="R33" s="54"/>
      <c r="AI33" s="39" t="s">
        <v>21</v>
      </c>
      <c r="AJ33" s="39" t="s">
        <v>66</v>
      </c>
    </row>
    <row r="34" spans="1:36" ht="17.25" customHeight="1">
      <c r="A34" s="49">
        <v>4</v>
      </c>
      <c r="B34" s="39" t="s">
        <v>68</v>
      </c>
      <c r="C34" s="51">
        <f>C32-C33</f>
        <v>379.53009133206137</v>
      </c>
      <c r="D34" s="51">
        <f t="shared" ref="D34:J34" si="26">D32-D33</f>
        <v>77.425609494340108</v>
      </c>
      <c r="E34" s="51">
        <f t="shared" si="26"/>
        <v>0</v>
      </c>
      <c r="F34" s="51">
        <f t="shared" si="26"/>
        <v>0</v>
      </c>
      <c r="G34" s="51">
        <f t="shared" si="26"/>
        <v>0</v>
      </c>
      <c r="H34" s="51">
        <f t="shared" si="26"/>
        <v>0</v>
      </c>
      <c r="I34" s="51">
        <f t="shared" si="26"/>
        <v>0</v>
      </c>
      <c r="J34" s="51">
        <f t="shared" si="26"/>
        <v>0</v>
      </c>
      <c r="K34" s="46"/>
      <c r="M34" s="54"/>
      <c r="N34" s="54"/>
      <c r="O34" s="54"/>
      <c r="P34" s="54"/>
      <c r="Q34" s="54"/>
      <c r="R34" s="54"/>
      <c r="AI34" s="39" t="s">
        <v>67</v>
      </c>
      <c r="AJ34" s="39" t="s">
        <v>68</v>
      </c>
    </row>
    <row r="35" spans="1:36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AI35" s="39" t="s">
        <v>70</v>
      </c>
      <c r="AJ35" s="42" t="s">
        <v>8</v>
      </c>
    </row>
    <row r="36" spans="1:36">
      <c r="A36" s="49">
        <v>1</v>
      </c>
      <c r="B36" s="39" t="s">
        <v>71</v>
      </c>
      <c r="C36" s="45">
        <f>标准成本!D4</f>
        <v>66.339583919497315</v>
      </c>
      <c r="D36" s="45">
        <f>标准成本!D18</f>
        <v>26.423393595054016</v>
      </c>
      <c r="E36" s="45">
        <f>标准成本!D32</f>
        <v>0</v>
      </c>
      <c r="F36" s="45">
        <f>标准成本!D45</f>
        <v>0</v>
      </c>
      <c r="G36" s="45">
        <f>标准成本!D58</f>
        <v>0</v>
      </c>
      <c r="H36" s="45">
        <f>标准成本!D71</f>
        <v>0</v>
      </c>
      <c r="I36" s="45">
        <f>标准成本!D84</f>
        <v>0</v>
      </c>
      <c r="J36" s="45">
        <f>标准成本!D97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AI36" s="39" t="s">
        <v>67</v>
      </c>
      <c r="AJ36" s="39" t="s">
        <v>71</v>
      </c>
    </row>
    <row r="37" spans="1:36">
      <c r="A37" s="49">
        <v>2</v>
      </c>
      <c r="B37" s="39" t="s">
        <v>72</v>
      </c>
      <c r="C37" s="45">
        <f>标准成本!D6</f>
        <v>17.789667729270395</v>
      </c>
      <c r="D37" s="45">
        <f>标准成本!D20</f>
        <v>7.0857151125060041</v>
      </c>
      <c r="E37" s="45">
        <f>标准成本!D34</f>
        <v>0</v>
      </c>
      <c r="F37" s="45">
        <f>标准成本!D47</f>
        <v>0</v>
      </c>
      <c r="G37" s="45">
        <f>标准成本!D60</f>
        <v>0</v>
      </c>
      <c r="H37" s="45">
        <f>标准成本!D73</f>
        <v>0</v>
      </c>
      <c r="I37" s="45">
        <f>标准成本!D86</f>
        <v>0</v>
      </c>
      <c r="J37" s="45">
        <f>标准成本!D99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AI37" s="39" t="s">
        <v>24</v>
      </c>
      <c r="AJ37" s="39" t="s">
        <v>72</v>
      </c>
    </row>
    <row r="38" spans="1:36">
      <c r="A38" s="49">
        <v>3</v>
      </c>
      <c r="B38" s="39" t="s">
        <v>73</v>
      </c>
      <c r="C38" s="45">
        <f>标准成本!D10</f>
        <v>47.199999999999996</v>
      </c>
      <c r="D38" s="45">
        <f>标准成本!D24</f>
        <v>18.799999999999997</v>
      </c>
      <c r="E38" s="45">
        <f>标准成本!D38</f>
        <v>0</v>
      </c>
      <c r="F38" s="45">
        <f>标准成本!D51</f>
        <v>0</v>
      </c>
      <c r="G38" s="45">
        <f>标准成本!D64</f>
        <v>0</v>
      </c>
      <c r="H38" s="45">
        <f>标准成本!D77</f>
        <v>0</v>
      </c>
      <c r="I38" s="45">
        <f>标准成本!D90</f>
        <v>0</v>
      </c>
      <c r="J38" s="45">
        <f>标准成本!D103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AI38" s="39" t="s">
        <v>30</v>
      </c>
      <c r="AJ38" s="39" t="s">
        <v>73</v>
      </c>
    </row>
    <row r="39" spans="1:36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I39" s="39" t="s">
        <v>74</v>
      </c>
      <c r="AJ39" s="42" t="s">
        <v>75</v>
      </c>
    </row>
    <row r="40" spans="1:36">
      <c r="A40" s="49">
        <v>1</v>
      </c>
      <c r="B40" s="39" t="s">
        <v>76</v>
      </c>
      <c r="C40" s="46">
        <f>C34-C36-C37-C38</f>
        <v>248.20083968329368</v>
      </c>
      <c r="D40" s="46">
        <f t="shared" ref="D40:J40" si="27">D34-D36-D37-D38</f>
        <v>25.116500786780094</v>
      </c>
      <c r="E40" s="46">
        <f t="shared" si="27"/>
        <v>0</v>
      </c>
      <c r="F40" s="46">
        <f t="shared" si="27"/>
        <v>0</v>
      </c>
      <c r="G40" s="46">
        <f t="shared" si="27"/>
        <v>0</v>
      </c>
      <c r="H40" s="46">
        <f t="shared" si="27"/>
        <v>0</v>
      </c>
      <c r="I40" s="46">
        <f t="shared" si="27"/>
        <v>0</v>
      </c>
      <c r="J40" s="46">
        <f t="shared" si="27"/>
        <v>0</v>
      </c>
      <c r="K40" s="46"/>
      <c r="AI40" s="39" t="s">
        <v>19</v>
      </c>
      <c r="AJ40" s="39" t="s">
        <v>76</v>
      </c>
    </row>
    <row r="41" spans="1:36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I41" s="39" t="s">
        <v>21</v>
      </c>
      <c r="AJ41" s="39" t="s">
        <v>77</v>
      </c>
    </row>
    <row r="42" spans="1:36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I42" s="39" t="s">
        <v>78</v>
      </c>
      <c r="AJ42" s="42" t="s">
        <v>79</v>
      </c>
    </row>
    <row r="43" spans="1:36">
      <c r="A43" s="49">
        <v>1</v>
      </c>
      <c r="B43" s="47" t="s">
        <v>80</v>
      </c>
      <c r="C43" s="45">
        <f>标准成本!D5</f>
        <v>53.1</v>
      </c>
      <c r="D43" s="45">
        <f>标准成本!D19</f>
        <v>21.15</v>
      </c>
      <c r="E43" s="45">
        <f>标准成本!D33</f>
        <v>0</v>
      </c>
      <c r="F43" s="45">
        <f>标准成本!D46</f>
        <v>0</v>
      </c>
      <c r="G43" s="45">
        <f>标准成本!D59</f>
        <v>0</v>
      </c>
      <c r="H43" s="45">
        <f>标准成本!D72</f>
        <v>0</v>
      </c>
      <c r="I43" s="45">
        <f>标准成本!D85</f>
        <v>0</v>
      </c>
      <c r="J43" s="45">
        <f>标准成本!D98</f>
        <v>0</v>
      </c>
      <c r="K43" s="46"/>
      <c r="AI43" s="39" t="s">
        <v>19</v>
      </c>
      <c r="AJ43" s="39" t="s">
        <v>80</v>
      </c>
    </row>
    <row r="44" spans="1:36">
      <c r="A44" s="49">
        <v>2</v>
      </c>
      <c r="B44" s="47" t="s">
        <v>81</v>
      </c>
      <c r="C44" s="45">
        <f>标准成本!D9</f>
        <v>8.26</v>
      </c>
      <c r="D44" s="45">
        <f>标准成本!D23</f>
        <v>3.29</v>
      </c>
      <c r="E44" s="45">
        <f>标准成本!D37</f>
        <v>0</v>
      </c>
      <c r="F44" s="45">
        <f>标准成本!D50</f>
        <v>0</v>
      </c>
      <c r="G44" s="45">
        <f>标准成本!D63</f>
        <v>0</v>
      </c>
      <c r="H44" s="45">
        <f>标准成本!D76</f>
        <v>0</v>
      </c>
      <c r="I44" s="45">
        <f>标准成本!D89</f>
        <v>0</v>
      </c>
      <c r="J44" s="45">
        <f>标准成本!D102</f>
        <v>0</v>
      </c>
      <c r="K44" s="46"/>
      <c r="AI44" s="39" t="s">
        <v>21</v>
      </c>
      <c r="AJ44" s="39" t="s">
        <v>81</v>
      </c>
    </row>
    <row r="45" spans="1:36">
      <c r="A45" s="49">
        <v>3</v>
      </c>
      <c r="B45" s="47" t="s">
        <v>82</v>
      </c>
      <c r="C45" s="45">
        <f>标准成本!D8</f>
        <v>47.2</v>
      </c>
      <c r="D45" s="45">
        <f>标准成本!D22</f>
        <v>18.8</v>
      </c>
      <c r="E45" s="45">
        <f>标准成本!D36</f>
        <v>0</v>
      </c>
      <c r="F45" s="45">
        <f>标准成本!D49</f>
        <v>0</v>
      </c>
      <c r="G45" s="45">
        <f>标准成本!D62</f>
        <v>0</v>
      </c>
      <c r="H45" s="45">
        <f>标准成本!D75</f>
        <v>0</v>
      </c>
      <c r="I45" s="45">
        <f>标准成本!D88</f>
        <v>0</v>
      </c>
      <c r="J45" s="45">
        <f>标准成本!D101</f>
        <v>0</v>
      </c>
      <c r="K45" s="46"/>
      <c r="AI45" s="39" t="s">
        <v>67</v>
      </c>
      <c r="AJ45" s="39" t="s">
        <v>82</v>
      </c>
    </row>
    <row r="46" spans="1:36" s="34" customFormat="1">
      <c r="A46" s="49">
        <v>4</v>
      </c>
      <c r="B46" s="47" t="s">
        <v>83</v>
      </c>
      <c r="C46" s="52">
        <f>C21/C6</f>
        <v>22.222222222222225</v>
      </c>
      <c r="D46" s="52">
        <f t="shared" ref="D46:J46" si="28">D21/D6</f>
        <v>22.222222222222225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AI46" s="47" t="s">
        <v>27</v>
      </c>
      <c r="AJ46" s="47" t="s">
        <v>85</v>
      </c>
    </row>
    <row r="47" spans="1:36" s="34" customFormat="1">
      <c r="A47" s="49">
        <v>5</v>
      </c>
      <c r="B47" s="47" t="s">
        <v>85</v>
      </c>
      <c r="C47" s="45">
        <f>标准成本!D11</f>
        <v>25.134</v>
      </c>
      <c r="D47" s="45">
        <f>标准成本!D25</f>
        <v>10.010999999999999</v>
      </c>
      <c r="E47" s="45">
        <f>标准成本!D39</f>
        <v>0</v>
      </c>
      <c r="F47" s="45">
        <f>标准成本!D52</f>
        <v>0</v>
      </c>
      <c r="G47" s="45">
        <f>标准成本!D65</f>
        <v>0</v>
      </c>
      <c r="H47" s="45">
        <f>标准成本!D78</f>
        <v>0</v>
      </c>
      <c r="I47" s="45">
        <f>标准成本!D91</f>
        <v>0</v>
      </c>
      <c r="J47" s="45">
        <f>标准成本!D104</f>
        <v>0</v>
      </c>
      <c r="K47" s="52"/>
      <c r="AI47" s="47" t="s">
        <v>27</v>
      </c>
      <c r="AJ47" s="47" t="s">
        <v>85</v>
      </c>
    </row>
    <row r="48" spans="1:36">
      <c r="A48" s="39" t="s">
        <v>78</v>
      </c>
      <c r="B48" s="42" t="s">
        <v>96</v>
      </c>
      <c r="C48" s="46">
        <f>C40-C43-C44-C45-C47-C46</f>
        <v>92.284617461071448</v>
      </c>
      <c r="D48" s="46">
        <f t="shared" ref="D48:J48" si="29">D40-D43-D44-D45-D47-D46</f>
        <v>-50.356721435442125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AI48" s="39" t="s">
        <v>95</v>
      </c>
      <c r="AJ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45" sqref="C4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5" t="s">
        <v>136</v>
      </c>
      <c r="B1" s="255"/>
      <c r="C1" s="259" t="s">
        <v>235</v>
      </c>
      <c r="D1" s="260"/>
      <c r="E1" s="260"/>
      <c r="F1" s="260"/>
      <c r="G1" s="260"/>
      <c r="H1" s="260"/>
      <c r="I1" s="260"/>
      <c r="J1" s="260"/>
      <c r="K1" s="261"/>
    </row>
    <row r="2" spans="1:40">
      <c r="A2" s="255" t="s">
        <v>137</v>
      </c>
      <c r="B2" s="255"/>
      <c r="C2" s="262" t="str">
        <f>'2023年'!C2:K2</f>
        <v>中国重汽济宁商用车有限公司</v>
      </c>
      <c r="D2" s="262"/>
      <c r="E2" s="262"/>
      <c r="F2" s="262"/>
      <c r="G2" s="262"/>
      <c r="H2" s="262"/>
      <c r="I2" s="262"/>
      <c r="J2" s="262"/>
      <c r="K2" s="262"/>
    </row>
    <row r="3" spans="1:40" ht="42.75">
      <c r="A3" s="255" t="s">
        <v>138</v>
      </c>
      <c r="B3" s="255"/>
      <c r="C3" s="146" t="str">
        <f>'2023年'!C3</f>
        <v>MAX左座椅总成（TX平台 空气减震）</v>
      </c>
      <c r="D3" s="146" t="str">
        <f>'2023年'!D3</f>
        <v>MAX右座椅总成（TX平台 简易版 无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6" t="s">
        <v>15</v>
      </c>
    </row>
    <row r="4" spans="1:40">
      <c r="A4" s="255" t="s">
        <v>139</v>
      </c>
      <c r="B4" s="255"/>
      <c r="C4" s="146" t="str">
        <f>'2023年'!C4</f>
        <v>YZ167151000039</v>
      </c>
      <c r="D4" s="146" t="str">
        <f>'2023年'!D4</f>
        <v>YZ167151000040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7"/>
    </row>
    <row r="5" spans="1:40">
      <c r="A5" s="255" t="s">
        <v>140</v>
      </c>
      <c r="B5" s="255"/>
      <c r="C5" s="38"/>
      <c r="D5" s="38"/>
      <c r="E5" s="38"/>
      <c r="F5" s="38"/>
      <c r="G5" s="38"/>
      <c r="H5" s="38"/>
      <c r="I5" s="38"/>
      <c r="J5" s="38"/>
      <c r="K5" s="258"/>
      <c r="AN5" s="35" t="s">
        <v>16</v>
      </c>
    </row>
    <row r="6" spans="1:40" ht="17.25">
      <c r="A6" s="39" t="s">
        <v>14</v>
      </c>
      <c r="B6" s="40" t="s">
        <v>141</v>
      </c>
      <c r="C6" s="12">
        <f>销量!C10</f>
        <v>3000</v>
      </c>
      <c r="D6" s="12">
        <f>销量!D10</f>
        <v>3000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1">
        <f t="shared" ref="K6:K15" si="0">SUM(C6:J6)</f>
        <v>6000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3540000</v>
      </c>
      <c r="D7" s="41">
        <f>D6*销量!D8</f>
        <v>1410000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>SUM(C7:J7)</f>
        <v>4950000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C7*(1-销量!$O$7)</f>
        <v>141600.00000000012</v>
      </c>
      <c r="D8" s="41">
        <f>D7*(1-销量!$O$7)</f>
        <v>56400.000000000051</v>
      </c>
      <c r="E8" s="41">
        <f>E7*(1-销量!$O$7)</f>
        <v>0</v>
      </c>
      <c r="F8" s="41">
        <f>F7*(1-销量!$O$7)</f>
        <v>0</v>
      </c>
      <c r="G8" s="41">
        <f>G7*(1-销量!$O$7)</f>
        <v>0</v>
      </c>
      <c r="H8" s="41">
        <f>H7*(1-销量!$O$7)</f>
        <v>0</v>
      </c>
      <c r="I8" s="41">
        <f>I7*(1-销量!$O$7)</f>
        <v>0</v>
      </c>
      <c r="J8" s="41">
        <f>J7*(1-销量!$O$7)</f>
        <v>0</v>
      </c>
      <c r="K8" s="41">
        <f t="shared" si="0"/>
        <v>198000.00000000017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3398400</v>
      </c>
      <c r="D9" s="41">
        <f t="shared" ref="D9:J9" si="1">+D7-D8</f>
        <v>1353600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4752000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2305353.3369636633</v>
      </c>
      <c r="D10" s="41">
        <f t="shared" ref="D10:J10" si="2">D6*D33</f>
        <v>1165945.9398018098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3471299.2767654732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199018.75175849194</v>
      </c>
      <c r="D11" s="41">
        <f t="shared" ref="D11:J11" si="3">+D6*D36</f>
        <v>79270.180785162054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278288.93254365399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53369.003187811184</v>
      </c>
      <c r="D12" s="41">
        <f t="shared" ref="D12:J12" si="4">+D6*D37</f>
        <v>21257.145337518014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74626.14852532919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141600</v>
      </c>
      <c r="D13" s="41">
        <f t="shared" ref="D13:J13" si="5">+D6*D38</f>
        <v>56399.999999999993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198000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393987.75494630309</v>
      </c>
      <c r="D14" s="41">
        <f t="shared" ref="D14:J14" si="6">SUM(D11:D13)</f>
        <v>156927.32612268007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550915.08106898319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699058.90809003357</v>
      </c>
      <c r="D15" s="41">
        <f t="shared" ref="D15:J15" si="7">+D9-D10-D14</f>
        <v>30726.734075510089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729785.64216554363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>
        <f>+C15/C9</f>
        <v>0.20570236231462852</v>
      </c>
      <c r="D16" s="43">
        <f t="shared" ref="D16:J16" si="8">+D15/D9</f>
        <v>2.2700010398574239E-2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0.15357441964763124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>
        <f>C6*C43+C18</f>
        <v>206800</v>
      </c>
      <c r="D17" s="41">
        <f t="shared" ref="D17:J17" si="10">D6*D43+D18</f>
        <v>110950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317750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>
        <f>$K$18/$K$6*C6</f>
        <v>47500</v>
      </c>
      <c r="D18" s="45">
        <f t="shared" ref="D18:J18" si="11">$K$18/$K$6*D6</f>
        <v>47500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95000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24780</v>
      </c>
      <c r="D19" s="41">
        <f t="shared" ref="D19:J19" si="12">D6*D44</f>
        <v>9870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34650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141600</v>
      </c>
      <c r="D20" s="41">
        <f t="shared" ref="D20:J20" si="13">D6*D45</f>
        <v>56400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198000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>
        <f>$K$21/$K$6*C6</f>
        <v>33333.333333333336</v>
      </c>
      <c r="D21" s="46">
        <f t="shared" ref="D21:J21" si="14">$K$21/$K$6*D6</f>
        <v>33333.333333333336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项目投资!E27</f>
        <v>66666.666666666672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75402</v>
      </c>
      <c r="D22" s="41">
        <f t="shared" ref="D22:J22" si="15">D6*D47</f>
        <v>30032.999999999996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105435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>
        <f>+C22+C21+C20+C19+C17</f>
        <v>481915.33333333337</v>
      </c>
      <c r="D23" s="46">
        <f t="shared" ref="D23:J23" si="16">+D22+D21+D20+D19+D17</f>
        <v>240586.33333333331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722501.66666666674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>
        <f>+C15-C23</f>
        <v>217143.5747567002</v>
      </c>
      <c r="D24" s="46">
        <f t="shared" ref="D24:J24" si="18">+D15-D23</f>
        <v>-209859.59925782323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7283.9754988768836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231</v>
      </c>
      <c r="C25" s="46">
        <f>IF(C24&lt;0,0,C24*0.15)</f>
        <v>32571.536213505027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1092.5963248315325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>
        <f t="shared" ref="C26" si="21">C24-C25</f>
        <v>184572.03854319517</v>
      </c>
      <c r="D26" s="46">
        <f t="shared" ref="D26:J26" si="22">D24-D25</f>
        <v>-209859.59925782323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6191.3791740453507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>
        <f t="shared" ref="C27:K27" si="23">C26/C7</f>
        <v>5.21389939387557E-2</v>
      </c>
      <c r="D27" s="48">
        <f t="shared" ref="D27:J27" si="24">D26/D7</f>
        <v>-0.14883659521831435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1.2507836715243133E-3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>
        <f>C9/C6</f>
        <v>1132.8</v>
      </c>
      <c r="D32" s="41">
        <f t="shared" ref="D32:J32" si="25">D9/D6</f>
        <v>451.2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154">
        <f>材料成本!F20</f>
        <v>768.4511123212211</v>
      </c>
      <c r="D33" s="154">
        <f>'2023年'!D33*(1-0.01)</f>
        <v>388.64864660060329</v>
      </c>
      <c r="E33" s="154">
        <f>'2023年'!E33*(1-0.01)</f>
        <v>0</v>
      </c>
      <c r="F33" s="154">
        <f>'2023年'!F33*(1-0.01)</f>
        <v>0</v>
      </c>
      <c r="G33" s="154">
        <f>'2023年'!G33*(1-0.01)</f>
        <v>0</v>
      </c>
      <c r="H33" s="154">
        <f>'2023年'!H33*(1-0.01)</f>
        <v>0</v>
      </c>
      <c r="I33" s="154">
        <f>'2023年'!I33*(1-0.01)</f>
        <v>0</v>
      </c>
      <c r="J33" s="154">
        <f>'2023年'!J33*(1-0.01)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>
        <f>C32-C33</f>
        <v>364.34888767877885</v>
      </c>
      <c r="D34" s="51">
        <f t="shared" ref="D34:J34" si="26">D32-D33</f>
        <v>62.551353399396703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>
        <f>C34-C36-C37-C38</f>
        <v>233.01963603001116</v>
      </c>
      <c r="D40" s="46">
        <f t="shared" ref="D40:J40" si="27">D34-D36-D37-D38</f>
        <v>10.242244691836685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>
        <f>C21/C6</f>
        <v>11.111111111111112</v>
      </c>
      <c r="D46" s="52">
        <f t="shared" ref="D46:J46" si="28">D21/D6</f>
        <v>11.111111111111112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>
        <f>C40-C43-C44-C45-C47-C46</f>
        <v>88.214524918900054</v>
      </c>
      <c r="D48" s="46">
        <f t="shared" ref="D48:J48" si="29">D40-D43-D44-D45-D47-D46</f>
        <v>-54.11986641927443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19" width="9" style="35" customWidth="1"/>
    <col min="20" max="32" width="9" style="35"/>
    <col min="33" max="33" width="4.375" style="35" customWidth="1"/>
    <col min="34" max="34" width="13.875" style="35" customWidth="1"/>
    <col min="35" max="16384" width="9" style="35"/>
  </cols>
  <sheetData>
    <row r="1" spans="1:35">
      <c r="A1" s="255" t="s">
        <v>136</v>
      </c>
      <c r="B1" s="255"/>
      <c r="C1" s="259" t="s">
        <v>227</v>
      </c>
      <c r="D1" s="260"/>
      <c r="E1" s="260"/>
      <c r="F1" s="260"/>
      <c r="G1" s="260"/>
      <c r="H1" s="260"/>
      <c r="I1" s="260"/>
      <c r="J1" s="260"/>
      <c r="K1" s="261"/>
    </row>
    <row r="2" spans="1:35">
      <c r="A2" s="255" t="s">
        <v>137</v>
      </c>
      <c r="B2" s="255"/>
      <c r="C2" s="263" t="str">
        <f>'2023年'!C2:K2</f>
        <v>中国重汽济宁商用车有限公司</v>
      </c>
      <c r="D2" s="264"/>
      <c r="E2" s="264"/>
      <c r="F2" s="264"/>
      <c r="G2" s="264"/>
      <c r="H2" s="264"/>
      <c r="I2" s="264"/>
      <c r="J2" s="264"/>
      <c r="K2" s="265"/>
    </row>
    <row r="3" spans="1:35" ht="42.75">
      <c r="A3" s="255" t="s">
        <v>138</v>
      </c>
      <c r="B3" s="255"/>
      <c r="C3" s="146" t="str">
        <f>'2023年'!C3</f>
        <v>MAX左座椅总成（TX平台 空气减震）</v>
      </c>
      <c r="D3" s="146" t="str">
        <f>'2023年'!D3</f>
        <v>MAX右座椅总成（TX平台 简易版 无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6" t="s">
        <v>15</v>
      </c>
    </row>
    <row r="4" spans="1:35" ht="16.5" customHeight="1">
      <c r="A4" s="255" t="s">
        <v>139</v>
      </c>
      <c r="B4" s="255"/>
      <c r="C4" s="146" t="str">
        <f>'2023年'!C4</f>
        <v>YZ167151000039</v>
      </c>
      <c r="D4" s="146" t="str">
        <f>'2023年'!D4</f>
        <v>YZ167151000040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7"/>
    </row>
    <row r="5" spans="1:35">
      <c r="A5" s="255" t="s">
        <v>140</v>
      </c>
      <c r="B5" s="255"/>
      <c r="C5" s="38"/>
      <c r="D5" s="38"/>
      <c r="E5" s="38"/>
      <c r="F5" s="38"/>
      <c r="G5" s="38"/>
      <c r="H5" s="38"/>
      <c r="I5" s="38"/>
      <c r="J5" s="38"/>
      <c r="K5" s="258"/>
      <c r="AI5" s="35" t="s">
        <v>16</v>
      </c>
    </row>
    <row r="6" spans="1:35" ht="17.25">
      <c r="A6" s="39" t="s">
        <v>14</v>
      </c>
      <c r="B6" s="40" t="s">
        <v>141</v>
      </c>
      <c r="C6" s="12">
        <f>销量!C11</f>
        <v>4000</v>
      </c>
      <c r="D6" s="12">
        <f>销量!D11</f>
        <v>4000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1">
        <f>SUM(C6:J6)</f>
        <v>8000</v>
      </c>
      <c r="AG6" s="39" t="s">
        <v>14</v>
      </c>
      <c r="AH6" s="40" t="s">
        <v>3</v>
      </c>
      <c r="AI6" s="35" t="s">
        <v>17</v>
      </c>
    </row>
    <row r="7" spans="1:35">
      <c r="A7" s="145">
        <v>1</v>
      </c>
      <c r="B7" s="40" t="s">
        <v>18</v>
      </c>
      <c r="C7" s="41">
        <f>C6*销量!C8</f>
        <v>4720000</v>
      </c>
      <c r="D7" s="41">
        <f>D6*销量!D8</f>
        <v>1880000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17" si="0">SUM(C7:J7)</f>
        <v>6600000</v>
      </c>
      <c r="L7" s="36"/>
      <c r="AG7" s="39" t="s">
        <v>19</v>
      </c>
      <c r="AH7" s="40" t="s">
        <v>18</v>
      </c>
      <c r="AI7" s="35" t="s">
        <v>17</v>
      </c>
    </row>
    <row r="8" spans="1:35">
      <c r="A8" s="145">
        <v>2</v>
      </c>
      <c r="B8" s="145" t="s">
        <v>20</v>
      </c>
      <c r="C8" s="41">
        <f>C7*(1-销量!$O$8)</f>
        <v>370048.00000000012</v>
      </c>
      <c r="D8" s="41">
        <f>D7*(1-销量!$O$8)</f>
        <v>147392.00000000006</v>
      </c>
      <c r="E8" s="41">
        <f>E7*(1-销量!$O$8)</f>
        <v>0</v>
      </c>
      <c r="F8" s="41">
        <f>F7*(1-销量!$O$8)</f>
        <v>0</v>
      </c>
      <c r="G8" s="41">
        <f>G7*(1-销量!$O$8)</f>
        <v>0</v>
      </c>
      <c r="H8" s="41">
        <f>H7*(1-销量!$O$8)</f>
        <v>0</v>
      </c>
      <c r="I8" s="41">
        <f>I7*(1-销量!$O$8)</f>
        <v>0</v>
      </c>
      <c r="J8" s="41">
        <f>J7*(1-销量!$O$8)</f>
        <v>0</v>
      </c>
      <c r="K8" s="41">
        <f t="shared" si="0"/>
        <v>517440.00000000017</v>
      </c>
      <c r="L8" s="56"/>
      <c r="AG8" s="39" t="s">
        <v>21</v>
      </c>
      <c r="AH8" s="145" t="s">
        <v>22</v>
      </c>
      <c r="AI8" s="35" t="s">
        <v>17</v>
      </c>
    </row>
    <row r="9" spans="1:35">
      <c r="A9" s="145">
        <v>3</v>
      </c>
      <c r="B9" s="40" t="s">
        <v>23</v>
      </c>
      <c r="C9" s="41">
        <f>+C7-C8</f>
        <v>4349952</v>
      </c>
      <c r="D9" s="41">
        <f t="shared" ref="D9:J9" si="1">+D7-D8</f>
        <v>1732608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6082560</v>
      </c>
      <c r="AG9" s="39" t="s">
        <v>24</v>
      </c>
      <c r="AH9" s="40" t="s">
        <v>23</v>
      </c>
      <c r="AI9" s="35" t="s">
        <v>25</v>
      </c>
    </row>
    <row r="10" spans="1:35">
      <c r="A10" s="145">
        <v>4</v>
      </c>
      <c r="B10" s="39" t="s">
        <v>26</v>
      </c>
      <c r="C10" s="41">
        <f t="shared" ref="C10:J10" si="2">C6*C33</f>
        <v>3043066.4047920355</v>
      </c>
      <c r="D10" s="41">
        <f t="shared" si="2"/>
        <v>1539048.6405383891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4582115.0453304248</v>
      </c>
      <c r="AG10" s="39" t="s">
        <v>27</v>
      </c>
      <c r="AH10" s="39" t="s">
        <v>26</v>
      </c>
      <c r="AI10" s="35" t="s">
        <v>28</v>
      </c>
    </row>
    <row r="11" spans="1:35">
      <c r="A11" s="145">
        <v>5</v>
      </c>
      <c r="B11" s="39" t="s">
        <v>29</v>
      </c>
      <c r="C11" s="41">
        <f>+C6*C36</f>
        <v>265358.33567798923</v>
      </c>
      <c r="D11" s="41">
        <f t="shared" ref="D11:J11" si="3">+D6*D36</f>
        <v>105693.57438021606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371051.91005820531</v>
      </c>
      <c r="AG11" s="39" t="s">
        <v>30</v>
      </c>
      <c r="AH11" s="39" t="s">
        <v>29</v>
      </c>
    </row>
    <row r="12" spans="1:35">
      <c r="A12" s="145">
        <v>6</v>
      </c>
      <c r="B12" s="39" t="s">
        <v>31</v>
      </c>
      <c r="C12" s="41">
        <f>+C6*C37</f>
        <v>71158.670917081574</v>
      </c>
      <c r="D12" s="41">
        <f t="shared" ref="D12:J12" si="4">+D6*D37</f>
        <v>28342.860450024014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99501.531367105592</v>
      </c>
      <c r="AG12" s="39" t="s">
        <v>32</v>
      </c>
      <c r="AH12" s="39" t="s">
        <v>31</v>
      </c>
    </row>
    <row r="13" spans="1:35">
      <c r="A13" s="145">
        <v>7</v>
      </c>
      <c r="B13" s="39" t="s">
        <v>33</v>
      </c>
      <c r="C13" s="41">
        <f>+C6*C38</f>
        <v>188799.99999999997</v>
      </c>
      <c r="D13" s="41">
        <f t="shared" ref="D13:J13" si="5">+D6*D38</f>
        <v>75199.999999999985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263999.99999999994</v>
      </c>
      <c r="AG13" s="39" t="s">
        <v>34</v>
      </c>
      <c r="AH13" s="39" t="s">
        <v>33</v>
      </c>
      <c r="AI13" s="35" t="s">
        <v>17</v>
      </c>
    </row>
    <row r="14" spans="1:35">
      <c r="A14" s="145">
        <v>8</v>
      </c>
      <c r="B14" s="42" t="s">
        <v>35</v>
      </c>
      <c r="C14" s="41">
        <f>SUM(C11:C13)</f>
        <v>525317.00659507082</v>
      </c>
      <c r="D14" s="41">
        <f t="shared" ref="D14:J14" si="6">SUM(D11:D13)</f>
        <v>209236.43483024003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734553.44142531091</v>
      </c>
      <c r="AG14" s="39" t="s">
        <v>36</v>
      </c>
      <c r="AH14" s="42" t="s">
        <v>35</v>
      </c>
    </row>
    <row r="15" spans="1:35">
      <c r="A15" s="145">
        <v>9</v>
      </c>
      <c r="B15" s="42" t="s">
        <v>37</v>
      </c>
      <c r="C15" s="41">
        <f>+C9-C10-C14</f>
        <v>781568.58861289371</v>
      </c>
      <c r="D15" s="41">
        <f t="shared" ref="D15:J15" si="7">+D9-D10-D14</f>
        <v>-15677.075368629128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765891.51324426453</v>
      </c>
      <c r="AG15" s="39" t="s">
        <v>38</v>
      </c>
      <c r="AH15" s="42" t="s">
        <v>37</v>
      </c>
    </row>
    <row r="16" spans="1:35">
      <c r="A16" s="145">
        <v>10</v>
      </c>
      <c r="B16" s="39" t="s">
        <v>39</v>
      </c>
      <c r="C16" s="43">
        <f>+C15/C9</f>
        <v>0.17967292250877567</v>
      </c>
      <c r="D16" s="43">
        <f t="shared" ref="D16:J16" si="8">+D15/D9</f>
        <v>-9.0482529046553677E-3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0.1259159816334347</v>
      </c>
      <c r="AG16" s="39" t="s">
        <v>40</v>
      </c>
      <c r="AH16" s="39" t="s">
        <v>39</v>
      </c>
    </row>
    <row r="17" spans="1:35">
      <c r="A17" s="145">
        <v>11</v>
      </c>
      <c r="B17" s="39" t="s">
        <v>41</v>
      </c>
      <c r="C17" s="41">
        <f>C6*C43+C18</f>
        <v>259900</v>
      </c>
      <c r="D17" s="41">
        <f t="shared" ref="D17:J17" si="10">D6*D43+D18</f>
        <v>132100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 t="shared" si="0"/>
        <v>392000</v>
      </c>
      <c r="L17" s="56"/>
      <c r="AG17" s="39" t="s">
        <v>42</v>
      </c>
      <c r="AH17" s="39" t="s">
        <v>41</v>
      </c>
    </row>
    <row r="18" spans="1:35" s="33" customFormat="1">
      <c r="A18" s="145">
        <v>12</v>
      </c>
      <c r="B18" s="44" t="s">
        <v>142</v>
      </c>
      <c r="C18" s="45">
        <f>$K$18/$K$6*C6</f>
        <v>47500</v>
      </c>
      <c r="D18" s="45">
        <f t="shared" ref="D18:J18" si="11">$K$18/$K$6*D6</f>
        <v>47500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95000</v>
      </c>
      <c r="L18" s="57" t="s">
        <v>143</v>
      </c>
      <c r="M18" s="57"/>
      <c r="N18" s="57"/>
    </row>
    <row r="19" spans="1:35">
      <c r="A19" s="145">
        <v>13</v>
      </c>
      <c r="B19" s="39" t="s">
        <v>43</v>
      </c>
      <c r="C19" s="41">
        <f>C6*C44</f>
        <v>33040</v>
      </c>
      <c r="D19" s="41">
        <f t="shared" ref="D19:J19" si="12">D6*D44</f>
        <v>13160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ref="K19:K20" si="13">SUM(C19:J19)</f>
        <v>46200</v>
      </c>
      <c r="L19" s="33"/>
      <c r="AG19" s="39" t="s">
        <v>44</v>
      </c>
      <c r="AH19" s="39" t="s">
        <v>43</v>
      </c>
      <c r="AI19" s="35" t="s">
        <v>17</v>
      </c>
    </row>
    <row r="20" spans="1:35">
      <c r="A20" s="145">
        <v>14</v>
      </c>
      <c r="B20" s="39" t="s">
        <v>45</v>
      </c>
      <c r="C20" s="41">
        <f>C6*C45</f>
        <v>188800</v>
      </c>
      <c r="D20" s="41">
        <f t="shared" ref="D20:J20" si="14">D6*D45</f>
        <v>75200</v>
      </c>
      <c r="E20" s="41">
        <f t="shared" si="14"/>
        <v>0</v>
      </c>
      <c r="F20" s="41">
        <f t="shared" si="14"/>
        <v>0</v>
      </c>
      <c r="G20" s="41">
        <f t="shared" si="14"/>
        <v>0</v>
      </c>
      <c r="H20" s="41">
        <f t="shared" si="14"/>
        <v>0</v>
      </c>
      <c r="I20" s="41">
        <f t="shared" si="14"/>
        <v>0</v>
      </c>
      <c r="J20" s="41">
        <f t="shared" si="14"/>
        <v>0</v>
      </c>
      <c r="K20" s="41">
        <f t="shared" si="13"/>
        <v>264000</v>
      </c>
      <c r="AG20" s="39" t="s">
        <v>46</v>
      </c>
      <c r="AH20" s="39" t="s">
        <v>45</v>
      </c>
    </row>
    <row r="21" spans="1:35">
      <c r="A21" s="145">
        <v>15</v>
      </c>
      <c r="B21" s="39" t="s">
        <v>47</v>
      </c>
      <c r="C21" s="46">
        <f>$K$21/$K$6*C6</f>
        <v>33333.333333333336</v>
      </c>
      <c r="D21" s="46">
        <f t="shared" ref="D21:J21" si="15">$K$21/$K$6*D6</f>
        <v>33333.333333333336</v>
      </c>
      <c r="E21" s="46">
        <f t="shared" si="15"/>
        <v>0</v>
      </c>
      <c r="F21" s="46">
        <f t="shared" si="15"/>
        <v>0</v>
      </c>
      <c r="G21" s="46">
        <f t="shared" si="15"/>
        <v>0</v>
      </c>
      <c r="H21" s="46">
        <f t="shared" si="15"/>
        <v>0</v>
      </c>
      <c r="I21" s="46">
        <f t="shared" si="15"/>
        <v>0</v>
      </c>
      <c r="J21" s="46">
        <f t="shared" si="15"/>
        <v>0</v>
      </c>
      <c r="K21" s="41">
        <f>项目投资!F27</f>
        <v>66666.666666666672</v>
      </c>
      <c r="AG21" s="39"/>
      <c r="AH21" s="39"/>
    </row>
    <row r="22" spans="1:35">
      <c r="A22" s="145">
        <v>16</v>
      </c>
      <c r="B22" s="39" t="s">
        <v>48</v>
      </c>
      <c r="C22" s="41">
        <f>C6*C47</f>
        <v>100536</v>
      </c>
      <c r="D22" s="41">
        <f t="shared" ref="D22:J22" si="16">D6*D47</f>
        <v>40044</v>
      </c>
      <c r="E22" s="41">
        <f t="shared" si="16"/>
        <v>0</v>
      </c>
      <c r="F22" s="41">
        <f t="shared" si="16"/>
        <v>0</v>
      </c>
      <c r="G22" s="41">
        <f t="shared" si="16"/>
        <v>0</v>
      </c>
      <c r="H22" s="41">
        <f t="shared" si="16"/>
        <v>0</v>
      </c>
      <c r="I22" s="41">
        <f t="shared" si="16"/>
        <v>0</v>
      </c>
      <c r="J22" s="41">
        <f t="shared" si="16"/>
        <v>0</v>
      </c>
      <c r="K22" s="41">
        <f t="shared" ref="K22" si="17">SUM(C22:J22)</f>
        <v>140580</v>
      </c>
      <c r="AG22" s="39" t="s">
        <v>49</v>
      </c>
      <c r="AH22" s="39" t="s">
        <v>48</v>
      </c>
    </row>
    <row r="23" spans="1:35">
      <c r="A23" s="145">
        <v>17</v>
      </c>
      <c r="B23" s="42" t="s">
        <v>50</v>
      </c>
      <c r="C23" s="46">
        <f>+C22+C21+C20+C19+C17</f>
        <v>615609.33333333337</v>
      </c>
      <c r="D23" s="46">
        <f t="shared" ref="D23:J23" si="18">+D22+D21+D20+D19+D17</f>
        <v>293837.33333333337</v>
      </c>
      <c r="E23" s="46">
        <f>+E22+E21+E20+E19+E17</f>
        <v>0</v>
      </c>
      <c r="F23" s="46">
        <f t="shared" si="18"/>
        <v>0</v>
      </c>
      <c r="G23" s="46">
        <f t="shared" si="18"/>
        <v>0</v>
      </c>
      <c r="H23" s="46">
        <f t="shared" si="18"/>
        <v>0</v>
      </c>
      <c r="I23" s="46">
        <f t="shared" si="18"/>
        <v>0</v>
      </c>
      <c r="J23" s="46">
        <f t="shared" si="18"/>
        <v>0</v>
      </c>
      <c r="K23" s="46">
        <f t="shared" ref="K23" si="19">+K22+K21+K20+K19+K17</f>
        <v>909446.66666666674</v>
      </c>
      <c r="AG23" s="39" t="s">
        <v>51</v>
      </c>
      <c r="AH23" s="42" t="s">
        <v>50</v>
      </c>
    </row>
    <row r="24" spans="1:35">
      <c r="A24" s="145">
        <v>18</v>
      </c>
      <c r="B24" s="47" t="s">
        <v>52</v>
      </c>
      <c r="C24" s="46">
        <f>+C15-C23</f>
        <v>165959.25527956034</v>
      </c>
      <c r="D24" s="46">
        <f t="shared" ref="D24:J24" si="20">+D15-D23</f>
        <v>-309514.4087019625</v>
      </c>
      <c r="E24" s="46">
        <f t="shared" si="20"/>
        <v>0</v>
      </c>
      <c r="F24" s="46">
        <f t="shared" si="20"/>
        <v>0</v>
      </c>
      <c r="G24" s="46">
        <f t="shared" si="20"/>
        <v>0</v>
      </c>
      <c r="H24" s="46">
        <f t="shared" si="20"/>
        <v>0</v>
      </c>
      <c r="I24" s="46">
        <f t="shared" si="20"/>
        <v>0</v>
      </c>
      <c r="J24" s="46">
        <f t="shared" si="20"/>
        <v>0</v>
      </c>
      <c r="K24" s="46">
        <f t="shared" ref="K24" si="21">+K15-K23</f>
        <v>-143555.15342240222</v>
      </c>
      <c r="M24" s="58"/>
      <c r="AG24" s="39" t="s">
        <v>53</v>
      </c>
      <c r="AH24" s="39" t="s">
        <v>52</v>
      </c>
    </row>
    <row r="25" spans="1:35">
      <c r="A25" s="145">
        <v>19</v>
      </c>
      <c r="B25" s="39" t="s">
        <v>229</v>
      </c>
      <c r="C25" s="46">
        <f>IF(C24&lt;0,0,C24*0.15)</f>
        <v>24893.88829193405</v>
      </c>
      <c r="D25" s="46">
        <f t="shared" ref="D25:J25" si="22">IF(D24&lt;0,0,D24*0.15)</f>
        <v>0</v>
      </c>
      <c r="E25" s="46">
        <f t="shared" si="22"/>
        <v>0</v>
      </c>
      <c r="F25" s="46">
        <f t="shared" si="22"/>
        <v>0</v>
      </c>
      <c r="G25" s="46">
        <f t="shared" si="22"/>
        <v>0</v>
      </c>
      <c r="H25" s="46">
        <f t="shared" si="22"/>
        <v>0</v>
      </c>
      <c r="I25" s="46">
        <f t="shared" si="22"/>
        <v>0</v>
      </c>
      <c r="J25" s="46">
        <f t="shared" si="22"/>
        <v>0</v>
      </c>
      <c r="K25" s="46">
        <f>IF(K24&lt;0,0,K24*0.15)</f>
        <v>0</v>
      </c>
      <c r="L25" s="54"/>
      <c r="M25" s="54"/>
      <c r="N25" s="54"/>
      <c r="AG25" s="39" t="s">
        <v>55</v>
      </c>
      <c r="AH25" s="39" t="s">
        <v>54</v>
      </c>
    </row>
    <row r="26" spans="1:35">
      <c r="A26" s="145">
        <v>20</v>
      </c>
      <c r="B26" s="39" t="s">
        <v>56</v>
      </c>
      <c r="C26" s="46">
        <f t="shared" ref="C26" si="23">C24-C25</f>
        <v>141065.3669876263</v>
      </c>
      <c r="D26" s="46">
        <f t="shared" ref="D26:J26" si="24">D24-D25</f>
        <v>-309514.4087019625</v>
      </c>
      <c r="E26" s="46">
        <f t="shared" si="24"/>
        <v>0</v>
      </c>
      <c r="F26" s="46">
        <f t="shared" si="24"/>
        <v>0</v>
      </c>
      <c r="G26" s="46">
        <f t="shared" si="24"/>
        <v>0</v>
      </c>
      <c r="H26" s="46">
        <f t="shared" si="24"/>
        <v>0</v>
      </c>
      <c r="I26" s="46">
        <f t="shared" si="24"/>
        <v>0</v>
      </c>
      <c r="J26" s="46">
        <f t="shared" si="24"/>
        <v>0</v>
      </c>
      <c r="K26" s="41">
        <f>+SUM(C26:J26)</f>
        <v>-168449.0417143362</v>
      </c>
      <c r="L26" s="54"/>
      <c r="M26" s="54"/>
      <c r="N26" s="54"/>
      <c r="AG26" s="39" t="s">
        <v>57</v>
      </c>
      <c r="AH26" s="39" t="s">
        <v>56</v>
      </c>
    </row>
    <row r="27" spans="1:35">
      <c r="A27" s="145">
        <v>21</v>
      </c>
      <c r="B27" s="39" t="s">
        <v>60</v>
      </c>
      <c r="C27" s="48">
        <f t="shared" ref="C27:K27" si="25">C26/C7</f>
        <v>2.9886730293988622E-2</v>
      </c>
      <c r="D27" s="48">
        <f t="shared" ref="D27:J27" si="26">D26/D7</f>
        <v>-0.16463532377763962</v>
      </c>
      <c r="E27" s="48" t="e">
        <f t="shared" si="26"/>
        <v>#DIV/0!</v>
      </c>
      <c r="F27" s="48" t="e">
        <f t="shared" si="26"/>
        <v>#DIV/0!</v>
      </c>
      <c r="G27" s="48" t="e">
        <f t="shared" si="26"/>
        <v>#DIV/0!</v>
      </c>
      <c r="H27" s="48" t="e">
        <f t="shared" si="26"/>
        <v>#DIV/0!</v>
      </c>
      <c r="I27" s="48" t="e">
        <f t="shared" si="26"/>
        <v>#DIV/0!</v>
      </c>
      <c r="J27" s="48" t="e">
        <f t="shared" si="26"/>
        <v>#DIV/0!</v>
      </c>
      <c r="K27" s="48">
        <f t="shared" si="25"/>
        <v>-2.5522582077929727E-2</v>
      </c>
      <c r="L27" s="54"/>
      <c r="M27" s="54"/>
      <c r="N27" s="54"/>
      <c r="AG27" s="39" t="s">
        <v>59</v>
      </c>
      <c r="AH27" s="39" t="s">
        <v>60</v>
      </c>
    </row>
    <row r="28" spans="1:35">
      <c r="L28" s="54"/>
      <c r="M28" s="54"/>
      <c r="N28" s="54"/>
    </row>
    <row r="29" spans="1:35">
      <c r="A29" s="35" t="s">
        <v>61</v>
      </c>
      <c r="K29" s="36" t="s">
        <v>144</v>
      </c>
      <c r="L29" s="54"/>
      <c r="M29" s="54"/>
      <c r="N29" s="54"/>
      <c r="AG29" s="35" t="s">
        <v>61</v>
      </c>
    </row>
    <row r="30" spans="1:35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G30" s="39" t="s">
        <v>64</v>
      </c>
      <c r="AH30" s="42" t="s">
        <v>63</v>
      </c>
    </row>
    <row r="31" spans="1:35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AG31" s="39" t="s">
        <v>19</v>
      </c>
      <c r="AH31" s="39" t="s">
        <v>65</v>
      </c>
    </row>
    <row r="32" spans="1:35">
      <c r="A32" s="145">
        <v>2</v>
      </c>
      <c r="B32" s="39" t="s">
        <v>145</v>
      </c>
      <c r="C32" s="41">
        <f>C9/C6</f>
        <v>1087.4880000000001</v>
      </c>
      <c r="D32" s="41">
        <f t="shared" ref="D32:J32" si="27">D9/D6</f>
        <v>433.15199999999999</v>
      </c>
      <c r="E32" s="41" t="e">
        <f t="shared" si="27"/>
        <v>#DIV/0!</v>
      </c>
      <c r="F32" s="41" t="e">
        <f t="shared" si="27"/>
        <v>#DIV/0!</v>
      </c>
      <c r="G32" s="41" t="e">
        <f t="shared" si="27"/>
        <v>#DIV/0!</v>
      </c>
      <c r="H32" s="41" t="e">
        <f t="shared" si="27"/>
        <v>#DIV/0!</v>
      </c>
      <c r="I32" s="41" t="e">
        <f t="shared" si="27"/>
        <v>#DIV/0!</v>
      </c>
      <c r="J32" s="41" t="e">
        <f t="shared" si="27"/>
        <v>#DIV/0!</v>
      </c>
      <c r="K32" s="46"/>
      <c r="L32" s="54"/>
      <c r="M32" s="54"/>
      <c r="N32" s="54"/>
      <c r="O32" s="54"/>
      <c r="P32" s="54"/>
      <c r="Q32" s="54"/>
      <c r="R32" s="54"/>
      <c r="AG32" s="39"/>
      <c r="AH32" s="39"/>
    </row>
    <row r="33" spans="1:34">
      <c r="A33" s="145">
        <v>3</v>
      </c>
      <c r="B33" s="44" t="s">
        <v>66</v>
      </c>
      <c r="C33" s="41">
        <f>'2024年'!C33*(1-0.01)</f>
        <v>760.76660119800886</v>
      </c>
      <c r="D33" s="41">
        <f>'2024年'!D33*(1-0.01)</f>
        <v>384.76216013459725</v>
      </c>
      <c r="E33" s="41">
        <f>'2024年'!E33*(1-0.01)</f>
        <v>0</v>
      </c>
      <c r="F33" s="41">
        <f>'2024年'!F33*(1-0.01)</f>
        <v>0</v>
      </c>
      <c r="G33" s="41">
        <f>'2024年'!G33*(1-0.01)</f>
        <v>0</v>
      </c>
      <c r="H33" s="41">
        <f>'2024年'!H33*(1-0.01)</f>
        <v>0</v>
      </c>
      <c r="I33" s="41">
        <f>'2024年'!I33*(1-0.01)</f>
        <v>0</v>
      </c>
      <c r="J33" s="41">
        <f>'2024年'!J33*(1-0.01)</f>
        <v>0</v>
      </c>
      <c r="K33" s="46"/>
      <c r="M33" s="54"/>
      <c r="N33" s="54"/>
      <c r="O33" s="54"/>
      <c r="P33" s="54"/>
      <c r="Q33" s="54"/>
      <c r="R33" s="54"/>
      <c r="AG33" s="39" t="s">
        <v>21</v>
      </c>
      <c r="AH33" s="39" t="s">
        <v>66</v>
      </c>
    </row>
    <row r="34" spans="1:34" ht="17.25" customHeight="1">
      <c r="A34" s="145">
        <v>4</v>
      </c>
      <c r="B34" s="39" t="s">
        <v>68</v>
      </c>
      <c r="C34" s="51">
        <f>C32-C33</f>
        <v>326.7213988019912</v>
      </c>
      <c r="D34" s="51">
        <f t="shared" ref="D34:J34" si="28">D32-D33</f>
        <v>48.389839865402735</v>
      </c>
      <c r="E34" s="51" t="e">
        <f t="shared" si="28"/>
        <v>#DIV/0!</v>
      </c>
      <c r="F34" s="51" t="e">
        <f t="shared" si="28"/>
        <v>#DIV/0!</v>
      </c>
      <c r="G34" s="51" t="e">
        <f t="shared" si="28"/>
        <v>#DIV/0!</v>
      </c>
      <c r="H34" s="51" t="e">
        <f t="shared" si="28"/>
        <v>#DIV/0!</v>
      </c>
      <c r="I34" s="51" t="e">
        <f t="shared" si="28"/>
        <v>#DIV/0!</v>
      </c>
      <c r="J34" s="51" t="e">
        <f t="shared" si="28"/>
        <v>#DIV/0!</v>
      </c>
      <c r="K34" s="46"/>
      <c r="M34" s="54"/>
      <c r="N34" s="54"/>
      <c r="O34" s="54"/>
      <c r="P34" s="54"/>
      <c r="Q34" s="54"/>
      <c r="R34" s="54"/>
      <c r="AG34" s="39" t="s">
        <v>67</v>
      </c>
      <c r="AH34" s="39" t="s">
        <v>68</v>
      </c>
    </row>
    <row r="35" spans="1:34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AG35" s="39" t="s">
        <v>70</v>
      </c>
      <c r="AH35" s="42" t="s">
        <v>8</v>
      </c>
    </row>
    <row r="36" spans="1:34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AG36" s="39" t="s">
        <v>67</v>
      </c>
      <c r="AH36" s="39" t="s">
        <v>71</v>
      </c>
    </row>
    <row r="37" spans="1:34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AG37" s="39" t="s">
        <v>24</v>
      </c>
      <c r="AH37" s="39" t="s">
        <v>72</v>
      </c>
    </row>
    <row r="38" spans="1:34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AG38" s="39" t="s">
        <v>30</v>
      </c>
      <c r="AH38" s="39" t="s">
        <v>73</v>
      </c>
    </row>
    <row r="39" spans="1:34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G39" s="39" t="s">
        <v>74</v>
      </c>
      <c r="AH39" s="42" t="s">
        <v>75</v>
      </c>
    </row>
    <row r="40" spans="1:34">
      <c r="A40" s="145">
        <v>1</v>
      </c>
      <c r="B40" s="39" t="s">
        <v>76</v>
      </c>
      <c r="C40" s="46">
        <f>C34-C36-C37-C38</f>
        <v>195.39214715322348</v>
      </c>
      <c r="D40" s="46">
        <f t="shared" ref="D40:J40" si="29">D34-D36-D37-D38</f>
        <v>-3.9192688421572832</v>
      </c>
      <c r="E40" s="46" t="e">
        <f t="shared" si="29"/>
        <v>#DIV/0!</v>
      </c>
      <c r="F40" s="46" t="e">
        <f t="shared" si="29"/>
        <v>#DIV/0!</v>
      </c>
      <c r="G40" s="46" t="e">
        <f t="shared" si="29"/>
        <v>#DIV/0!</v>
      </c>
      <c r="H40" s="46" t="e">
        <f t="shared" si="29"/>
        <v>#DIV/0!</v>
      </c>
      <c r="I40" s="46" t="e">
        <f t="shared" si="29"/>
        <v>#DIV/0!</v>
      </c>
      <c r="J40" s="46" t="e">
        <f t="shared" si="29"/>
        <v>#DIV/0!</v>
      </c>
      <c r="K40" s="46"/>
      <c r="AG40" s="39" t="s">
        <v>19</v>
      </c>
      <c r="AH40" s="39" t="s">
        <v>76</v>
      </c>
    </row>
    <row r="41" spans="1:34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G41" s="39" t="s">
        <v>21</v>
      </c>
      <c r="AH41" s="39" t="s">
        <v>77</v>
      </c>
    </row>
    <row r="42" spans="1:34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G42" s="39" t="s">
        <v>78</v>
      </c>
      <c r="AH42" s="42" t="s">
        <v>79</v>
      </c>
    </row>
    <row r="43" spans="1:34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AG43" s="39" t="s">
        <v>19</v>
      </c>
      <c r="AH43" s="39" t="s">
        <v>80</v>
      </c>
    </row>
    <row r="44" spans="1:34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AG44" s="39" t="s">
        <v>21</v>
      </c>
      <c r="AH44" s="39" t="s">
        <v>81</v>
      </c>
    </row>
    <row r="45" spans="1:34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AG45" s="39" t="s">
        <v>67</v>
      </c>
      <c r="AH45" s="39" t="s">
        <v>82</v>
      </c>
    </row>
    <row r="46" spans="1:34" s="34" customFormat="1">
      <c r="A46" s="145">
        <v>4</v>
      </c>
      <c r="B46" s="47" t="s">
        <v>83</v>
      </c>
      <c r="C46" s="52">
        <f>C21/C6</f>
        <v>8.3333333333333339</v>
      </c>
      <c r="D46" s="52">
        <f t="shared" ref="D46:J46" si="30">D21/D6</f>
        <v>8.3333333333333339</v>
      </c>
      <c r="E46" s="52" t="e">
        <f t="shared" si="30"/>
        <v>#DIV/0!</v>
      </c>
      <c r="F46" s="52" t="e">
        <f t="shared" si="30"/>
        <v>#DIV/0!</v>
      </c>
      <c r="G46" s="52" t="e">
        <f t="shared" si="30"/>
        <v>#DIV/0!</v>
      </c>
      <c r="H46" s="52" t="e">
        <f t="shared" si="30"/>
        <v>#DIV/0!</v>
      </c>
      <c r="I46" s="52" t="e">
        <f t="shared" si="30"/>
        <v>#DIV/0!</v>
      </c>
      <c r="J46" s="52" t="e">
        <f t="shared" si="30"/>
        <v>#DIV/0!</v>
      </c>
      <c r="K46" s="52"/>
      <c r="AG46" s="47" t="s">
        <v>27</v>
      </c>
      <c r="AH46" s="47" t="s">
        <v>85</v>
      </c>
    </row>
    <row r="47" spans="1:34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AG47" s="47" t="s">
        <v>27</v>
      </c>
      <c r="AH47" s="47" t="s">
        <v>85</v>
      </c>
    </row>
    <row r="48" spans="1:34">
      <c r="A48" s="39" t="s">
        <v>78</v>
      </c>
      <c r="B48" s="42" t="s">
        <v>96</v>
      </c>
      <c r="C48" s="46">
        <f>C40-C43-C44-C45-C47-C46</f>
        <v>53.364813819890152</v>
      </c>
      <c r="D48" s="46">
        <f t="shared" ref="D48:J48" si="31">D40-D43-D44-D45-D47-D46</f>
        <v>-65.503602175490613</v>
      </c>
      <c r="E48" s="46" t="e">
        <f t="shared" si="31"/>
        <v>#DIV/0!</v>
      </c>
      <c r="F48" s="46" t="e">
        <f t="shared" si="31"/>
        <v>#DIV/0!</v>
      </c>
      <c r="G48" s="46" t="e">
        <f t="shared" si="31"/>
        <v>#DIV/0!</v>
      </c>
      <c r="H48" s="46" t="e">
        <f t="shared" si="31"/>
        <v>#DIV/0!</v>
      </c>
      <c r="I48" s="46" t="e">
        <f t="shared" si="31"/>
        <v>#DIV/0!</v>
      </c>
      <c r="J48" s="46" t="e">
        <f t="shared" si="31"/>
        <v>#DIV/0!</v>
      </c>
      <c r="K48" s="46"/>
      <c r="AG48" s="39" t="s">
        <v>95</v>
      </c>
      <c r="AH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D35" sqref="D3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5" t="s">
        <v>136</v>
      </c>
      <c r="B1" s="255"/>
      <c r="C1" s="259" t="s">
        <v>228</v>
      </c>
      <c r="D1" s="260"/>
      <c r="E1" s="260"/>
      <c r="F1" s="260"/>
      <c r="G1" s="260"/>
      <c r="H1" s="260"/>
      <c r="I1" s="260"/>
      <c r="J1" s="260"/>
      <c r="K1" s="261"/>
    </row>
    <row r="2" spans="1:40">
      <c r="A2" s="255" t="s">
        <v>137</v>
      </c>
      <c r="B2" s="255"/>
      <c r="C2" s="262" t="str">
        <f>'2023年'!C2:K2</f>
        <v>中国重汽济宁商用车有限公司</v>
      </c>
      <c r="D2" s="262"/>
      <c r="E2" s="262"/>
      <c r="F2" s="262"/>
      <c r="G2" s="262"/>
      <c r="H2" s="262"/>
      <c r="I2" s="262"/>
      <c r="J2" s="262"/>
      <c r="K2" s="262"/>
    </row>
    <row r="3" spans="1:40" ht="42.75">
      <c r="A3" s="255" t="s">
        <v>138</v>
      </c>
      <c r="B3" s="255"/>
      <c r="C3" s="146" t="str">
        <f>'2023年'!C3</f>
        <v>MAX左座椅总成（TX平台 空气减震）</v>
      </c>
      <c r="D3" s="146" t="str">
        <f>'2023年'!D3</f>
        <v>MAX右座椅总成（TX平台 简易版 无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6" t="s">
        <v>15</v>
      </c>
    </row>
    <row r="4" spans="1:40">
      <c r="A4" s="255" t="s">
        <v>139</v>
      </c>
      <c r="B4" s="255"/>
      <c r="C4" s="146" t="str">
        <f>'2023年'!C4</f>
        <v>YZ167151000039</v>
      </c>
      <c r="D4" s="146" t="str">
        <f>'2023年'!D4</f>
        <v>YZ167151000040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7"/>
    </row>
    <row r="5" spans="1:40">
      <c r="A5" s="255" t="s">
        <v>140</v>
      </c>
      <c r="B5" s="255"/>
      <c r="C5" s="38"/>
      <c r="D5" s="38"/>
      <c r="E5" s="38"/>
      <c r="F5" s="38"/>
      <c r="G5" s="38"/>
      <c r="H5" s="38"/>
      <c r="I5" s="38"/>
      <c r="J5" s="38"/>
      <c r="K5" s="258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95000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753.15893518602877</v>
      </c>
      <c r="D33" s="41">
        <f>'2025年'!D33*(1-0.01)</f>
        <v>380.91453853325129</v>
      </c>
      <c r="E33" s="41">
        <f>'2025年'!E33*(1-0.01)</f>
        <v>0</v>
      </c>
      <c r="F33" s="41">
        <f>'2025年'!F33*(1-0.01)</f>
        <v>0</v>
      </c>
      <c r="G33" s="41">
        <f>'2025年'!G33*(1-0.01)</f>
        <v>0</v>
      </c>
      <c r="H33" s="41">
        <f>'2025年'!H33*(1-0.01)</f>
        <v>0</v>
      </c>
      <c r="I33" s="41">
        <f>'2025年'!I33*(1-0.01)</f>
        <v>0</v>
      </c>
      <c r="J33" s="41">
        <f>'2025年'!J33*(1-0.01)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5" t="s">
        <v>136</v>
      </c>
      <c r="B1" s="255"/>
      <c r="C1" s="259" t="s">
        <v>234</v>
      </c>
      <c r="D1" s="260"/>
      <c r="E1" s="260"/>
      <c r="F1" s="260"/>
      <c r="G1" s="260"/>
      <c r="H1" s="260"/>
      <c r="I1" s="260"/>
      <c r="J1" s="260"/>
      <c r="K1" s="261"/>
    </row>
    <row r="2" spans="1:40">
      <c r="A2" s="255" t="s">
        <v>137</v>
      </c>
      <c r="B2" s="255"/>
      <c r="C2" s="262" t="str">
        <f>'2023年'!C2:K2</f>
        <v>中国重汽济宁商用车有限公司</v>
      </c>
      <c r="D2" s="262"/>
      <c r="E2" s="262"/>
      <c r="F2" s="262"/>
      <c r="G2" s="262"/>
      <c r="H2" s="262"/>
      <c r="I2" s="262"/>
      <c r="J2" s="262"/>
      <c r="K2" s="262"/>
    </row>
    <row r="3" spans="1:40" ht="42.75">
      <c r="A3" s="255" t="s">
        <v>138</v>
      </c>
      <c r="B3" s="255"/>
      <c r="C3" s="146" t="str">
        <f>'2023年'!C3</f>
        <v>MAX左座椅总成（TX平台 空气减震）</v>
      </c>
      <c r="D3" s="146" t="str">
        <f>'2023年'!D3</f>
        <v>MAX右座椅总成（TX平台 简易版 无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6" t="s">
        <v>15</v>
      </c>
    </row>
    <row r="4" spans="1:40">
      <c r="A4" s="255" t="s">
        <v>139</v>
      </c>
      <c r="B4" s="255"/>
      <c r="C4" s="146" t="str">
        <f>'2023年'!C4</f>
        <v>YZ167151000039</v>
      </c>
      <c r="D4" s="146" t="str">
        <f>'2023年'!D4</f>
        <v>YZ167151000040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7"/>
    </row>
    <row r="5" spans="1:40">
      <c r="A5" s="255" t="s">
        <v>140</v>
      </c>
      <c r="B5" s="255"/>
      <c r="C5" s="38"/>
      <c r="D5" s="38"/>
      <c r="E5" s="38"/>
      <c r="F5" s="38"/>
      <c r="G5" s="38"/>
      <c r="H5" s="38"/>
      <c r="I5" s="38"/>
      <c r="J5" s="38"/>
      <c r="K5" s="258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95000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745.62734583416852</v>
      </c>
      <c r="D33" s="41">
        <f>'2026年'!D33*(1-0.01)</f>
        <v>377.10539314791879</v>
      </c>
      <c r="E33" s="41">
        <f>'2026年'!E33*(1-0.01)</f>
        <v>0</v>
      </c>
      <c r="F33" s="41">
        <f>'2026年'!F33*(1-0.01)</f>
        <v>0</v>
      </c>
      <c r="G33" s="41">
        <f>'2026年'!G33*(1-0.01)</f>
        <v>0</v>
      </c>
      <c r="H33" s="41">
        <f>'2026年'!H33*(1-0.01)</f>
        <v>0</v>
      </c>
      <c r="I33" s="41">
        <f>'2026年'!I33*(1-0.01)</f>
        <v>0</v>
      </c>
      <c r="J33" s="41">
        <f>'2026年'!J33*(1-0.01)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C18" sqref="C18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67" t="s">
        <v>146</v>
      </c>
      <c r="B1" s="267"/>
      <c r="C1" s="267"/>
      <c r="E1" s="268" t="s">
        <v>237</v>
      </c>
      <c r="F1" s="269"/>
      <c r="G1" s="269"/>
      <c r="H1" s="270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75" t="s">
        <v>152</v>
      </c>
      <c r="F3" s="2" t="s">
        <v>153</v>
      </c>
      <c r="G3" s="234">
        <v>9</v>
      </c>
      <c r="H3" s="170" t="s">
        <v>271</v>
      </c>
      <c r="J3" s="266"/>
    </row>
    <row r="4" spans="1:10" ht="15.75" customHeight="1">
      <c r="A4" s="19" t="s">
        <v>154</v>
      </c>
      <c r="B4" s="20"/>
      <c r="C4" s="22"/>
      <c r="E4" s="276"/>
      <c r="F4" s="2" t="s">
        <v>155</v>
      </c>
      <c r="G4" s="234">
        <v>0</v>
      </c>
      <c r="H4" s="235"/>
      <c r="J4" s="266"/>
    </row>
    <row r="5" spans="1:10" ht="15.75" customHeight="1">
      <c r="A5" s="19" t="s">
        <v>156</v>
      </c>
      <c r="B5" s="23">
        <f>SUM(G3:G4)</f>
        <v>9</v>
      </c>
      <c r="C5" s="21"/>
      <c r="E5" s="277" t="s">
        <v>157</v>
      </c>
      <c r="F5" s="24" t="s">
        <v>158</v>
      </c>
      <c r="G5" s="234">
        <v>0</v>
      </c>
      <c r="H5" s="236"/>
      <c r="J5" s="166"/>
    </row>
    <row r="6" spans="1:10" ht="15.75" customHeight="1">
      <c r="A6" s="19" t="s">
        <v>159</v>
      </c>
      <c r="B6" s="20"/>
      <c r="C6" s="21"/>
      <c r="E6" s="278"/>
      <c r="F6" s="24" t="s">
        <v>160</v>
      </c>
      <c r="G6" s="234">
        <f>1.5+5</f>
        <v>6.5</v>
      </c>
      <c r="H6" s="164" t="s">
        <v>272</v>
      </c>
      <c r="J6" s="166"/>
    </row>
    <row r="7" spans="1:10" ht="15.75" customHeight="1">
      <c r="A7" s="25" t="s">
        <v>161</v>
      </c>
      <c r="B7" s="23">
        <f>SUM(B3:B6)</f>
        <v>9</v>
      </c>
      <c r="C7" s="21"/>
      <c r="E7" s="278"/>
      <c r="F7" s="24" t="s">
        <v>162</v>
      </c>
      <c r="G7" s="234">
        <v>0</v>
      </c>
      <c r="H7" s="164"/>
      <c r="J7" s="166"/>
    </row>
    <row r="8" spans="1:10" ht="15.75" customHeight="1">
      <c r="A8" s="26" t="s">
        <v>163</v>
      </c>
      <c r="B8" s="23">
        <f>SUM(G5:G12)</f>
        <v>21</v>
      </c>
      <c r="C8" s="27"/>
      <c r="E8" s="278"/>
      <c r="F8" s="24" t="s">
        <v>164</v>
      </c>
      <c r="G8" s="234">
        <v>0</v>
      </c>
      <c r="H8" s="164"/>
      <c r="J8" s="166"/>
    </row>
    <row r="9" spans="1:10" ht="15.75" customHeight="1">
      <c r="A9" s="19" t="s">
        <v>165</v>
      </c>
      <c r="B9" s="23">
        <f>SUM(G13:G21)</f>
        <v>20</v>
      </c>
      <c r="C9" s="21"/>
      <c r="E9" s="278"/>
      <c r="F9" s="2" t="s">
        <v>166</v>
      </c>
      <c r="G9" s="234">
        <v>12</v>
      </c>
      <c r="H9" s="164" t="s">
        <v>266</v>
      </c>
      <c r="J9" s="166"/>
    </row>
    <row r="10" spans="1:10" ht="15.75" customHeight="1">
      <c r="A10" s="22" t="s">
        <v>15</v>
      </c>
      <c r="B10" s="23">
        <f>B7+B8+B9</f>
        <v>50</v>
      </c>
      <c r="C10" s="21"/>
      <c r="E10" s="278"/>
      <c r="F10" s="2" t="s">
        <v>167</v>
      </c>
      <c r="G10" s="234">
        <v>2.5</v>
      </c>
      <c r="H10" s="164" t="s">
        <v>267</v>
      </c>
      <c r="J10" s="166"/>
    </row>
    <row r="11" spans="1:10" ht="15.75" customHeight="1">
      <c r="E11" s="278"/>
      <c r="F11" s="2" t="s">
        <v>168</v>
      </c>
      <c r="G11" s="237">
        <v>0</v>
      </c>
      <c r="H11" s="235"/>
      <c r="J11" s="166"/>
    </row>
    <row r="12" spans="1:10" ht="15.75" customHeight="1">
      <c r="E12" s="279"/>
      <c r="F12" s="2" t="s">
        <v>169</v>
      </c>
      <c r="G12" s="234">
        <v>0</v>
      </c>
      <c r="H12" s="235"/>
      <c r="J12" s="166"/>
    </row>
    <row r="13" spans="1:10" ht="15.75" customHeight="1">
      <c r="E13" s="275" t="s">
        <v>47</v>
      </c>
      <c r="F13" s="2" t="s">
        <v>170</v>
      </c>
      <c r="G13" s="234">
        <v>0</v>
      </c>
      <c r="H13" s="164"/>
      <c r="J13" s="227"/>
    </row>
    <row r="14" spans="1:10" ht="15.75" customHeight="1">
      <c r="E14" s="276"/>
      <c r="F14" s="2" t="s">
        <v>171</v>
      </c>
      <c r="G14" s="234">
        <v>1</v>
      </c>
      <c r="H14" s="235"/>
      <c r="J14" s="227"/>
    </row>
    <row r="15" spans="1:10" ht="15.75" customHeight="1">
      <c r="E15" s="276"/>
      <c r="F15" s="2" t="s">
        <v>172</v>
      </c>
      <c r="G15" s="234">
        <v>0</v>
      </c>
      <c r="H15" s="235"/>
      <c r="J15" s="227"/>
    </row>
    <row r="16" spans="1:10" ht="15.75" customHeight="1">
      <c r="E16" s="276"/>
      <c r="F16" s="2" t="s">
        <v>173</v>
      </c>
      <c r="G16" s="234">
        <v>1</v>
      </c>
      <c r="H16" s="235"/>
      <c r="J16" s="227"/>
    </row>
    <row r="17" spans="1:10" ht="15.75" customHeight="1">
      <c r="E17" s="276"/>
      <c r="F17" s="2" t="s">
        <v>174</v>
      </c>
      <c r="G17" s="234">
        <v>3</v>
      </c>
      <c r="H17" s="235" t="s">
        <v>268</v>
      </c>
      <c r="J17" s="227"/>
    </row>
    <row r="18" spans="1:10" ht="15.75" customHeight="1">
      <c r="E18" s="276"/>
      <c r="F18" s="2" t="s">
        <v>175</v>
      </c>
      <c r="G18" s="234">
        <f>12-5</f>
        <v>7</v>
      </c>
      <c r="H18" s="164" t="s">
        <v>269</v>
      </c>
      <c r="J18" s="227"/>
    </row>
    <row r="19" spans="1:10" ht="15.75" customHeight="1">
      <c r="E19" s="276"/>
      <c r="F19" s="2" t="s">
        <v>176</v>
      </c>
      <c r="G19" s="234">
        <v>6</v>
      </c>
      <c r="H19" s="235" t="s">
        <v>270</v>
      </c>
      <c r="J19" s="227"/>
    </row>
    <row r="20" spans="1:10" ht="15.75" customHeight="1">
      <c r="E20" s="276"/>
      <c r="F20" s="2" t="s">
        <v>177</v>
      </c>
      <c r="G20" s="234">
        <v>2</v>
      </c>
      <c r="H20" s="235"/>
      <c r="J20" s="227"/>
    </row>
    <row r="21" spans="1:10" ht="15.75" customHeight="1">
      <c r="E21" s="280"/>
      <c r="F21" s="2" t="s">
        <v>124</v>
      </c>
      <c r="G21" s="234">
        <v>0</v>
      </c>
      <c r="H21" s="235"/>
      <c r="J21" s="227"/>
    </row>
    <row r="22" spans="1:10" ht="15.75" customHeight="1">
      <c r="E22" s="1" t="s">
        <v>15</v>
      </c>
      <c r="F22" s="2"/>
      <c r="G22" s="18">
        <f>SUM(G3:G21)</f>
        <v>50</v>
      </c>
      <c r="H22" s="2"/>
      <c r="I22">
        <v>60</v>
      </c>
      <c r="J22" s="228" t="s">
        <v>262</v>
      </c>
    </row>
    <row r="23" spans="1:10" ht="30.75" customHeight="1">
      <c r="E23" s="271" t="s">
        <v>178</v>
      </c>
      <c r="F23" s="271"/>
      <c r="G23" s="271"/>
      <c r="H23" s="271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298</v>
      </c>
      <c r="E25" s="176" t="s">
        <v>181</v>
      </c>
      <c r="F25" s="176" t="s">
        <v>182</v>
      </c>
      <c r="G25" s="176" t="s">
        <v>226</v>
      </c>
      <c r="H25" s="176" t="s">
        <v>238</v>
      </c>
      <c r="I25" s="11" t="s">
        <v>15</v>
      </c>
      <c r="J25" s="31" t="s">
        <v>183</v>
      </c>
    </row>
    <row r="26" spans="1:10" ht="16.5">
      <c r="A26" s="28" t="s">
        <v>142</v>
      </c>
      <c r="B26" s="29">
        <f>(B5+B8)*10000</f>
        <v>300000</v>
      </c>
      <c r="C26" s="30">
        <v>0.05</v>
      </c>
      <c r="D26" s="7">
        <f>B26*(1-C26)/3</f>
        <v>95000</v>
      </c>
      <c r="E26" s="7">
        <f t="shared" ref="E26:F27" si="0">D26</f>
        <v>95000</v>
      </c>
      <c r="F26" s="7">
        <f t="shared" si="0"/>
        <v>95000</v>
      </c>
      <c r="G26" s="7"/>
      <c r="H26" s="7"/>
      <c r="I26" s="7">
        <f>SUM(D26:H26)</f>
        <v>285000</v>
      </c>
      <c r="J26" s="7">
        <f>B26*0.05</f>
        <v>15000</v>
      </c>
    </row>
    <row r="27" spans="1:10" ht="16.5">
      <c r="A27" s="28" t="s">
        <v>184</v>
      </c>
      <c r="B27" s="29">
        <f>B9*10000</f>
        <v>200000</v>
      </c>
      <c r="C27" s="7"/>
      <c r="D27" s="7">
        <f>B27/3</f>
        <v>66666.666666666672</v>
      </c>
      <c r="E27" s="7">
        <f t="shared" si="0"/>
        <v>66666.666666666672</v>
      </c>
      <c r="F27" s="7">
        <f t="shared" si="0"/>
        <v>66666.666666666672</v>
      </c>
      <c r="G27" s="7"/>
      <c r="H27" s="7"/>
      <c r="I27" s="7">
        <f>SUM(D27:H27)</f>
        <v>200000</v>
      </c>
      <c r="J27" s="7"/>
    </row>
    <row r="28" spans="1:10" ht="16.5">
      <c r="A28" s="272" t="s">
        <v>104</v>
      </c>
      <c r="B28" s="273"/>
      <c r="C28" s="274"/>
      <c r="D28" s="7">
        <f>SUM(D26:D27)</f>
        <v>161666.66666666669</v>
      </c>
      <c r="E28" s="7">
        <f t="shared" ref="E28:H28" si="1">SUM(E26:E27)</f>
        <v>161666.66666666669</v>
      </c>
      <c r="F28" s="7">
        <f t="shared" si="1"/>
        <v>161666.66666666669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2023-03-27T02:39:45Z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