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重汽NX MAX立项\豪瀚大轻卡\"/>
    </mc:Choice>
  </mc:AlternateContent>
  <bookViews>
    <workbookView xWindow="0" yWindow="510" windowWidth="18525" windowHeight="6180" tabRatio="907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8" r:id="rId6"/>
    <sheet name="2026年" sheetId="59" r:id="rId7"/>
    <sheet name="2027年" sheetId="57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'2023年'!$A$1:$L$48</definedName>
    <definedName name="_xlnm.Print_Area" localSheetId="4">'2024年'!$A$1:$L$48</definedName>
    <definedName name="_xlnm.Print_Area" localSheetId="5">'2025年'!$A$1:$L$48</definedName>
    <definedName name="_xlnm.Print_Area" localSheetId="6">'2026年'!$A$1:$K$48</definedName>
    <definedName name="_xlnm.Print_Area" localSheetId="7">'2027年'!$A$1:$K$48</definedName>
    <definedName name="_xlnm.Print_Area" localSheetId="1">损益表!$A$1:$H$62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G18" i="51" l="1"/>
  <c r="J47" i="58" l="1"/>
  <c r="J45" i="58"/>
  <c r="J44" i="58"/>
  <c r="J43" i="58"/>
  <c r="J38" i="58"/>
  <c r="J37" i="58"/>
  <c r="J36" i="58"/>
  <c r="J31" i="58"/>
  <c r="J20" i="58"/>
  <c r="J11" i="58"/>
  <c r="J6" i="58"/>
  <c r="J22" i="58" s="1"/>
  <c r="J4" i="58"/>
  <c r="J3" i="58"/>
  <c r="J47" i="56"/>
  <c r="J45" i="56"/>
  <c r="J44" i="56"/>
  <c r="J43" i="56"/>
  <c r="J38" i="56"/>
  <c r="J37" i="56"/>
  <c r="J36" i="56"/>
  <c r="J31" i="56"/>
  <c r="J6" i="56"/>
  <c r="J20" i="56" s="1"/>
  <c r="J4" i="56"/>
  <c r="J3" i="56"/>
  <c r="J47" i="43"/>
  <c r="J22" i="43" s="1"/>
  <c r="J45" i="43"/>
  <c r="J44" i="43"/>
  <c r="J43" i="43"/>
  <c r="J38" i="43"/>
  <c r="J13" i="43" s="1"/>
  <c r="J37" i="43"/>
  <c r="J36" i="43"/>
  <c r="J11" i="43"/>
  <c r="J12" i="43"/>
  <c r="J7" i="43"/>
  <c r="K7" i="43"/>
  <c r="J6" i="43"/>
  <c r="K6" i="43"/>
  <c r="J3" i="43"/>
  <c r="K3" i="43"/>
  <c r="J4" i="43"/>
  <c r="K4" i="43"/>
  <c r="J31" i="43"/>
  <c r="J32" i="43" s="1"/>
  <c r="J9" i="43"/>
  <c r="F21" i="55"/>
  <c r="G21" i="55"/>
  <c r="H21" i="55"/>
  <c r="I21" i="55"/>
  <c r="J21" i="55"/>
  <c r="K21" i="55"/>
  <c r="J14" i="58" l="1"/>
  <c r="J12" i="58"/>
  <c r="J7" i="58"/>
  <c r="J13" i="58"/>
  <c r="J19" i="58"/>
  <c r="J12" i="56"/>
  <c r="J7" i="56"/>
  <c r="J13" i="56"/>
  <c r="J19" i="56"/>
  <c r="J22" i="56"/>
  <c r="J11" i="56"/>
  <c r="J14" i="56" s="1"/>
  <c r="J14" i="43"/>
  <c r="J20" i="43"/>
  <c r="J19" i="43"/>
  <c r="F28" i="53"/>
  <c r="G28" i="53" s="1"/>
  <c r="E28" i="53"/>
  <c r="K33" i="43" s="1"/>
  <c r="K33" i="56" s="1"/>
  <c r="K33" i="58" s="1"/>
  <c r="E27" i="53"/>
  <c r="J33" i="43" s="1"/>
  <c r="J33" i="56" s="1"/>
  <c r="J33" i="58" s="1"/>
  <c r="J10" i="58" s="1"/>
  <c r="E26" i="53"/>
  <c r="I33" i="43" s="1"/>
  <c r="I33" i="56" s="1"/>
  <c r="I33" i="58" s="1"/>
  <c r="E25" i="53"/>
  <c r="H33" i="43" s="1"/>
  <c r="H33" i="56" s="1"/>
  <c r="H33" i="58" s="1"/>
  <c r="E24" i="53"/>
  <c r="G33" i="43" s="1"/>
  <c r="G33" i="56" s="1"/>
  <c r="G33" i="58" s="1"/>
  <c r="E23" i="53"/>
  <c r="F33" i="43" s="1"/>
  <c r="F33" i="56" s="1"/>
  <c r="F33" i="58" s="1"/>
  <c r="E22" i="53"/>
  <c r="F22" i="53" s="1"/>
  <c r="G22" i="53" s="1"/>
  <c r="D28" i="53"/>
  <c r="D27" i="53"/>
  <c r="D26" i="53"/>
  <c r="D25" i="53"/>
  <c r="D24" i="53"/>
  <c r="D23" i="53"/>
  <c r="D22" i="53"/>
  <c r="C28" i="53"/>
  <c r="C27" i="53"/>
  <c r="C26" i="53"/>
  <c r="C25" i="53"/>
  <c r="C24" i="53"/>
  <c r="C23" i="53"/>
  <c r="C22" i="53"/>
  <c r="L5" i="53"/>
  <c r="L4" i="53"/>
  <c r="F26" i="53" l="1"/>
  <c r="G26" i="53" s="1"/>
  <c r="F27" i="53"/>
  <c r="G27" i="53" s="1"/>
  <c r="F25" i="53"/>
  <c r="G25" i="53" s="1"/>
  <c r="F23" i="53"/>
  <c r="G23" i="53" s="1"/>
  <c r="J10" i="43"/>
  <c r="F24" i="53"/>
  <c r="G24" i="53" s="1"/>
  <c r="J10" i="56"/>
  <c r="J34" i="43"/>
  <c r="J40" i="43" s="1"/>
  <c r="J8" i="58"/>
  <c r="J9" i="58" s="1"/>
  <c r="J8" i="56"/>
  <c r="J9" i="56" s="1"/>
  <c r="J15" i="43"/>
  <c r="D6" i="58"/>
  <c r="C6" i="58"/>
  <c r="D6" i="56"/>
  <c r="C6" i="56"/>
  <c r="D6" i="43"/>
  <c r="D7" i="43" s="1"/>
  <c r="C6" i="43"/>
  <c r="C7" i="43" s="1"/>
  <c r="J15" i="58" l="1"/>
  <c r="J32" i="58"/>
  <c r="J34" i="58" s="1"/>
  <c r="J40" i="58" s="1"/>
  <c r="J32" i="56"/>
  <c r="J34" i="56" s="1"/>
  <c r="J40" i="56" s="1"/>
  <c r="J15" i="56"/>
  <c r="J16" i="43"/>
  <c r="D3" i="53"/>
  <c r="J16" i="58" l="1"/>
  <c r="J16" i="56"/>
  <c r="A1" i="34"/>
  <c r="C21" i="55" l="1"/>
  <c r="D12" i="53"/>
  <c r="E20" i="53" s="1"/>
  <c r="F20" i="53" s="1"/>
  <c r="G20" i="53" s="1"/>
  <c r="E33" i="43"/>
  <c r="E33" i="56" s="1"/>
  <c r="E33" i="58" s="1"/>
  <c r="E12" i="53"/>
  <c r="E21" i="55"/>
  <c r="D21" i="55"/>
  <c r="K21" i="57"/>
  <c r="B9" i="51"/>
  <c r="B27" i="51" s="1"/>
  <c r="D27" i="51" s="1"/>
  <c r="F12" i="53"/>
  <c r="E17" i="55" s="1"/>
  <c r="E18" i="55" s="1"/>
  <c r="E19" i="55" s="1"/>
  <c r="M8" i="55"/>
  <c r="B8" i="51"/>
  <c r="H31" i="50"/>
  <c r="D33" i="50" s="1"/>
  <c r="H3" i="50"/>
  <c r="D9" i="50" s="1"/>
  <c r="C44" i="43" s="1"/>
  <c r="H17" i="50"/>
  <c r="D23" i="50" s="1"/>
  <c r="D44" i="43" s="1"/>
  <c r="H44" i="50"/>
  <c r="D50" i="50" s="1"/>
  <c r="F44" i="43" s="1"/>
  <c r="D52" i="50"/>
  <c r="F47" i="43" s="1"/>
  <c r="H57" i="50"/>
  <c r="H70" i="50"/>
  <c r="D78" i="50" s="1"/>
  <c r="H83" i="50"/>
  <c r="D90" i="50" s="1"/>
  <c r="I38" i="43" s="1"/>
  <c r="H96" i="50"/>
  <c r="D103" i="50" s="1"/>
  <c r="K38" i="43" s="1"/>
  <c r="K13" i="43" s="1"/>
  <c r="D49" i="50"/>
  <c r="F45" i="43" s="1"/>
  <c r="F45" i="57" s="1"/>
  <c r="F20" i="57" s="1"/>
  <c r="D76" i="50"/>
  <c r="H44" i="43" s="1"/>
  <c r="H44" i="59" s="1"/>
  <c r="H19" i="59" s="1"/>
  <c r="D47" i="50"/>
  <c r="F37" i="43" s="1"/>
  <c r="F12" i="43" s="1"/>
  <c r="D51" i="50"/>
  <c r="F38" i="43" s="1"/>
  <c r="F38" i="58" s="1"/>
  <c r="F33" i="59"/>
  <c r="F33" i="57" s="1"/>
  <c r="F10" i="57" s="1"/>
  <c r="H33" i="59"/>
  <c r="J33" i="59"/>
  <c r="C6" i="57"/>
  <c r="D6" i="57"/>
  <c r="D7" i="57"/>
  <c r="E6" i="57"/>
  <c r="F6" i="57"/>
  <c r="G6" i="57"/>
  <c r="H6" i="57"/>
  <c r="H7" i="57" s="1"/>
  <c r="I6" i="57"/>
  <c r="J6" i="57"/>
  <c r="C7" i="59"/>
  <c r="D7" i="59"/>
  <c r="E6" i="59"/>
  <c r="F6" i="59"/>
  <c r="G6" i="59"/>
  <c r="H6" i="59"/>
  <c r="I6" i="59"/>
  <c r="J6" i="59"/>
  <c r="J7" i="59" s="1"/>
  <c r="D7" i="58"/>
  <c r="E6" i="58"/>
  <c r="E7" i="58" s="1"/>
  <c r="F6" i="58"/>
  <c r="G6" i="58"/>
  <c r="G7" i="58" s="1"/>
  <c r="H6" i="58"/>
  <c r="I6" i="58"/>
  <c r="I7" i="58" s="1"/>
  <c r="K6" i="58"/>
  <c r="K7" i="58" s="1"/>
  <c r="C7" i="56"/>
  <c r="D7" i="56"/>
  <c r="E6" i="56"/>
  <c r="E7" i="56" s="1"/>
  <c r="E8" i="56" s="1"/>
  <c r="E9" i="56" s="1"/>
  <c r="E32" i="56" s="1"/>
  <c r="F6" i="56"/>
  <c r="G6" i="56"/>
  <c r="H6" i="56"/>
  <c r="H7" i="56" s="1"/>
  <c r="H8" i="56" s="1"/>
  <c r="H9" i="56" s="1"/>
  <c r="I6" i="56"/>
  <c r="K6" i="56"/>
  <c r="K10" i="56" s="1"/>
  <c r="G12" i="53"/>
  <c r="F17" i="55" s="1"/>
  <c r="H12" i="53"/>
  <c r="G17" i="55" s="1"/>
  <c r="I12" i="53"/>
  <c r="H17" i="55" s="1"/>
  <c r="J12" i="53"/>
  <c r="I17" i="55" s="1"/>
  <c r="K12" i="53"/>
  <c r="J17" i="55" s="1"/>
  <c r="D31" i="43"/>
  <c r="D31" i="57" s="1"/>
  <c r="E31" i="43"/>
  <c r="F31" i="43"/>
  <c r="F31" i="59" s="1"/>
  <c r="G31" i="43"/>
  <c r="G31" i="56" s="1"/>
  <c r="H31" i="43"/>
  <c r="H32" i="43" s="1"/>
  <c r="H34" i="43" s="1"/>
  <c r="I31" i="43"/>
  <c r="K31" i="43"/>
  <c r="K32" i="43" s="1"/>
  <c r="K34" i="43" s="1"/>
  <c r="E6" i="43"/>
  <c r="F6" i="43"/>
  <c r="F10" i="43" s="1"/>
  <c r="G6" i="43"/>
  <c r="L6" i="43" s="1"/>
  <c r="C4" i="2" s="1"/>
  <c r="H6" i="43"/>
  <c r="I6" i="43"/>
  <c r="I10" i="43"/>
  <c r="D3" i="43"/>
  <c r="E3" i="43"/>
  <c r="F3" i="43"/>
  <c r="F3" i="59" s="1"/>
  <c r="G3" i="43"/>
  <c r="H3" i="43"/>
  <c r="H3" i="58" s="1"/>
  <c r="I3" i="43"/>
  <c r="I3" i="57" s="1"/>
  <c r="J3" i="59"/>
  <c r="D4" i="43"/>
  <c r="D4" i="57" s="1"/>
  <c r="E4" i="43"/>
  <c r="E4" i="58" s="1"/>
  <c r="F4" i="43"/>
  <c r="F4" i="56" s="1"/>
  <c r="G4" i="43"/>
  <c r="G4" i="58" s="1"/>
  <c r="H4" i="43"/>
  <c r="H4" i="59"/>
  <c r="I4" i="43"/>
  <c r="J4" i="59"/>
  <c r="G113" i="50"/>
  <c r="F113" i="50"/>
  <c r="G100" i="50"/>
  <c r="F100" i="50"/>
  <c r="G87" i="50"/>
  <c r="F87" i="50"/>
  <c r="G74" i="50"/>
  <c r="F74" i="50"/>
  <c r="G61" i="50"/>
  <c r="F61" i="50"/>
  <c r="G48" i="50"/>
  <c r="F48" i="50"/>
  <c r="G35" i="50"/>
  <c r="F35" i="50"/>
  <c r="G21" i="50"/>
  <c r="F21" i="50"/>
  <c r="F7" i="50"/>
  <c r="H109" i="50"/>
  <c r="D4" i="53"/>
  <c r="C20" i="53" s="1"/>
  <c r="E4" i="53"/>
  <c r="C21" i="53" s="1"/>
  <c r="F4" i="53"/>
  <c r="G4" i="53"/>
  <c r="H4" i="53"/>
  <c r="I4" i="53"/>
  <c r="J4" i="53"/>
  <c r="K4" i="53"/>
  <c r="D5" i="53"/>
  <c r="D20" i="53" s="1"/>
  <c r="E5" i="53"/>
  <c r="D21" i="53" s="1"/>
  <c r="F5" i="53"/>
  <c r="G5" i="53"/>
  <c r="H5" i="53"/>
  <c r="I5" i="53"/>
  <c r="J5" i="53"/>
  <c r="K5" i="53"/>
  <c r="L8" i="43"/>
  <c r="C6" i="2" s="1"/>
  <c r="D15" i="55"/>
  <c r="E15" i="55"/>
  <c r="F15" i="55"/>
  <c r="G15" i="55"/>
  <c r="H15" i="55"/>
  <c r="I15" i="55"/>
  <c r="J15" i="55"/>
  <c r="K15" i="55"/>
  <c r="L12" i="53"/>
  <c r="K17" i="55" s="1"/>
  <c r="N7" i="55"/>
  <c r="N8" i="55"/>
  <c r="N9" i="55" s="1"/>
  <c r="O9" i="55" s="1"/>
  <c r="L10" i="55"/>
  <c r="L11" i="55"/>
  <c r="L12" i="55"/>
  <c r="L13" i="55"/>
  <c r="L14" i="55"/>
  <c r="C15" i="55"/>
  <c r="C2" i="59"/>
  <c r="C2" i="58"/>
  <c r="C2" i="57"/>
  <c r="C2" i="56"/>
  <c r="G7" i="50"/>
  <c r="C3" i="43"/>
  <c r="C3" i="58" s="1"/>
  <c r="C4" i="43"/>
  <c r="C4" i="56" s="1"/>
  <c r="O7" i="55"/>
  <c r="C7" i="57"/>
  <c r="C8" i="57" s="1"/>
  <c r="B5" i="51"/>
  <c r="B26" i="51" s="1"/>
  <c r="D26" i="51" s="1"/>
  <c r="L9" i="55"/>
  <c r="G22" i="51"/>
  <c r="B7" i="51"/>
  <c r="C31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I5" i="36"/>
  <c r="E6" i="36"/>
  <c r="E5" i="36" s="1"/>
  <c r="K5" i="36"/>
  <c r="J5" i="36"/>
  <c r="D5" i="36"/>
  <c r="C5" i="36"/>
  <c r="D4" i="36"/>
  <c r="E4" i="36"/>
  <c r="F4" i="36"/>
  <c r="G4" i="36"/>
  <c r="H4" i="36"/>
  <c r="I4" i="36"/>
  <c r="J4" i="36"/>
  <c r="K4" i="36"/>
  <c r="L4" i="36"/>
  <c r="M6" i="36"/>
  <c r="I4" i="58"/>
  <c r="K7" i="56"/>
  <c r="G7" i="59"/>
  <c r="D88" i="50"/>
  <c r="I45" i="43" s="1"/>
  <c r="I45" i="58" s="1"/>
  <c r="I20" i="58" s="1"/>
  <c r="C9" i="43"/>
  <c r="D116" i="50"/>
  <c r="D110" i="50"/>
  <c r="G3" i="59"/>
  <c r="H10" i="43"/>
  <c r="H7" i="43"/>
  <c r="H9" i="43" s="1"/>
  <c r="I31" i="56"/>
  <c r="I3" i="58"/>
  <c r="F44" i="56"/>
  <c r="G7" i="56"/>
  <c r="D102" i="50"/>
  <c r="K44" i="43" s="1"/>
  <c r="J44" i="59" s="1"/>
  <c r="J19" i="59" s="1"/>
  <c r="D89" i="50"/>
  <c r="I44" i="43" s="1"/>
  <c r="I44" i="56" s="1"/>
  <c r="I19" i="56" s="1"/>
  <c r="G19" i="2"/>
  <c r="J4" i="57"/>
  <c r="K4" i="58"/>
  <c r="D21" i="50"/>
  <c r="E32" i="43"/>
  <c r="D3" i="57"/>
  <c r="H4" i="58"/>
  <c r="H4" i="57"/>
  <c r="I3" i="59"/>
  <c r="I3" i="56"/>
  <c r="F3" i="57"/>
  <c r="F3" i="56"/>
  <c r="K10" i="43"/>
  <c r="K9" i="43"/>
  <c r="D9" i="43"/>
  <c r="K31" i="58"/>
  <c r="F3" i="58"/>
  <c r="H7" i="59"/>
  <c r="E7" i="59"/>
  <c r="J7" i="57"/>
  <c r="C31" i="56"/>
  <c r="H4" i="56"/>
  <c r="F10" i="56"/>
  <c r="F7" i="56"/>
  <c r="D75" i="50"/>
  <c r="H45" i="43" s="1"/>
  <c r="D71" i="50"/>
  <c r="H36" i="43" s="1"/>
  <c r="H36" i="56" s="1"/>
  <c r="D73" i="50"/>
  <c r="H37" i="43" s="1"/>
  <c r="D77" i="50"/>
  <c r="H38" i="43" s="1"/>
  <c r="H38" i="56" s="1"/>
  <c r="H47" i="43"/>
  <c r="H47" i="59" s="1"/>
  <c r="H22" i="59" s="1"/>
  <c r="D72" i="50"/>
  <c r="H43" i="43" s="1"/>
  <c r="D74" i="50"/>
  <c r="H44" i="57"/>
  <c r="H19" i="57" s="1"/>
  <c r="D39" i="50"/>
  <c r="E47" i="43" s="1"/>
  <c r="E43" i="43"/>
  <c r="E43" i="56" s="1"/>
  <c r="D32" i="50"/>
  <c r="E36" i="43" s="1"/>
  <c r="E36" i="56" s="1"/>
  <c r="E11" i="56" s="1"/>
  <c r="D38" i="50"/>
  <c r="E38" i="43" s="1"/>
  <c r="D37" i="50"/>
  <c r="E44" i="43" s="1"/>
  <c r="E44" i="59" s="1"/>
  <c r="E19" i="59" s="1"/>
  <c r="D36" i="50"/>
  <c r="E45" i="43" s="1"/>
  <c r="D35" i="50"/>
  <c r="K4" i="56"/>
  <c r="G4" i="56"/>
  <c r="F31" i="58"/>
  <c r="I31" i="57"/>
  <c r="I7" i="43"/>
  <c r="I9" i="43" s="1"/>
  <c r="F7" i="43"/>
  <c r="F9" i="43" s="1"/>
  <c r="F19" i="43"/>
  <c r="H31" i="57"/>
  <c r="E31" i="57"/>
  <c r="E31" i="56"/>
  <c r="F32" i="43"/>
  <c r="F34" i="43" s="1"/>
  <c r="D3" i="58"/>
  <c r="F31" i="56"/>
  <c r="H31" i="59"/>
  <c r="G10" i="56"/>
  <c r="F7" i="59"/>
  <c r="E7" i="57"/>
  <c r="E8" i="57" s="1"/>
  <c r="E9" i="57" s="1"/>
  <c r="E32" i="57" s="1"/>
  <c r="H7" i="58"/>
  <c r="I7" i="57"/>
  <c r="I8" i="57" s="1"/>
  <c r="F7" i="57"/>
  <c r="F8" i="57" s="1"/>
  <c r="F9" i="57" s="1"/>
  <c r="F32" i="57" s="1"/>
  <c r="D65" i="50"/>
  <c r="G47" i="43" s="1"/>
  <c r="D59" i="50"/>
  <c r="G43" i="43" s="1"/>
  <c r="G43" i="58" s="1"/>
  <c r="D60" i="50"/>
  <c r="G37" i="43" s="1"/>
  <c r="G12" i="43" s="1"/>
  <c r="D62" i="50"/>
  <c r="G45" i="43"/>
  <c r="G45" i="59" s="1"/>
  <c r="G20" i="59" s="1"/>
  <c r="D64" i="50"/>
  <c r="G38" i="43" s="1"/>
  <c r="G13" i="43" s="1"/>
  <c r="D20" i="50"/>
  <c r="D37" i="43" s="1"/>
  <c r="D24" i="50"/>
  <c r="D38" i="43" s="1"/>
  <c r="D104" i="50"/>
  <c r="K47" i="43" s="1"/>
  <c r="K47" i="56" s="1"/>
  <c r="K22" i="56" s="1"/>
  <c r="D99" i="50"/>
  <c r="K37" i="43" s="1"/>
  <c r="E44" i="56"/>
  <c r="E19" i="56" s="1"/>
  <c r="G43" i="56"/>
  <c r="H38" i="57"/>
  <c r="H13" i="57" s="1"/>
  <c r="H45" i="58"/>
  <c r="K37" i="56"/>
  <c r="K12" i="56" s="1"/>
  <c r="J37" i="57"/>
  <c r="J12" i="57" s="1"/>
  <c r="G45" i="56"/>
  <c r="G20" i="56" s="1"/>
  <c r="E45" i="56"/>
  <c r="E20" i="56" s="1"/>
  <c r="E36" i="57"/>
  <c r="E11" i="57" s="1"/>
  <c r="H43" i="57"/>
  <c r="H37" i="59"/>
  <c r="H12" i="59" s="1"/>
  <c r="J8" i="57"/>
  <c r="J9" i="57" s="1"/>
  <c r="H28" i="51"/>
  <c r="D18" i="50" l="1"/>
  <c r="D36" i="43" s="1"/>
  <c r="D36" i="57" s="1"/>
  <c r="D11" i="57" s="1"/>
  <c r="D22" i="50"/>
  <c r="D45" i="43" s="1"/>
  <c r="D45" i="57" s="1"/>
  <c r="D20" i="57" s="1"/>
  <c r="D19" i="50"/>
  <c r="D43" i="43" s="1"/>
  <c r="D25" i="50"/>
  <c r="D47" i="43" s="1"/>
  <c r="D47" i="58" s="1"/>
  <c r="D22" i="58" s="1"/>
  <c r="I22" i="55"/>
  <c r="I18" i="55"/>
  <c r="I19" i="55" s="1"/>
  <c r="H22" i="55"/>
  <c r="H18" i="55"/>
  <c r="H19" i="55" s="1"/>
  <c r="E22" i="55"/>
  <c r="F22" i="55"/>
  <c r="F18" i="55"/>
  <c r="F19" i="55" s="1"/>
  <c r="K22" i="55"/>
  <c r="K18" i="55"/>
  <c r="K19" i="55" s="1"/>
  <c r="J22" i="55"/>
  <c r="J18" i="55"/>
  <c r="J19" i="55" s="1"/>
  <c r="G22" i="55"/>
  <c r="G18" i="55"/>
  <c r="G19" i="55" s="1"/>
  <c r="E21" i="53"/>
  <c r="F21" i="53" s="1"/>
  <c r="G21" i="53" s="1"/>
  <c r="D17" i="55"/>
  <c r="F34" i="57"/>
  <c r="F19" i="56"/>
  <c r="H10" i="58"/>
  <c r="K37" i="58"/>
  <c r="K12" i="58" s="1"/>
  <c r="K12" i="43"/>
  <c r="H47" i="56"/>
  <c r="H22" i="56" s="1"/>
  <c r="G45" i="58"/>
  <c r="G20" i="58" s="1"/>
  <c r="I33" i="59"/>
  <c r="I33" i="57" s="1"/>
  <c r="I10" i="58"/>
  <c r="G10" i="58"/>
  <c r="G33" i="59"/>
  <c r="J33" i="57"/>
  <c r="J10" i="57" s="1"/>
  <c r="J10" i="59"/>
  <c r="H33" i="57"/>
  <c r="H10" i="57" s="1"/>
  <c r="H10" i="59"/>
  <c r="K10" i="58"/>
  <c r="I20" i="43"/>
  <c r="F37" i="57"/>
  <c r="F12" i="57" s="1"/>
  <c r="M15" i="36"/>
  <c r="E10" i="43"/>
  <c r="H11" i="56"/>
  <c r="H20" i="58"/>
  <c r="H10" i="56"/>
  <c r="H13" i="56"/>
  <c r="G4" i="57"/>
  <c r="D45" i="50"/>
  <c r="F36" i="43" s="1"/>
  <c r="H47" i="57"/>
  <c r="H22" i="57" s="1"/>
  <c r="K22" i="43"/>
  <c r="G20" i="43"/>
  <c r="G45" i="57"/>
  <c r="G20" i="57" s="1"/>
  <c r="G38" i="59"/>
  <c r="G13" i="59" s="1"/>
  <c r="H22" i="43"/>
  <c r="G37" i="58"/>
  <c r="G12" i="58" s="1"/>
  <c r="I45" i="57"/>
  <c r="I20" i="57" s="1"/>
  <c r="C4" i="59"/>
  <c r="G47" i="57"/>
  <c r="G22" i="57" s="1"/>
  <c r="G22" i="43"/>
  <c r="G47" i="58"/>
  <c r="G22" i="58" s="1"/>
  <c r="G47" i="56"/>
  <c r="G22" i="56" s="1"/>
  <c r="E45" i="58"/>
  <c r="E20" i="58" s="1"/>
  <c r="E45" i="59"/>
  <c r="E20" i="59" s="1"/>
  <c r="H43" i="58"/>
  <c r="H43" i="56"/>
  <c r="H12" i="43"/>
  <c r="H37" i="58"/>
  <c r="H12" i="58" s="1"/>
  <c r="H45" i="57"/>
  <c r="H20" i="57" s="1"/>
  <c r="H45" i="56"/>
  <c r="H20" i="56" s="1"/>
  <c r="I19" i="43"/>
  <c r="I44" i="57"/>
  <c r="I19" i="57" s="1"/>
  <c r="C3" i="59"/>
  <c r="C3" i="56"/>
  <c r="C3" i="57"/>
  <c r="D114" i="50"/>
  <c r="D112" i="50"/>
  <c r="D113" i="50"/>
  <c r="G31" i="58"/>
  <c r="G32" i="43"/>
  <c r="G34" i="43" s="1"/>
  <c r="H37" i="56"/>
  <c r="H12" i="56" s="1"/>
  <c r="H37" i="57"/>
  <c r="H12" i="57" s="1"/>
  <c r="E11" i="43"/>
  <c r="E36" i="59"/>
  <c r="E11" i="59" s="1"/>
  <c r="G47" i="59"/>
  <c r="G22" i="59" s="1"/>
  <c r="H40" i="43"/>
  <c r="H45" i="59"/>
  <c r="H20" i="59" s="1"/>
  <c r="I44" i="59"/>
  <c r="I19" i="59" s="1"/>
  <c r="K3" i="58"/>
  <c r="E44" i="58"/>
  <c r="E19" i="58" s="1"/>
  <c r="E44" i="57"/>
  <c r="E19" i="57" s="1"/>
  <c r="E19" i="43"/>
  <c r="H36" i="57"/>
  <c r="H11" i="57" s="1"/>
  <c r="H36" i="58"/>
  <c r="H11" i="58" s="1"/>
  <c r="H11" i="43"/>
  <c r="G31" i="59"/>
  <c r="G31" i="57"/>
  <c r="K3" i="56"/>
  <c r="D111" i="50"/>
  <c r="D115" i="50"/>
  <c r="E4" i="56"/>
  <c r="E4" i="57"/>
  <c r="G3" i="57"/>
  <c r="G3" i="58"/>
  <c r="D3" i="59"/>
  <c r="D3" i="56"/>
  <c r="I31" i="59"/>
  <c r="I32" i="43"/>
  <c r="I34" i="43" s="1"/>
  <c r="D91" i="50"/>
  <c r="I47" i="43" s="1"/>
  <c r="I22" i="43" s="1"/>
  <c r="D87" i="50"/>
  <c r="D85" i="50"/>
  <c r="I43" i="43" s="1"/>
  <c r="H43" i="59"/>
  <c r="E36" i="58"/>
  <c r="E11" i="58" s="1"/>
  <c r="E45" i="57"/>
  <c r="E20" i="57" s="1"/>
  <c r="H36" i="59"/>
  <c r="H11" i="59" s="1"/>
  <c r="H47" i="58"/>
  <c r="H22" i="58" s="1"/>
  <c r="I44" i="58"/>
  <c r="I19" i="58" s="1"/>
  <c r="J37" i="59"/>
  <c r="J12" i="59" s="1"/>
  <c r="I31" i="58"/>
  <c r="G4" i="59"/>
  <c r="H38" i="59"/>
  <c r="H13" i="59" s="1"/>
  <c r="H38" i="58"/>
  <c r="H13" i="58" s="1"/>
  <c r="H13" i="43"/>
  <c r="H20" i="43"/>
  <c r="H19" i="43"/>
  <c r="E4" i="59"/>
  <c r="D86" i="50"/>
  <c r="I37" i="43" s="1"/>
  <c r="I37" i="57" s="1"/>
  <c r="I12" i="57" s="1"/>
  <c r="D84" i="50"/>
  <c r="I36" i="43" s="1"/>
  <c r="I36" i="57" s="1"/>
  <c r="I11" i="57" s="1"/>
  <c r="G3" i="56"/>
  <c r="J3" i="57"/>
  <c r="D117" i="50"/>
  <c r="F31" i="57"/>
  <c r="H31" i="58"/>
  <c r="H31" i="56"/>
  <c r="E31" i="59"/>
  <c r="E31" i="58"/>
  <c r="D98" i="50"/>
  <c r="K43" i="43" s="1"/>
  <c r="K43" i="56" s="1"/>
  <c r="D34" i="50"/>
  <c r="E37" i="43" s="1"/>
  <c r="E12" i="43" s="1"/>
  <c r="K8" i="56"/>
  <c r="K9" i="56" s="1"/>
  <c r="K32" i="56" s="1"/>
  <c r="K34" i="56" s="1"/>
  <c r="D48" i="50"/>
  <c r="D46" i="50"/>
  <c r="F43" i="43" s="1"/>
  <c r="F43" i="56" s="1"/>
  <c r="D33" i="43"/>
  <c r="J10" i="36"/>
  <c r="J17" i="36" s="1"/>
  <c r="J19" i="36" s="1"/>
  <c r="F10" i="36"/>
  <c r="I10" i="36"/>
  <c r="I17" i="36" s="1"/>
  <c r="I19" i="36" s="1"/>
  <c r="M7" i="36"/>
  <c r="E10" i="36"/>
  <c r="E17" i="36" s="1"/>
  <c r="D4" i="56"/>
  <c r="C4" i="58"/>
  <c r="C4" i="57"/>
  <c r="D4" i="59"/>
  <c r="D4" i="58"/>
  <c r="C10" i="36"/>
  <c r="C17" i="36" s="1"/>
  <c r="H10" i="36"/>
  <c r="K10" i="36"/>
  <c r="K17" i="36" s="1"/>
  <c r="K19" i="36" s="1"/>
  <c r="M12" i="36"/>
  <c r="M14" i="36"/>
  <c r="D10" i="36"/>
  <c r="D17" i="36" s="1"/>
  <c r="D19" i="36" s="1"/>
  <c r="M13" i="36"/>
  <c r="G10" i="36"/>
  <c r="L10" i="36"/>
  <c r="J32" i="57"/>
  <c r="D36" i="56"/>
  <c r="D11" i="56" s="1"/>
  <c r="D36" i="58"/>
  <c r="D11" i="58" s="1"/>
  <c r="J38" i="59"/>
  <c r="J13" i="59" s="1"/>
  <c r="K38" i="56"/>
  <c r="K13" i="56" s="1"/>
  <c r="K38" i="58"/>
  <c r="K13" i="58" s="1"/>
  <c r="J38" i="57"/>
  <c r="J13" i="57" s="1"/>
  <c r="F13" i="58"/>
  <c r="F10" i="58"/>
  <c r="F7" i="58"/>
  <c r="H8" i="57"/>
  <c r="H9" i="57" s="1"/>
  <c r="F47" i="58"/>
  <c r="F22" i="58" s="1"/>
  <c r="F47" i="59"/>
  <c r="F22" i="59" s="1"/>
  <c r="F47" i="57"/>
  <c r="F22" i="57" s="1"/>
  <c r="F22" i="43"/>
  <c r="F47" i="56"/>
  <c r="F22" i="56" s="1"/>
  <c r="D7" i="50"/>
  <c r="D10" i="50"/>
  <c r="C38" i="43" s="1"/>
  <c r="C38" i="59" s="1"/>
  <c r="C13" i="59" s="1"/>
  <c r="D5" i="50"/>
  <c r="C43" i="43" s="1"/>
  <c r="C43" i="56" s="1"/>
  <c r="D11" i="50"/>
  <c r="C47" i="43" s="1"/>
  <c r="C47" i="57" s="1"/>
  <c r="C22" i="57" s="1"/>
  <c r="D8" i="50"/>
  <c r="C45" i="43" s="1"/>
  <c r="C45" i="59" s="1"/>
  <c r="C20" i="59" s="1"/>
  <c r="D6" i="50"/>
  <c r="C37" i="43" s="1"/>
  <c r="C37" i="59" s="1"/>
  <c r="C12" i="59" s="1"/>
  <c r="I9" i="57"/>
  <c r="J47" i="57"/>
  <c r="J22" i="57" s="1"/>
  <c r="J47" i="59"/>
  <c r="J22" i="59" s="1"/>
  <c r="K47" i="58"/>
  <c r="K22" i="58" s="1"/>
  <c r="G38" i="57"/>
  <c r="G13" i="57" s="1"/>
  <c r="G38" i="56"/>
  <c r="G13" i="56" s="1"/>
  <c r="G38" i="58"/>
  <c r="G13" i="58" s="1"/>
  <c r="G37" i="57"/>
  <c r="G12" i="57" s="1"/>
  <c r="G37" i="56"/>
  <c r="G12" i="56" s="1"/>
  <c r="G37" i="59"/>
  <c r="G12" i="59" s="1"/>
  <c r="I12" i="43"/>
  <c r="I37" i="58"/>
  <c r="I12" i="58" s="1"/>
  <c r="D43" i="59"/>
  <c r="D43" i="58"/>
  <c r="I4" i="57"/>
  <c r="I4" i="56"/>
  <c r="I4" i="59"/>
  <c r="E7" i="43"/>
  <c r="E20" i="43"/>
  <c r="F43" i="58"/>
  <c r="F43" i="57"/>
  <c r="L6" i="58"/>
  <c r="E4" i="2" s="1"/>
  <c r="C7" i="58"/>
  <c r="F20" i="43"/>
  <c r="F45" i="59"/>
  <c r="F20" i="59" s="1"/>
  <c r="F45" i="56"/>
  <c r="F20" i="56" s="1"/>
  <c r="F45" i="58"/>
  <c r="F20" i="58" s="1"/>
  <c r="G43" i="57"/>
  <c r="G43" i="59"/>
  <c r="D4" i="50"/>
  <c r="C36" i="43" s="1"/>
  <c r="C36" i="56" s="1"/>
  <c r="C11" i="56" s="1"/>
  <c r="E43" i="58"/>
  <c r="E43" i="57"/>
  <c r="E43" i="59"/>
  <c r="K19" i="43"/>
  <c r="K44" i="58"/>
  <c r="K19" i="58" s="1"/>
  <c r="K44" i="56"/>
  <c r="K19" i="56" s="1"/>
  <c r="J44" i="57"/>
  <c r="J19" i="57" s="1"/>
  <c r="I38" i="58"/>
  <c r="I13" i="58" s="1"/>
  <c r="I38" i="59"/>
  <c r="I13" i="59" s="1"/>
  <c r="I13" i="43"/>
  <c r="I38" i="56"/>
  <c r="I13" i="56" s="1"/>
  <c r="I38" i="57"/>
  <c r="I13" i="57" s="1"/>
  <c r="I36" i="58"/>
  <c r="I11" i="58" s="1"/>
  <c r="I45" i="59"/>
  <c r="I20" i="59" s="1"/>
  <c r="I45" i="56"/>
  <c r="I20" i="56" s="1"/>
  <c r="H3" i="57"/>
  <c r="H3" i="56"/>
  <c r="H3" i="59"/>
  <c r="E3" i="57"/>
  <c r="E3" i="58"/>
  <c r="E3" i="59"/>
  <c r="E3" i="56"/>
  <c r="G10" i="43"/>
  <c r="G7" i="43"/>
  <c r="G9" i="43" s="1"/>
  <c r="D31" i="58"/>
  <c r="D32" i="43"/>
  <c r="D31" i="59"/>
  <c r="D31" i="56"/>
  <c r="G7" i="57"/>
  <c r="K6" i="57"/>
  <c r="D8" i="57"/>
  <c r="D9" i="57" s="1"/>
  <c r="D32" i="57" s="1"/>
  <c r="F38" i="57"/>
  <c r="F13" i="57" s="1"/>
  <c r="F13" i="43"/>
  <c r="F38" i="59"/>
  <c r="F13" i="59" s="1"/>
  <c r="F38" i="56"/>
  <c r="F13" i="56" s="1"/>
  <c r="F44" i="58"/>
  <c r="F19" i="58" s="1"/>
  <c r="F44" i="57"/>
  <c r="F19" i="57" s="1"/>
  <c r="F44" i="59"/>
  <c r="F19" i="59" s="1"/>
  <c r="D101" i="50"/>
  <c r="K45" i="43" s="1"/>
  <c r="D100" i="50"/>
  <c r="D97" i="50"/>
  <c r="K36" i="43" s="1"/>
  <c r="K11" i="43" s="1"/>
  <c r="K14" i="43" s="1"/>
  <c r="C32" i="43"/>
  <c r="C31" i="58"/>
  <c r="C31" i="59"/>
  <c r="C31" i="57"/>
  <c r="F4" i="57"/>
  <c r="F4" i="59"/>
  <c r="F4" i="58"/>
  <c r="J31" i="57"/>
  <c r="K31" i="56"/>
  <c r="J31" i="59"/>
  <c r="I7" i="56"/>
  <c r="L7" i="56" s="1"/>
  <c r="D5" i="2" s="1"/>
  <c r="I10" i="56"/>
  <c r="I10" i="59"/>
  <c r="I7" i="59"/>
  <c r="I8" i="59" s="1"/>
  <c r="I9" i="59" s="1"/>
  <c r="F10" i="59"/>
  <c r="I10" i="57"/>
  <c r="F37" i="56"/>
  <c r="F12" i="56" s="1"/>
  <c r="F37" i="59"/>
  <c r="F12" i="59" s="1"/>
  <c r="F37" i="58"/>
  <c r="F12" i="58" s="1"/>
  <c r="F36" i="58"/>
  <c r="F11" i="58" s="1"/>
  <c r="F36" i="57"/>
  <c r="F11" i="57" s="1"/>
  <c r="F14" i="57" s="1"/>
  <c r="F15" i="57" s="1"/>
  <c r="F16" i="57" s="1"/>
  <c r="H44" i="58"/>
  <c r="H19" i="58" s="1"/>
  <c r="H44" i="56"/>
  <c r="H19" i="56" s="1"/>
  <c r="D63" i="50"/>
  <c r="G44" i="43" s="1"/>
  <c r="D58" i="50"/>
  <c r="G36" i="43" s="1"/>
  <c r="D61" i="50"/>
  <c r="D45" i="59"/>
  <c r="D20" i="59" s="1"/>
  <c r="D20" i="43"/>
  <c r="D47" i="56"/>
  <c r="D22" i="56" s="1"/>
  <c r="D47" i="59"/>
  <c r="D22" i="59" s="1"/>
  <c r="D47" i="57"/>
  <c r="D22" i="57" s="1"/>
  <c r="D22" i="43"/>
  <c r="D36" i="59"/>
  <c r="D11" i="59" s="1"/>
  <c r="C47" i="58"/>
  <c r="C22" i="58" s="1"/>
  <c r="C22" i="43"/>
  <c r="C47" i="56"/>
  <c r="C22" i="56" s="1"/>
  <c r="M11" i="36"/>
  <c r="C33" i="43"/>
  <c r="C17" i="55"/>
  <c r="C22" i="55" s="1"/>
  <c r="E10" i="56"/>
  <c r="E34" i="56"/>
  <c r="E34" i="43"/>
  <c r="H32" i="56"/>
  <c r="H34" i="56" s="1"/>
  <c r="F8" i="59"/>
  <c r="F9" i="59" s="1"/>
  <c r="H8" i="59"/>
  <c r="H9" i="59" s="1"/>
  <c r="J8" i="59"/>
  <c r="J9" i="59" s="1"/>
  <c r="E8" i="59"/>
  <c r="E9" i="59" s="1"/>
  <c r="E32" i="59" s="1"/>
  <c r="G8" i="59"/>
  <c r="G9" i="59" s="1"/>
  <c r="D8" i="56"/>
  <c r="D9" i="56" s="1"/>
  <c r="D32" i="56" s="1"/>
  <c r="F8" i="56"/>
  <c r="F9" i="56" s="1"/>
  <c r="G8" i="56"/>
  <c r="G9" i="56" s="1"/>
  <c r="O8" i="55"/>
  <c r="C8" i="59"/>
  <c r="C9" i="59" s="1"/>
  <c r="L15" i="55"/>
  <c r="D8" i="59"/>
  <c r="D9" i="59" s="1"/>
  <c r="D32" i="59" s="1"/>
  <c r="K7" i="59"/>
  <c r="F5" i="2" s="1"/>
  <c r="C8" i="56"/>
  <c r="C9" i="56" s="1"/>
  <c r="K6" i="59"/>
  <c r="F4" i="2" s="1"/>
  <c r="L6" i="56"/>
  <c r="D4" i="2" s="1"/>
  <c r="E47" i="57"/>
  <c r="E22" i="57" s="1"/>
  <c r="E47" i="56"/>
  <c r="E22" i="56" s="1"/>
  <c r="E47" i="59"/>
  <c r="E22" i="59" s="1"/>
  <c r="E47" i="58"/>
  <c r="E22" i="58" s="1"/>
  <c r="E22" i="43"/>
  <c r="E38" i="59"/>
  <c r="E13" i="59" s="1"/>
  <c r="E38" i="56"/>
  <c r="E38" i="57"/>
  <c r="E13" i="57" s="1"/>
  <c r="E38" i="58"/>
  <c r="E13" i="58" s="1"/>
  <c r="E13" i="43"/>
  <c r="C37" i="56"/>
  <c r="C12" i="56" s="1"/>
  <c r="D37" i="56"/>
  <c r="D12" i="56" s="1"/>
  <c r="D37" i="58"/>
  <c r="D12" i="58" s="1"/>
  <c r="D12" i="43"/>
  <c r="D37" i="57"/>
  <c r="D12" i="57" s="1"/>
  <c r="D37" i="59"/>
  <c r="C9" i="57"/>
  <c r="D44" i="57"/>
  <c r="D19" i="57" s="1"/>
  <c r="D44" i="59"/>
  <c r="D19" i="59" s="1"/>
  <c r="D19" i="43"/>
  <c r="D44" i="58"/>
  <c r="D19" i="58" s="1"/>
  <c r="D44" i="56"/>
  <c r="D19" i="56" s="1"/>
  <c r="D38" i="57"/>
  <c r="D13" i="57" s="1"/>
  <c r="D38" i="59"/>
  <c r="D13" i="59" s="1"/>
  <c r="D38" i="58"/>
  <c r="D13" i="58" s="1"/>
  <c r="D13" i="43"/>
  <c r="D38" i="56"/>
  <c r="D13" i="56" s="1"/>
  <c r="C44" i="59"/>
  <c r="C19" i="59" s="1"/>
  <c r="C19" i="43"/>
  <c r="C44" i="57"/>
  <c r="C19" i="57" s="1"/>
  <c r="C44" i="58"/>
  <c r="C19" i="58" s="1"/>
  <c r="C44" i="56"/>
  <c r="C19" i="56" s="1"/>
  <c r="C45" i="56"/>
  <c r="C20" i="56" s="1"/>
  <c r="C57" i="2"/>
  <c r="B10" i="51"/>
  <c r="J26" i="51"/>
  <c r="C58" i="2"/>
  <c r="M5" i="36"/>
  <c r="D45" i="56" l="1"/>
  <c r="D20" i="56" s="1"/>
  <c r="D11" i="43"/>
  <c r="D45" i="58"/>
  <c r="D20" i="58" s="1"/>
  <c r="D43" i="57"/>
  <c r="D43" i="56"/>
  <c r="C10" i="43"/>
  <c r="C33" i="56"/>
  <c r="C33" i="58" s="1"/>
  <c r="D10" i="43"/>
  <c r="L10" i="43" s="1"/>
  <c r="C8" i="2" s="1"/>
  <c r="C31" i="2" s="1"/>
  <c r="D33" i="56"/>
  <c r="D33" i="58" s="1"/>
  <c r="J34" i="57"/>
  <c r="I37" i="59"/>
  <c r="I12" i="59" s="1"/>
  <c r="H14" i="59"/>
  <c r="H15" i="59" s="1"/>
  <c r="H16" i="59" s="1"/>
  <c r="I37" i="56"/>
  <c r="I12" i="56" s="1"/>
  <c r="H14" i="56"/>
  <c r="H15" i="56" s="1"/>
  <c r="H16" i="56" s="1"/>
  <c r="G33" i="57"/>
  <c r="G10" i="57" s="1"/>
  <c r="G10" i="59"/>
  <c r="C45" i="58"/>
  <c r="C20" i="58" s="1"/>
  <c r="L13" i="43"/>
  <c r="C11" i="2" s="1"/>
  <c r="C37" i="2" s="1"/>
  <c r="E40" i="43"/>
  <c r="I47" i="57"/>
  <c r="I22" i="57" s="1"/>
  <c r="I14" i="58"/>
  <c r="L7" i="58"/>
  <c r="E5" i="2" s="1"/>
  <c r="F43" i="59"/>
  <c r="I40" i="43"/>
  <c r="F11" i="43"/>
  <c r="F36" i="59"/>
  <c r="F11" i="59" s="1"/>
  <c r="C20" i="43"/>
  <c r="C47" i="59"/>
  <c r="C22" i="59" s="1"/>
  <c r="C13" i="43"/>
  <c r="F36" i="56"/>
  <c r="F11" i="56" s="1"/>
  <c r="F14" i="56" s="1"/>
  <c r="F15" i="56" s="1"/>
  <c r="F16" i="56" s="1"/>
  <c r="F14" i="43"/>
  <c r="F15" i="43" s="1"/>
  <c r="F16" i="43" s="1"/>
  <c r="K43" i="58"/>
  <c r="H14" i="43"/>
  <c r="H15" i="43" s="1"/>
  <c r="H16" i="43" s="1"/>
  <c r="F40" i="43"/>
  <c r="E9" i="43"/>
  <c r="L9" i="43" s="1"/>
  <c r="L7" i="43"/>
  <c r="C5" i="2" s="1"/>
  <c r="I43" i="59"/>
  <c r="I43" i="56"/>
  <c r="I43" i="58"/>
  <c r="I43" i="57"/>
  <c r="C43" i="59"/>
  <c r="H40" i="56"/>
  <c r="F14" i="59"/>
  <c r="F15" i="59" s="1"/>
  <c r="F16" i="59" s="1"/>
  <c r="I11" i="43"/>
  <c r="I14" i="43" s="1"/>
  <c r="I15" i="43" s="1"/>
  <c r="I16" i="43" s="1"/>
  <c r="J43" i="59"/>
  <c r="D34" i="43"/>
  <c r="D40" i="43" s="1"/>
  <c r="C45" i="57"/>
  <c r="C20" i="57" s="1"/>
  <c r="C37" i="58"/>
  <c r="C12" i="58" s="1"/>
  <c r="L12" i="58" s="1"/>
  <c r="E10" i="2" s="1"/>
  <c r="I36" i="56"/>
  <c r="I11" i="56" s="1"/>
  <c r="I14" i="56" s="1"/>
  <c r="I36" i="59"/>
  <c r="I11" i="59" s="1"/>
  <c r="I14" i="59" s="1"/>
  <c r="I15" i="59" s="1"/>
  <c r="I16" i="59" s="1"/>
  <c r="J43" i="57"/>
  <c r="E37" i="56"/>
  <c r="E12" i="56" s="1"/>
  <c r="E37" i="57"/>
  <c r="E12" i="57" s="1"/>
  <c r="E14" i="57" s="1"/>
  <c r="E37" i="59"/>
  <c r="E12" i="59" s="1"/>
  <c r="E14" i="59" s="1"/>
  <c r="E37" i="58"/>
  <c r="E12" i="58" s="1"/>
  <c r="E14" i="58" s="1"/>
  <c r="I47" i="59"/>
  <c r="I22" i="59" s="1"/>
  <c r="I47" i="58"/>
  <c r="I22" i="58" s="1"/>
  <c r="L22" i="58" s="1"/>
  <c r="E20" i="2" s="1"/>
  <c r="I47" i="56"/>
  <c r="I22" i="56" s="1"/>
  <c r="L22" i="56" s="1"/>
  <c r="D20" i="2" s="1"/>
  <c r="H14" i="58"/>
  <c r="H14" i="57"/>
  <c r="H15" i="57" s="1"/>
  <c r="H16" i="57" s="1"/>
  <c r="M10" i="36"/>
  <c r="D34" i="56"/>
  <c r="D40" i="56" s="1"/>
  <c r="D18" i="55"/>
  <c r="D19" i="55" s="1"/>
  <c r="D22" i="55"/>
  <c r="H4" i="2"/>
  <c r="H32" i="57"/>
  <c r="H34" i="57" s="1"/>
  <c r="H40" i="57" s="1"/>
  <c r="G6" i="36"/>
  <c r="G5" i="36" s="1"/>
  <c r="G17" i="36" s="1"/>
  <c r="G19" i="36" s="1"/>
  <c r="K45" i="56"/>
  <c r="K20" i="56" s="1"/>
  <c r="L20" i="56" s="1"/>
  <c r="D18" i="2" s="1"/>
  <c r="D44" i="2" s="1"/>
  <c r="J45" i="59"/>
  <c r="J20" i="59" s="1"/>
  <c r="K20" i="59" s="1"/>
  <c r="F18" i="2" s="1"/>
  <c r="K20" i="43"/>
  <c r="J45" i="57"/>
  <c r="J20" i="57" s="1"/>
  <c r="K45" i="58"/>
  <c r="K20" i="58" s="1"/>
  <c r="L20" i="58" s="1"/>
  <c r="E18" i="2" s="1"/>
  <c r="F14" i="58"/>
  <c r="C43" i="57"/>
  <c r="C37" i="57"/>
  <c r="C12" i="57" s="1"/>
  <c r="K12" i="57" s="1"/>
  <c r="G10" i="2" s="1"/>
  <c r="G36" i="2" s="1"/>
  <c r="C12" i="43"/>
  <c r="L12" i="43" s="1"/>
  <c r="C10" i="2" s="1"/>
  <c r="C36" i="2" s="1"/>
  <c r="E14" i="43"/>
  <c r="K22" i="59"/>
  <c r="F20" i="2" s="1"/>
  <c r="I8" i="56"/>
  <c r="I9" i="56" s="1"/>
  <c r="I32" i="56" s="1"/>
  <c r="I34" i="56" s="1"/>
  <c r="G44" i="56"/>
  <c r="G19" i="56" s="1"/>
  <c r="L19" i="56" s="1"/>
  <c r="D17" i="2" s="1"/>
  <c r="D43" i="2" s="1"/>
  <c r="G44" i="59"/>
  <c r="G19" i="59" s="1"/>
  <c r="K19" i="59" s="1"/>
  <c r="F17" i="2" s="1"/>
  <c r="G44" i="57"/>
  <c r="G19" i="57" s="1"/>
  <c r="G44" i="58"/>
  <c r="G19" i="58" s="1"/>
  <c r="K15" i="43"/>
  <c r="K16" i="43" s="1"/>
  <c r="K36" i="58"/>
  <c r="K11" i="58" s="1"/>
  <c r="K14" i="58" s="1"/>
  <c r="J36" i="57"/>
  <c r="J11" i="57" s="1"/>
  <c r="J14" i="57" s="1"/>
  <c r="J15" i="57" s="1"/>
  <c r="J16" i="57" s="1"/>
  <c r="K36" i="56"/>
  <c r="K11" i="56" s="1"/>
  <c r="K14" i="56" s="1"/>
  <c r="K15" i="56" s="1"/>
  <c r="K16" i="56" s="1"/>
  <c r="K40" i="43"/>
  <c r="J36" i="59"/>
  <c r="J11" i="59" s="1"/>
  <c r="J14" i="59" s="1"/>
  <c r="J15" i="59" s="1"/>
  <c r="J16" i="59" s="1"/>
  <c r="G21" i="57"/>
  <c r="G46" i="57" s="1"/>
  <c r="E21" i="57"/>
  <c r="E46" i="57" s="1"/>
  <c r="G4" i="2"/>
  <c r="G42" i="2" s="1"/>
  <c r="I21" i="57"/>
  <c r="I46" i="57" s="1"/>
  <c r="H21" i="57"/>
  <c r="H46" i="57" s="1"/>
  <c r="C21" i="57"/>
  <c r="C46" i="57" s="1"/>
  <c r="F21" i="57"/>
  <c r="F46" i="57" s="1"/>
  <c r="J21" i="57"/>
  <c r="J46" i="57" s="1"/>
  <c r="D21" i="57"/>
  <c r="D46" i="57" s="1"/>
  <c r="G19" i="43"/>
  <c r="L19" i="43" s="1"/>
  <c r="C17" i="2" s="1"/>
  <c r="I32" i="57"/>
  <c r="I34" i="57" s="1"/>
  <c r="I40" i="57" s="1"/>
  <c r="C38" i="58"/>
  <c r="C13" i="58" s="1"/>
  <c r="L13" i="58" s="1"/>
  <c r="E11" i="2" s="1"/>
  <c r="E37" i="2" s="1"/>
  <c r="C38" i="57"/>
  <c r="C13" i="57" s="1"/>
  <c r="K13" i="57" s="1"/>
  <c r="G11" i="2" s="1"/>
  <c r="G37" i="2" s="1"/>
  <c r="C38" i="56"/>
  <c r="C13" i="56" s="1"/>
  <c r="C14" i="56" s="1"/>
  <c r="K20" i="57"/>
  <c r="G18" i="2" s="1"/>
  <c r="G44" i="2" s="1"/>
  <c r="G36" i="57"/>
  <c r="G11" i="57" s="1"/>
  <c r="G14" i="57" s="1"/>
  <c r="G36" i="58"/>
  <c r="G11" i="58" s="1"/>
  <c r="G14" i="58" s="1"/>
  <c r="G36" i="59"/>
  <c r="G11" i="59" s="1"/>
  <c r="G14" i="59" s="1"/>
  <c r="G15" i="59" s="1"/>
  <c r="G16" i="59" s="1"/>
  <c r="G36" i="56"/>
  <c r="G11" i="56" s="1"/>
  <c r="G14" i="56" s="1"/>
  <c r="G15" i="56" s="1"/>
  <c r="G16" i="56" s="1"/>
  <c r="G11" i="43"/>
  <c r="G14" i="43" s="1"/>
  <c r="G40" i="43"/>
  <c r="C36" i="57"/>
  <c r="C11" i="57" s="1"/>
  <c r="C36" i="58"/>
  <c r="C11" i="58" s="1"/>
  <c r="L11" i="58" s="1"/>
  <c r="E9" i="2" s="1"/>
  <c r="E35" i="2" s="1"/>
  <c r="C11" i="43"/>
  <c r="C36" i="59"/>
  <c r="C11" i="59" s="1"/>
  <c r="C14" i="59" s="1"/>
  <c r="L19" i="58"/>
  <c r="E17" i="2" s="1"/>
  <c r="C43" i="58"/>
  <c r="K22" i="57"/>
  <c r="G20" i="2" s="1"/>
  <c r="I14" i="57"/>
  <c r="I15" i="57" s="1"/>
  <c r="I16" i="57" s="1"/>
  <c r="K7" i="57"/>
  <c r="G5" i="2" s="1"/>
  <c r="H6" i="36" s="1"/>
  <c r="H5" i="36" s="1"/>
  <c r="H17" i="36" s="1"/>
  <c r="H19" i="36" s="1"/>
  <c r="G8" i="57"/>
  <c r="G9" i="57" s="1"/>
  <c r="G15" i="43"/>
  <c r="G16" i="43" s="1"/>
  <c r="F40" i="57"/>
  <c r="D14" i="58"/>
  <c r="K19" i="57"/>
  <c r="G17" i="2" s="1"/>
  <c r="G43" i="2" s="1"/>
  <c r="L22" i="43"/>
  <c r="C20" i="2" s="1"/>
  <c r="K13" i="59"/>
  <c r="F11" i="2" s="1"/>
  <c r="F37" i="2" s="1"/>
  <c r="C18" i="36"/>
  <c r="D18" i="36" s="1"/>
  <c r="E18" i="36" s="1"/>
  <c r="C19" i="36"/>
  <c r="C20" i="36" s="1"/>
  <c r="D20" i="36" s="1"/>
  <c r="C34" i="43"/>
  <c r="C40" i="43" s="1"/>
  <c r="C18" i="55"/>
  <c r="E10" i="58"/>
  <c r="E33" i="59"/>
  <c r="E34" i="59" s="1"/>
  <c r="G8" i="58"/>
  <c r="G9" i="58" s="1"/>
  <c r="I8" i="58"/>
  <c r="I9" i="58" s="1"/>
  <c r="E8" i="58"/>
  <c r="E9" i="58" s="1"/>
  <c r="E32" i="58" s="1"/>
  <c r="E34" i="58" s="1"/>
  <c r="E40" i="58" s="1"/>
  <c r="F8" i="58"/>
  <c r="F9" i="58" s="1"/>
  <c r="H8" i="58"/>
  <c r="H9" i="58" s="1"/>
  <c r="K8" i="58"/>
  <c r="K9" i="58" s="1"/>
  <c r="C8" i="58"/>
  <c r="C9" i="58" s="1"/>
  <c r="C32" i="58" s="1"/>
  <c r="G32" i="59"/>
  <c r="G34" i="59" s="1"/>
  <c r="G40" i="59" s="1"/>
  <c r="K8" i="59"/>
  <c r="F6" i="2" s="1"/>
  <c r="G32" i="56"/>
  <c r="G34" i="56" s="1"/>
  <c r="F32" i="59"/>
  <c r="F34" i="59" s="1"/>
  <c r="F40" i="59" s="1"/>
  <c r="F32" i="56"/>
  <c r="F34" i="56" s="1"/>
  <c r="H32" i="59"/>
  <c r="H34" i="59" s="1"/>
  <c r="H40" i="59" s="1"/>
  <c r="D8" i="58"/>
  <c r="D9" i="58" s="1"/>
  <c r="I32" i="59"/>
  <c r="I34" i="59" s="1"/>
  <c r="J32" i="59"/>
  <c r="J34" i="59" s="1"/>
  <c r="C32" i="56"/>
  <c r="E40" i="56"/>
  <c r="E13" i="56"/>
  <c r="D14" i="43"/>
  <c r="D12" i="59"/>
  <c r="D14" i="59" s="1"/>
  <c r="C32" i="59"/>
  <c r="K9" i="59"/>
  <c r="F7" i="2" s="1"/>
  <c r="C32" i="57"/>
  <c r="D14" i="57"/>
  <c r="D14" i="56"/>
  <c r="L12" i="56"/>
  <c r="D10" i="2" s="1"/>
  <c r="D36" i="2" s="1"/>
  <c r="C56" i="2"/>
  <c r="K18" i="57"/>
  <c r="E26" i="51"/>
  <c r="L18" i="58"/>
  <c r="J18" i="58" s="1"/>
  <c r="J17" i="58" s="1"/>
  <c r="L18" i="56"/>
  <c r="J18" i="56" s="1"/>
  <c r="J17" i="56" s="1"/>
  <c r="L18" i="43"/>
  <c r="J18" i="43" s="1"/>
  <c r="J17" i="43" s="1"/>
  <c r="D28" i="51"/>
  <c r="K18" i="59"/>
  <c r="L21" i="43"/>
  <c r="J21" i="43" s="1"/>
  <c r="E27" i="51"/>
  <c r="E23" i="36"/>
  <c r="M17" i="36"/>
  <c r="E22" i="36"/>
  <c r="E19" i="36"/>
  <c r="D15" i="43" l="1"/>
  <c r="D16" i="43" s="1"/>
  <c r="J46" i="43"/>
  <c r="J48" i="43" s="1"/>
  <c r="J23" i="43"/>
  <c r="J24" i="43" s="1"/>
  <c r="I15" i="56"/>
  <c r="I16" i="56" s="1"/>
  <c r="L11" i="43"/>
  <c r="C9" i="2" s="1"/>
  <c r="C35" i="2" s="1"/>
  <c r="F40" i="56"/>
  <c r="E40" i="59"/>
  <c r="L20" i="43"/>
  <c r="C18" i="2" s="1"/>
  <c r="C44" i="2" s="1"/>
  <c r="K12" i="59"/>
  <c r="F10" i="2" s="1"/>
  <c r="F36" i="2" s="1"/>
  <c r="E15" i="43"/>
  <c r="E16" i="43" s="1"/>
  <c r="H18" i="2"/>
  <c r="H44" i="2" s="1"/>
  <c r="C14" i="43"/>
  <c r="C15" i="43" s="1"/>
  <c r="I40" i="59"/>
  <c r="F6" i="36"/>
  <c r="F5" i="36" s="1"/>
  <c r="F17" i="36" s="1"/>
  <c r="F19" i="36" s="1"/>
  <c r="C7" i="2"/>
  <c r="C30" i="2" s="1"/>
  <c r="C32" i="2" s="1"/>
  <c r="C33" i="2" s="1"/>
  <c r="E14" i="56"/>
  <c r="E15" i="56" s="1"/>
  <c r="E16" i="56" s="1"/>
  <c r="J40" i="59"/>
  <c r="K11" i="59"/>
  <c r="F9" i="2" s="1"/>
  <c r="F35" i="2" s="1"/>
  <c r="I40" i="56"/>
  <c r="J40" i="57"/>
  <c r="J48" i="57" s="1"/>
  <c r="H5" i="2"/>
  <c r="L6" i="36" s="1"/>
  <c r="L5" i="36" s="1"/>
  <c r="L17" i="36" s="1"/>
  <c r="L19" i="36" s="1"/>
  <c r="D10" i="56"/>
  <c r="D15" i="56" s="1"/>
  <c r="D16" i="56" s="1"/>
  <c r="C14" i="58"/>
  <c r="C43" i="2"/>
  <c r="K14" i="59"/>
  <c r="F12" i="2" s="1"/>
  <c r="H17" i="2"/>
  <c r="H43" i="2" s="1"/>
  <c r="G32" i="57"/>
  <c r="G34" i="57" s="1"/>
  <c r="G40" i="57" s="1"/>
  <c r="G48" i="57" s="1"/>
  <c r="G15" i="57"/>
  <c r="G16" i="57" s="1"/>
  <c r="K9" i="57"/>
  <c r="G7" i="2" s="1"/>
  <c r="G50" i="2" s="1"/>
  <c r="K11" i="57"/>
  <c r="G9" i="2" s="1"/>
  <c r="G35" i="2" s="1"/>
  <c r="K8" i="57"/>
  <c r="G6" i="2" s="1"/>
  <c r="L9" i="56"/>
  <c r="D7" i="2" s="1"/>
  <c r="D30" i="2" s="1"/>
  <c r="G40" i="56"/>
  <c r="F48" i="57"/>
  <c r="I48" i="57"/>
  <c r="L11" i="56"/>
  <c r="D9" i="2" s="1"/>
  <c r="D35" i="2" s="1"/>
  <c r="C14" i="57"/>
  <c r="K14" i="57" s="1"/>
  <c r="G12" i="2" s="1"/>
  <c r="L8" i="56"/>
  <c r="D6" i="2" s="1"/>
  <c r="K40" i="56"/>
  <c r="H48" i="57"/>
  <c r="H20" i="2"/>
  <c r="C34" i="56"/>
  <c r="C40" i="56" s="1"/>
  <c r="C34" i="58"/>
  <c r="C40" i="58" s="1"/>
  <c r="C10" i="56"/>
  <c r="C19" i="55"/>
  <c r="E33" i="57"/>
  <c r="E10" i="59"/>
  <c r="L8" i="58"/>
  <c r="E6" i="2" s="1"/>
  <c r="F32" i="58"/>
  <c r="F34" i="58" s="1"/>
  <c r="F40" i="58" s="1"/>
  <c r="F15" i="58"/>
  <c r="F16" i="58" s="1"/>
  <c r="G32" i="58"/>
  <c r="G34" i="58" s="1"/>
  <c r="G40" i="58" s="1"/>
  <c r="G15" i="58"/>
  <c r="G16" i="58" s="1"/>
  <c r="H15" i="58"/>
  <c r="H16" i="58" s="1"/>
  <c r="H32" i="58"/>
  <c r="H34" i="58" s="1"/>
  <c r="H40" i="58" s="1"/>
  <c r="I15" i="58"/>
  <c r="I16" i="58" s="1"/>
  <c r="I32" i="58"/>
  <c r="I34" i="58" s="1"/>
  <c r="I40" i="58" s="1"/>
  <c r="K15" i="58"/>
  <c r="K16" i="58" s="1"/>
  <c r="K32" i="58"/>
  <c r="K34" i="58" s="1"/>
  <c r="K40" i="58" s="1"/>
  <c r="E15" i="58"/>
  <c r="E16" i="58" s="1"/>
  <c r="D32" i="58"/>
  <c r="D34" i="58" s="1"/>
  <c r="D40" i="58" s="1"/>
  <c r="L9" i="58"/>
  <c r="E7" i="2" s="1"/>
  <c r="E30" i="2" s="1"/>
  <c r="L13" i="56"/>
  <c r="D11" i="2" s="1"/>
  <c r="H10" i="2"/>
  <c r="H36" i="2" s="1"/>
  <c r="E36" i="2"/>
  <c r="L14" i="58"/>
  <c r="E12" i="2" s="1"/>
  <c r="F30" i="2"/>
  <c r="G51" i="2"/>
  <c r="L14" i="43"/>
  <c r="C12" i="2" s="1"/>
  <c r="K21" i="43"/>
  <c r="C21" i="43"/>
  <c r="I21" i="43"/>
  <c r="H21" i="43"/>
  <c r="D21" i="43"/>
  <c r="F21" i="43"/>
  <c r="G21" i="43"/>
  <c r="E21" i="43"/>
  <c r="C19" i="2"/>
  <c r="F18" i="58"/>
  <c r="F17" i="58" s="1"/>
  <c r="C18" i="58"/>
  <c r="C17" i="58" s="1"/>
  <c r="D18" i="58"/>
  <c r="D17" i="58" s="1"/>
  <c r="K18" i="58"/>
  <c r="K17" i="58" s="1"/>
  <c r="G18" i="58"/>
  <c r="G17" i="58" s="1"/>
  <c r="E18" i="58"/>
  <c r="E17" i="58" s="1"/>
  <c r="I18" i="58"/>
  <c r="I17" i="58" s="1"/>
  <c r="H18" i="58"/>
  <c r="H17" i="58" s="1"/>
  <c r="F27" i="51"/>
  <c r="L21" i="56"/>
  <c r="J21" i="56" s="1"/>
  <c r="I18" i="43"/>
  <c r="I17" i="43" s="1"/>
  <c r="H18" i="43"/>
  <c r="H17" i="43" s="1"/>
  <c r="D18" i="43"/>
  <c r="D17" i="43" s="1"/>
  <c r="K18" i="43"/>
  <c r="K17" i="43" s="1"/>
  <c r="G18" i="43"/>
  <c r="G17" i="43" s="1"/>
  <c r="C61" i="2"/>
  <c r="F18" i="43"/>
  <c r="F17" i="43" s="1"/>
  <c r="C18" i="43"/>
  <c r="C17" i="43" s="1"/>
  <c r="E18" i="43"/>
  <c r="E17" i="43" s="1"/>
  <c r="F26" i="51"/>
  <c r="E28" i="51"/>
  <c r="E18" i="59"/>
  <c r="E17" i="59" s="1"/>
  <c r="G18" i="59"/>
  <c r="G17" i="59" s="1"/>
  <c r="H18" i="59"/>
  <c r="H17" i="59" s="1"/>
  <c r="C18" i="59"/>
  <c r="C17" i="59" s="1"/>
  <c r="J18" i="59"/>
  <c r="J17" i="59" s="1"/>
  <c r="I18" i="59"/>
  <c r="I17" i="59" s="1"/>
  <c r="D18" i="59"/>
  <c r="D17" i="59" s="1"/>
  <c r="F18" i="59"/>
  <c r="F17" i="59" s="1"/>
  <c r="D61" i="2"/>
  <c r="G18" i="56"/>
  <c r="G17" i="56" s="1"/>
  <c r="D18" i="56"/>
  <c r="D17" i="56" s="1"/>
  <c r="I18" i="56"/>
  <c r="I17" i="56" s="1"/>
  <c r="H18" i="56"/>
  <c r="H17" i="56" s="1"/>
  <c r="C18" i="56"/>
  <c r="C17" i="56" s="1"/>
  <c r="F18" i="56"/>
  <c r="F17" i="56" s="1"/>
  <c r="K18" i="56"/>
  <c r="K17" i="56" s="1"/>
  <c r="E18" i="56"/>
  <c r="E17" i="56" s="1"/>
  <c r="J18" i="57"/>
  <c r="J17" i="57" s="1"/>
  <c r="J23" i="57" s="1"/>
  <c r="J24" i="57" s="1"/>
  <c r="E18" i="57"/>
  <c r="E17" i="57" s="1"/>
  <c r="E23" i="57" s="1"/>
  <c r="F18" i="57"/>
  <c r="F17" i="57" s="1"/>
  <c r="F23" i="57" s="1"/>
  <c r="F24" i="57" s="1"/>
  <c r="H18" i="57"/>
  <c r="H17" i="57" s="1"/>
  <c r="H23" i="57" s="1"/>
  <c r="H24" i="57" s="1"/>
  <c r="C18" i="57"/>
  <c r="C17" i="57" s="1"/>
  <c r="G18" i="57"/>
  <c r="G17" i="57" s="1"/>
  <c r="G23" i="57" s="1"/>
  <c r="D18" i="57"/>
  <c r="D17" i="57" s="1"/>
  <c r="D23" i="57" s="1"/>
  <c r="I18" i="57"/>
  <c r="I17" i="57" s="1"/>
  <c r="I23" i="57" s="1"/>
  <c r="I24" i="57" s="1"/>
  <c r="G61" i="2"/>
  <c r="I22" i="36"/>
  <c r="I23" i="36"/>
  <c r="M19" i="36"/>
  <c r="E20" i="36"/>
  <c r="F20" i="36" s="1"/>
  <c r="G20" i="36" s="1"/>
  <c r="H20" i="36" s="1"/>
  <c r="J46" i="56" l="1"/>
  <c r="J48" i="56" s="1"/>
  <c r="J23" i="56"/>
  <c r="J24" i="56" s="1"/>
  <c r="J25" i="43"/>
  <c r="J26" i="43" s="1"/>
  <c r="J27" i="43" s="1"/>
  <c r="F18" i="36"/>
  <c r="G18" i="36" s="1"/>
  <c r="H18" i="36" s="1"/>
  <c r="E24" i="36" s="1"/>
  <c r="D52" i="2"/>
  <c r="C52" i="2"/>
  <c r="L14" i="56"/>
  <c r="D12" i="2" s="1"/>
  <c r="H12" i="2" s="1"/>
  <c r="G24" i="57"/>
  <c r="G25" i="57" s="1"/>
  <c r="G26" i="57" s="1"/>
  <c r="G27" i="57" s="1"/>
  <c r="G49" i="2"/>
  <c r="H6" i="2"/>
  <c r="C48" i="2"/>
  <c r="C50" i="2"/>
  <c r="I18" i="36"/>
  <c r="J18" i="36" s="1"/>
  <c r="K18" i="36" s="1"/>
  <c r="L18" i="36" s="1"/>
  <c r="L10" i="56"/>
  <c r="D8" i="2" s="1"/>
  <c r="D31" i="2" s="1"/>
  <c r="D32" i="2" s="1"/>
  <c r="D33" i="2" s="1"/>
  <c r="D33" i="59"/>
  <c r="D10" i="58"/>
  <c r="D15" i="58" s="1"/>
  <c r="D16" i="58" s="1"/>
  <c r="D50" i="2"/>
  <c r="H7" i="2"/>
  <c r="H30" i="2" s="1"/>
  <c r="H9" i="2"/>
  <c r="H35" i="2" s="1"/>
  <c r="C15" i="56"/>
  <c r="C16" i="56" s="1"/>
  <c r="G52" i="2"/>
  <c r="G48" i="2"/>
  <c r="G30" i="2"/>
  <c r="C33" i="59"/>
  <c r="C10" i="58"/>
  <c r="E10" i="57"/>
  <c r="E34" i="57"/>
  <c r="E40" i="57" s="1"/>
  <c r="E48" i="57" s="1"/>
  <c r="E15" i="59"/>
  <c r="D37" i="2"/>
  <c r="H11" i="2"/>
  <c r="H37" i="2" s="1"/>
  <c r="D48" i="2"/>
  <c r="L15" i="43"/>
  <c r="C16" i="43"/>
  <c r="J25" i="57"/>
  <c r="J26" i="57" s="1"/>
  <c r="J27" i="57" s="1"/>
  <c r="D19" i="2"/>
  <c r="D51" i="2" s="1"/>
  <c r="K21" i="56"/>
  <c r="H21" i="56"/>
  <c r="D21" i="56"/>
  <c r="E21" i="56"/>
  <c r="G21" i="56"/>
  <c r="C21" i="56"/>
  <c r="I21" i="56"/>
  <c r="F21" i="56"/>
  <c r="G46" i="43"/>
  <c r="G48" i="43" s="1"/>
  <c r="G23" i="43"/>
  <c r="G24" i="43" s="1"/>
  <c r="C46" i="43"/>
  <c r="C48" i="43" s="1"/>
  <c r="C23" i="43"/>
  <c r="C24" i="43" s="1"/>
  <c r="I25" i="57"/>
  <c r="I26" i="57" s="1"/>
  <c r="I27" i="57" s="1"/>
  <c r="K17" i="57"/>
  <c r="K23" i="57" s="1"/>
  <c r="C23" i="57"/>
  <c r="K17" i="59"/>
  <c r="F28" i="51"/>
  <c r="L17" i="58"/>
  <c r="E15" i="2" s="1"/>
  <c r="E46" i="43"/>
  <c r="E48" i="43" s="1"/>
  <c r="E23" i="43"/>
  <c r="E24" i="43" s="1"/>
  <c r="D46" i="43"/>
  <c r="D48" i="43" s="1"/>
  <c r="D23" i="43"/>
  <c r="D24" i="43" s="1"/>
  <c r="I23" i="43"/>
  <c r="I24" i="43" s="1"/>
  <c r="I46" i="43"/>
  <c r="I48" i="43" s="1"/>
  <c r="H25" i="57"/>
  <c r="H26" i="57" s="1"/>
  <c r="H27" i="57" s="1"/>
  <c r="F25" i="57"/>
  <c r="F26" i="57" s="1"/>
  <c r="F27" i="57" s="1"/>
  <c r="L17" i="56"/>
  <c r="D15" i="2" s="1"/>
  <c r="L17" i="43"/>
  <c r="L21" i="58"/>
  <c r="J21" i="58" s="1"/>
  <c r="C51" i="2"/>
  <c r="F46" i="43"/>
  <c r="F48" i="43" s="1"/>
  <c r="F23" i="43"/>
  <c r="F24" i="43" s="1"/>
  <c r="H23" i="43"/>
  <c r="H24" i="43" s="1"/>
  <c r="H46" i="43"/>
  <c r="H48" i="43" s="1"/>
  <c r="K46" i="43"/>
  <c r="K48" i="43" s="1"/>
  <c r="K23" i="43"/>
  <c r="K24" i="43" s="1"/>
  <c r="I24" i="36"/>
  <c r="I20" i="36"/>
  <c r="J20" i="36" s="1"/>
  <c r="K20" i="36" s="1"/>
  <c r="L20" i="36" s="1"/>
  <c r="J46" i="58" l="1"/>
  <c r="J48" i="58" s="1"/>
  <c r="J23" i="58"/>
  <c r="J24" i="58" s="1"/>
  <c r="J25" i="56"/>
  <c r="J26" i="56" s="1"/>
  <c r="J27" i="56" s="1"/>
  <c r="D10" i="59"/>
  <c r="D15" i="59" s="1"/>
  <c r="D16" i="59" s="1"/>
  <c r="D34" i="59"/>
  <c r="D40" i="59" s="1"/>
  <c r="D33" i="57"/>
  <c r="L15" i="56"/>
  <c r="L16" i="56" s="1"/>
  <c r="D14" i="2" s="1"/>
  <c r="H50" i="2"/>
  <c r="H52" i="2"/>
  <c r="C15" i="58"/>
  <c r="L10" i="58"/>
  <c r="E8" i="2" s="1"/>
  <c r="E31" i="2" s="1"/>
  <c r="E32" i="2" s="1"/>
  <c r="E33" i="2" s="1"/>
  <c r="C10" i="59"/>
  <c r="C33" i="57"/>
  <c r="C34" i="59"/>
  <c r="C40" i="59" s="1"/>
  <c r="E16" i="59"/>
  <c r="E15" i="57"/>
  <c r="H48" i="2"/>
  <c r="C13" i="2"/>
  <c r="L16" i="43"/>
  <c r="K25" i="43"/>
  <c r="K26" i="43" s="1"/>
  <c r="K27" i="43" s="1"/>
  <c r="K21" i="59"/>
  <c r="I27" i="51"/>
  <c r="F25" i="43"/>
  <c r="F26" i="43" s="1"/>
  <c r="F27" i="43" s="1"/>
  <c r="F46" i="56"/>
  <c r="F48" i="56" s="1"/>
  <c r="F23" i="56"/>
  <c r="F24" i="56" s="1"/>
  <c r="G46" i="56"/>
  <c r="G48" i="56" s="1"/>
  <c r="G23" i="56"/>
  <c r="G24" i="56" s="1"/>
  <c r="D46" i="56"/>
  <c r="D48" i="56" s="1"/>
  <c r="D23" i="56"/>
  <c r="D24" i="56" s="1"/>
  <c r="H25" i="43"/>
  <c r="H26" i="43" s="1"/>
  <c r="H27" i="43" s="1"/>
  <c r="D49" i="2"/>
  <c r="D42" i="2"/>
  <c r="D25" i="43"/>
  <c r="D26" i="43" s="1"/>
  <c r="D27" i="43" s="1"/>
  <c r="C25" i="43"/>
  <c r="C26" i="43" s="1"/>
  <c r="C27" i="43" s="1"/>
  <c r="C46" i="56"/>
  <c r="C48" i="56" s="1"/>
  <c r="C23" i="56"/>
  <c r="C24" i="56" s="1"/>
  <c r="E46" i="56"/>
  <c r="E48" i="56" s="1"/>
  <c r="E23" i="56"/>
  <c r="E24" i="56" s="1"/>
  <c r="K46" i="56"/>
  <c r="K48" i="56" s="1"/>
  <c r="K23" i="56"/>
  <c r="K24" i="56" s="1"/>
  <c r="E19" i="2"/>
  <c r="G21" i="58"/>
  <c r="I21" i="58"/>
  <c r="F21" i="58"/>
  <c r="C21" i="58"/>
  <c r="K21" i="58"/>
  <c r="E21" i="58"/>
  <c r="D21" i="58"/>
  <c r="L23" i="58"/>
  <c r="H21" i="58"/>
  <c r="C15" i="2"/>
  <c r="L23" i="43"/>
  <c r="L24" i="43" s="1"/>
  <c r="I25" i="43"/>
  <c r="I26" i="43" s="1"/>
  <c r="I27" i="43" s="1"/>
  <c r="E25" i="43"/>
  <c r="E26" i="43" s="1"/>
  <c r="E27" i="43" s="1"/>
  <c r="I26" i="51"/>
  <c r="H61" i="2" s="1"/>
  <c r="G25" i="43"/>
  <c r="G26" i="43" s="1"/>
  <c r="G27" i="43" s="1"/>
  <c r="I46" i="56"/>
  <c r="I48" i="56" s="1"/>
  <c r="I23" i="56"/>
  <c r="I24" i="56" s="1"/>
  <c r="L23" i="56"/>
  <c r="H46" i="56"/>
  <c r="H48" i="56" s="1"/>
  <c r="H23" i="56"/>
  <c r="H24" i="56" s="1"/>
  <c r="J25" i="58" l="1"/>
  <c r="J26" i="58" s="1"/>
  <c r="J27" i="58" s="1"/>
  <c r="D13" i="2"/>
  <c r="D39" i="2" s="1"/>
  <c r="D10" i="57"/>
  <c r="D15" i="57" s="1"/>
  <c r="D34" i="57"/>
  <c r="D40" i="57" s="1"/>
  <c r="D48" i="57" s="1"/>
  <c r="C10" i="57"/>
  <c r="C34" i="57"/>
  <c r="C40" i="57" s="1"/>
  <c r="C48" i="57" s="1"/>
  <c r="L15" i="58"/>
  <c r="L24" i="58" s="1"/>
  <c r="C16" i="58"/>
  <c r="C15" i="59"/>
  <c r="K10" i="59"/>
  <c r="F8" i="2" s="1"/>
  <c r="E16" i="57"/>
  <c r="E24" i="57"/>
  <c r="E25" i="57" s="1"/>
  <c r="E26" i="57" s="1"/>
  <c r="E27" i="57" s="1"/>
  <c r="C14" i="2"/>
  <c r="C39" i="2"/>
  <c r="L24" i="56"/>
  <c r="D21" i="2"/>
  <c r="E21" i="2"/>
  <c r="K46" i="58"/>
  <c r="K48" i="58" s="1"/>
  <c r="K23" i="58"/>
  <c r="K24" i="58" s="1"/>
  <c r="K25" i="56"/>
  <c r="K26" i="56" s="1"/>
  <c r="K27" i="56" s="1"/>
  <c r="H25" i="56"/>
  <c r="H26" i="56" s="1"/>
  <c r="H27" i="56" s="1"/>
  <c r="D46" i="58"/>
  <c r="D48" i="58" s="1"/>
  <c r="D23" i="58"/>
  <c r="D24" i="58" s="1"/>
  <c r="C25" i="56"/>
  <c r="C26" i="56" s="1"/>
  <c r="C27" i="56" s="1"/>
  <c r="G25" i="56"/>
  <c r="G26" i="56" s="1"/>
  <c r="G27" i="56" s="1"/>
  <c r="L25" i="43"/>
  <c r="L26" i="43" s="1"/>
  <c r="L27" i="43" s="1"/>
  <c r="I23" i="58"/>
  <c r="I24" i="58" s="1"/>
  <c r="I46" i="58"/>
  <c r="I48" i="58" s="1"/>
  <c r="F25" i="56"/>
  <c r="F26" i="56" s="1"/>
  <c r="F27" i="56" s="1"/>
  <c r="F19" i="2"/>
  <c r="I21" i="59"/>
  <c r="D21" i="59"/>
  <c r="J21" i="59"/>
  <c r="G21" i="59"/>
  <c r="K23" i="59"/>
  <c r="C21" i="59"/>
  <c r="F21" i="59"/>
  <c r="H21" i="59"/>
  <c r="E21" i="59"/>
  <c r="I25" i="56"/>
  <c r="I26" i="56" s="1"/>
  <c r="I27" i="56" s="1"/>
  <c r="C42" i="2"/>
  <c r="C49" i="2"/>
  <c r="H15" i="2"/>
  <c r="C21" i="2"/>
  <c r="C46" i="58"/>
  <c r="C48" i="58" s="1"/>
  <c r="C23" i="58"/>
  <c r="C24" i="58" s="1"/>
  <c r="G46" i="58"/>
  <c r="G48" i="58" s="1"/>
  <c r="G23" i="58"/>
  <c r="G24" i="58" s="1"/>
  <c r="H46" i="58"/>
  <c r="H48" i="58" s="1"/>
  <c r="H23" i="58"/>
  <c r="H24" i="58" s="1"/>
  <c r="E46" i="58"/>
  <c r="E48" i="58" s="1"/>
  <c r="E23" i="58"/>
  <c r="E24" i="58" s="1"/>
  <c r="F46" i="58"/>
  <c r="F48" i="58" s="1"/>
  <c r="F23" i="58"/>
  <c r="F24" i="58" s="1"/>
  <c r="H19" i="2"/>
  <c r="H51" i="2" s="1"/>
  <c r="E25" i="56"/>
  <c r="E26" i="56" s="1"/>
  <c r="E27" i="56" s="1"/>
  <c r="D25" i="56"/>
  <c r="D26" i="56" s="1"/>
  <c r="D27" i="56" s="1"/>
  <c r="D40" i="2" l="1"/>
  <c r="D16" i="57"/>
  <c r="D24" i="57"/>
  <c r="D25" i="57" s="1"/>
  <c r="D26" i="57" s="1"/>
  <c r="D27" i="57" s="1"/>
  <c r="F31" i="2"/>
  <c r="F32" i="2" s="1"/>
  <c r="F33" i="2" s="1"/>
  <c r="E13" i="2"/>
  <c r="E39" i="2" s="1"/>
  <c r="E40" i="2" s="1"/>
  <c r="L16" i="58"/>
  <c r="E14" i="2" s="1"/>
  <c r="C16" i="59"/>
  <c r="K15" i="59"/>
  <c r="K24" i="59" s="1"/>
  <c r="C15" i="57"/>
  <c r="K10" i="57"/>
  <c r="G8" i="2" s="1"/>
  <c r="G31" i="2" s="1"/>
  <c r="G32" i="2" s="1"/>
  <c r="G33" i="2" s="1"/>
  <c r="E25" i="58"/>
  <c r="E26" i="58" s="1"/>
  <c r="E27" i="58" s="1"/>
  <c r="C25" i="58"/>
  <c r="C26" i="58" s="1"/>
  <c r="H46" i="59"/>
  <c r="H48" i="59" s="1"/>
  <c r="H23" i="59"/>
  <c r="H24" i="59" s="1"/>
  <c r="I25" i="58"/>
  <c r="I26" i="58" s="1"/>
  <c r="I27" i="58" s="1"/>
  <c r="F23" i="59"/>
  <c r="F24" i="59" s="1"/>
  <c r="F46" i="59"/>
  <c r="F48" i="59" s="1"/>
  <c r="G46" i="59"/>
  <c r="G48" i="59" s="1"/>
  <c r="G23" i="59"/>
  <c r="G24" i="59" s="1"/>
  <c r="I46" i="59"/>
  <c r="I48" i="59" s="1"/>
  <c r="I23" i="59"/>
  <c r="I24" i="59" s="1"/>
  <c r="D25" i="58"/>
  <c r="D26" i="58" s="1"/>
  <c r="D27" i="58" s="1"/>
  <c r="H42" i="2"/>
  <c r="H49" i="2"/>
  <c r="D23" i="59"/>
  <c r="D24" i="59" s="1"/>
  <c r="D46" i="59"/>
  <c r="D48" i="59" s="1"/>
  <c r="K25" i="58"/>
  <c r="K26" i="58" s="1"/>
  <c r="K27" i="58" s="1"/>
  <c r="L25" i="58"/>
  <c r="E23" i="2" s="1"/>
  <c r="E22" i="2"/>
  <c r="F25" i="58"/>
  <c r="F26" i="58" s="1"/>
  <c r="F27" i="58" s="1"/>
  <c r="G25" i="58"/>
  <c r="G26" i="58" s="1"/>
  <c r="G27" i="58" s="1"/>
  <c r="H25" i="58"/>
  <c r="H26" i="58" s="1"/>
  <c r="H27" i="58" s="1"/>
  <c r="C22" i="2"/>
  <c r="C40" i="2"/>
  <c r="E23" i="59"/>
  <c r="E24" i="59" s="1"/>
  <c r="E46" i="59"/>
  <c r="E48" i="59" s="1"/>
  <c r="C23" i="59"/>
  <c r="C24" i="59" s="1"/>
  <c r="C46" i="59"/>
  <c r="C48" i="59" s="1"/>
  <c r="J23" i="59"/>
  <c r="J24" i="59" s="1"/>
  <c r="J46" i="59"/>
  <c r="J48" i="59" s="1"/>
  <c r="L25" i="56"/>
  <c r="D23" i="2" s="1"/>
  <c r="D22" i="2"/>
  <c r="D54" i="2" s="1"/>
  <c r="H8" i="2" l="1"/>
  <c r="H13" i="2" s="1"/>
  <c r="C16" i="57"/>
  <c r="C24" i="57"/>
  <c r="C25" i="57" s="1"/>
  <c r="C26" i="57" s="1"/>
  <c r="C27" i="57" s="1"/>
  <c r="K15" i="57"/>
  <c r="F13" i="2"/>
  <c r="F39" i="2" s="1"/>
  <c r="F40" i="2" s="1"/>
  <c r="K16" i="59"/>
  <c r="F14" i="2" s="1"/>
  <c r="E25" i="59"/>
  <c r="E26" i="59" s="1"/>
  <c r="E27" i="59" s="1"/>
  <c r="C54" i="2"/>
  <c r="C23" i="2"/>
  <c r="C24" i="2" s="1"/>
  <c r="D25" i="59"/>
  <c r="D26" i="59" s="1"/>
  <c r="D27" i="59" s="1"/>
  <c r="G25" i="59"/>
  <c r="G26" i="59" s="1"/>
  <c r="G27" i="59" s="1"/>
  <c r="F25" i="59"/>
  <c r="F26" i="59" s="1"/>
  <c r="F27" i="59" s="1"/>
  <c r="H25" i="59"/>
  <c r="H26" i="59" s="1"/>
  <c r="H27" i="59" s="1"/>
  <c r="L26" i="58"/>
  <c r="C27" i="58"/>
  <c r="C25" i="59"/>
  <c r="C26" i="59" s="1"/>
  <c r="I25" i="59"/>
  <c r="I26" i="59" s="1"/>
  <c r="I27" i="59" s="1"/>
  <c r="L26" i="56"/>
  <c r="J25" i="59"/>
  <c r="J26" i="59" s="1"/>
  <c r="J27" i="59" s="1"/>
  <c r="H21" i="2"/>
  <c r="F22" i="2"/>
  <c r="K25" i="59"/>
  <c r="F23" i="2" s="1"/>
  <c r="H31" i="2" l="1"/>
  <c r="H32" i="2" s="1"/>
  <c r="H33" i="2" s="1"/>
  <c r="K16" i="57"/>
  <c r="G13" i="2"/>
  <c r="G39" i="2" s="1"/>
  <c r="G40" i="2" s="1"/>
  <c r="K24" i="57"/>
  <c r="H39" i="2"/>
  <c r="H40" i="2" s="1"/>
  <c r="H14" i="2"/>
  <c r="K26" i="59"/>
  <c r="C27" i="59"/>
  <c r="H22" i="2"/>
  <c r="D24" i="2"/>
  <c r="L27" i="56"/>
  <c r="D25" i="2" s="1"/>
  <c r="L27" i="58"/>
  <c r="E25" i="2" s="1"/>
  <c r="E24" i="2"/>
  <c r="C25" i="2"/>
  <c r="C60" i="2"/>
  <c r="C59" i="2" s="1"/>
  <c r="C53" i="2"/>
  <c r="K25" i="57" l="1"/>
  <c r="G23" i="2" s="1"/>
  <c r="G22" i="2"/>
  <c r="G54" i="2" s="1"/>
  <c r="D53" i="2"/>
  <c r="D60" i="2"/>
  <c r="D59" i="2" s="1"/>
  <c r="H23" i="2"/>
  <c r="H24" i="2" s="1"/>
  <c r="H54" i="2"/>
  <c r="K27" i="59"/>
  <c r="F25" i="2" s="1"/>
  <c r="F24" i="2"/>
  <c r="K26" i="57" l="1"/>
  <c r="G24" i="2" s="1"/>
  <c r="G60" i="2" s="1"/>
  <c r="G59" i="2" s="1"/>
  <c r="H60" i="2"/>
  <c r="H59" i="2" s="1"/>
  <c r="H53" i="2"/>
  <c r="H25" i="2"/>
  <c r="G53" i="2" l="1"/>
  <c r="K27" i="57"/>
  <c r="G25" i="2" s="1"/>
</calcChain>
</file>

<file path=xl/comments1.xml><?xml version="1.0" encoding="utf-8"?>
<comments xmlns="http://schemas.openxmlformats.org/spreadsheetml/2006/main">
  <authors>
    <author>作者</author>
  </authors>
  <commentList>
    <comment ref="M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E1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2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3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51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6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77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9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10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116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</commentList>
</comments>
</file>

<file path=xl/sharedStrings.xml><?xml version="1.0" encoding="utf-8"?>
<sst xmlns="http://schemas.openxmlformats.org/spreadsheetml/2006/main" count="1440" uniqueCount="322">
  <si>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</si>
  <si>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</si>
  <si>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</si>
  <si>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</si>
  <si>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</si>
  <si>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</si>
  <si>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</si>
  <si>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</si>
  <si>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</si>
  <si>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</si>
  <si>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</si>
  <si>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</si>
  <si>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</si>
  <si>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</si>
  <si>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</si>
  <si>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</si>
  <si>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</si>
  <si>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</si>
  <si>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</si>
  <si>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</si>
  <si>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</si>
  <si>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</si>
  <si>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</si>
  <si>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</si>
  <si>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</si>
  <si>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</si>
  <si>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</si>
  <si>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</si>
  <si>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</si>
  <si>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</si>
  <si>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</si>
  <si>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</si>
  <si>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</si>
  <si>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</si>
  <si>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</si>
  <si>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</si>
  <si>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</si>
  <si>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</si>
  <si>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</si>
  <si>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</si>
  <si>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</si>
  <si>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</si>
  <si>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</si>
  <si>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</si>
  <si>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</si>
  <si>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</si>
  <si>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</si>
  <si>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</si>
  <si>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</si>
  <si>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</si>
  <si>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</si>
  <si>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</si>
  <si>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</si>
  <si>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</si>
  <si>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</si>
  <si>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</si>
  <si>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</si>
  <si>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</si>
  <si>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</si>
  <si>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</si>
  <si>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</si>
  <si>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</si>
  <si>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</si>
  <si>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</si>
  <si>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</si>
  <si>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</si>
  <si>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</si>
  <si>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</si>
  <si>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</si>
  <si>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</si>
  <si>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</si>
  <si>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</si>
  <si>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</si>
  <si>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</si>
  <si>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</si>
  <si>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</si>
  <si>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</si>
  <si>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</si>
  <si>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</si>
  <si>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</si>
  <si>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</si>
  <si>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</si>
  <si>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</si>
  <si>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</si>
  <si>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</si>
  <si>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</si>
  <si>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</si>
  <si>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</si>
  <si>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</si>
  <si>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</si>
  <si>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</si>
  <si>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</si>
  <si>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</si>
  <si>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</si>
  <si>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</si>
  <si>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</si>
  <si>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</si>
  <si>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</si>
  <si>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</si>
  <si>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</si>
  <si>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</si>
  <si>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</si>
  <si>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</si>
  <si>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</si>
  <si>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</si>
  <si>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</si>
  <si>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</si>
  <si>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</si>
  <si>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</si>
  <si>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</si>
  <si>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</si>
  <si>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</si>
  <si>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</si>
  <si>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</si>
  <si>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</si>
  <si>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</si>
  <si>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</si>
  <si>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</si>
  <si>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</si>
  <si>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</si>
  <si>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</si>
  <si>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</si>
  <si>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</si>
  <si>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</si>
  <si>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</si>
  <si>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</si>
  <si>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</si>
  <si>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</si>
  <si>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</si>
  <si>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</si>
  <si>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</si>
  <si>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</si>
  <si>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</si>
  <si>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</si>
  <si>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</si>
  <si>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</si>
  <si>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</si>
  <si>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</si>
  <si>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</si>
  <si>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</si>
  <si>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</si>
  <si>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</si>
  <si>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</si>
  <si>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</si>
  <si>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</si>
  <si>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</si>
  <si>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</si>
  <si>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</si>
  <si>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</si>
  <si>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</si>
  <si>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</si>
  <si>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</si>
  <si>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</si>
  <si>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</si>
  <si>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</si>
  <si>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</si>
  <si>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</si>
  <si>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</si>
  <si>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</si>
  <si>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</si>
  <si>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</si>
  <si>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</si>
  <si>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</si>
  <si>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</si>
  <si>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</si>
  <si>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</si>
  <si>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</si>
  <si>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</si>
  <si>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</si>
  <si>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</si>
  <si>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</si>
  <si>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</si>
  <si>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</si>
  <si>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</si>
  <si>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</si>
  <si>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</si>
  <si>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</si>
  <si>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</si>
  <si>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</si>
  <si>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</si>
  <si>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</si>
  <si>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</si>
  <si>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</si>
  <si>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</si>
  <si>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</si>
  <si>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</si>
  <si>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</si>
  <si>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</si>
  <si>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</si>
  <si>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</si>
  <si>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</si>
  <si>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</si>
  <si>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</si>
  <si>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</si>
  <si>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</si>
  <si>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</si>
  <si>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</si>
  <si>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</si>
  <si>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</si>
  <si>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</si>
  <si>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</si>
  <si>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</si>
  <si>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</si>
  <si>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</si>
  <si>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</si>
  <si>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</si>
  <si>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</si>
  <si>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</si>
  <si>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</si>
  <si>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</si>
  <si>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</si>
  <si>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</si>
  <si>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</si>
  <si>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</si>
  <si>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</si>
  <si>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</si>
  <si>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</si>
  <si>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</si>
  <si>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</si>
  <si>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7" type="noConversion"/>
  </si>
  <si>
    <t>座椅单件金额</t>
    <phoneticPr fontId="37" type="noConversion"/>
  </si>
  <si>
    <t>后视镜单件金额</t>
    <phoneticPr fontId="37" type="noConversion"/>
  </si>
  <si>
    <t>综合占收入比率</t>
    <phoneticPr fontId="37" type="noConversion"/>
  </si>
  <si>
    <t>后视镜占收入比率</t>
    <phoneticPr fontId="37" type="noConversion"/>
  </si>
  <si>
    <t>座椅占收入比率</t>
    <phoneticPr fontId="37" type="noConversion"/>
  </si>
  <si>
    <t>产品名称</t>
    <phoneticPr fontId="37" type="noConversion"/>
  </si>
  <si>
    <t>2026年</t>
  </si>
  <si>
    <t xml:space="preserve">2025年  </t>
    <phoneticPr fontId="37" type="noConversion"/>
  </si>
  <si>
    <t xml:space="preserve">2026年  </t>
    <phoneticPr fontId="37" type="noConversion"/>
  </si>
  <si>
    <t>所得税(税率15%）</t>
    <phoneticPr fontId="37" type="noConversion"/>
  </si>
  <si>
    <t xml:space="preserve">    3年</t>
    <phoneticPr fontId="37" type="noConversion"/>
  </si>
  <si>
    <t>所得税(税率25%）</t>
    <phoneticPr fontId="37" type="noConversion"/>
  </si>
  <si>
    <t>所得税(税率15%）</t>
    <phoneticPr fontId="37" type="noConversion"/>
  </si>
  <si>
    <t>财务费用按集团水平。</t>
    <phoneticPr fontId="37" type="noConversion"/>
  </si>
  <si>
    <t xml:space="preserve">2027年  </t>
    <phoneticPr fontId="37" type="noConversion"/>
  </si>
  <si>
    <t xml:space="preserve">2024年  </t>
    <phoneticPr fontId="37" type="noConversion"/>
  </si>
  <si>
    <t xml:space="preserve">2023年  </t>
    <phoneticPr fontId="37" type="noConversion"/>
  </si>
  <si>
    <t xml:space="preserve">座椅项目研发费用预算表 </t>
    <phoneticPr fontId="37" type="noConversion"/>
  </si>
  <si>
    <t>2027年</t>
  </si>
  <si>
    <t>2028年</t>
  </si>
  <si>
    <t>变动费用参考河北工厂2021年实际及2022预算暂估。</t>
    <phoneticPr fontId="37" type="noConversion"/>
  </si>
  <si>
    <t>预测工厂产能满足客户订单，新增生产设备。</t>
    <phoneticPr fontId="37" type="noConversion"/>
  </si>
  <si>
    <t>2029年</t>
  </si>
  <si>
    <t>产品图号/物料号</t>
    <phoneticPr fontId="37" type="noConversion"/>
  </si>
  <si>
    <t>QAD号为老产品物料号，仅供参考</t>
    <phoneticPr fontId="37" type="noConversion"/>
  </si>
  <si>
    <t>材料成本年降汇总表</t>
    <phoneticPr fontId="37" type="noConversion"/>
  </si>
  <si>
    <t>开发费分摊情况</t>
  </si>
  <si>
    <t>产品应用场景</t>
  </si>
  <si>
    <t>三包周期</t>
  </si>
  <si>
    <t>综合占收入比率</t>
    <phoneticPr fontId="37" type="noConversion"/>
  </si>
  <si>
    <t>不含包装费</t>
    <phoneticPr fontId="37" type="noConversion"/>
  </si>
  <si>
    <t>成本</t>
    <phoneticPr fontId="37" type="noConversion"/>
  </si>
  <si>
    <t>附加值</t>
    <phoneticPr fontId="37" type="noConversion"/>
  </si>
  <si>
    <t>附加值率</t>
    <phoneticPr fontId="37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</si>
  <si>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</si>
  <si>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</si>
  <si>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</si>
  <si>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r>
      <t>2022</t>
    </r>
    <r>
      <rPr>
        <b/>
        <sz val="10"/>
        <rFont val="宋体"/>
        <family val="3"/>
        <charset val="134"/>
      </rPr>
      <t>年</t>
    </r>
    <phoneticPr fontId="37" type="noConversion"/>
  </si>
  <si>
    <r>
      <t>2023年</t>
    </r>
    <r>
      <rPr>
        <b/>
        <sz val="10"/>
        <rFont val="宋体"/>
        <family val="3"/>
        <charset val="134"/>
      </rPr>
      <t/>
    </r>
  </si>
  <si>
    <t>产品号</t>
    <phoneticPr fontId="37" type="noConversion"/>
  </si>
  <si>
    <t>单件边际贡献</t>
    <phoneticPr fontId="37" type="noConversion"/>
  </si>
  <si>
    <t>目标成本</t>
    <phoneticPr fontId="37" type="noConversion"/>
  </si>
  <si>
    <t>需降本</t>
    <phoneticPr fontId="37" type="noConversion"/>
  </si>
  <si>
    <t>单位：元</t>
    <phoneticPr fontId="37" type="noConversion"/>
  </si>
  <si>
    <t>分摊</t>
    <phoneticPr fontId="34" type="noConversion"/>
  </si>
  <si>
    <t>公路载货车</t>
    <phoneticPr fontId="34" type="noConversion"/>
  </si>
  <si>
    <t>18月</t>
    <phoneticPr fontId="34" type="noConversion"/>
  </si>
  <si>
    <t>其他</t>
    <phoneticPr fontId="34" type="noConversion"/>
  </si>
  <si>
    <t>涂红色处为必填项</t>
    <phoneticPr fontId="34" type="noConversion"/>
  </si>
  <si>
    <t>黄骅</t>
    <phoneticPr fontId="34" type="noConversion"/>
  </si>
  <si>
    <t>济宁/济南</t>
    <phoneticPr fontId="34" type="noConversion"/>
  </si>
  <si>
    <t>送货地点</t>
    <phoneticPr fontId="34" type="noConversion"/>
  </si>
  <si>
    <t>商业承兑</t>
    <phoneticPr fontId="34" type="noConversion"/>
  </si>
  <si>
    <t>现汇或承兑的比例</t>
    <phoneticPr fontId="34" type="noConversion"/>
  </si>
  <si>
    <t>工装运输</t>
    <phoneticPr fontId="34" type="noConversion"/>
  </si>
  <si>
    <t>驻场服务</t>
    <phoneticPr fontId="34" type="noConversion"/>
  </si>
  <si>
    <t>同现卡车TX产品</t>
    <phoneticPr fontId="34" type="noConversion"/>
  </si>
  <si>
    <t>待商定</t>
    <phoneticPr fontId="34" type="noConversion"/>
  </si>
  <si>
    <t>包含所有的主、辅料</t>
    <phoneticPr fontId="34" type="noConversion"/>
  </si>
  <si>
    <t>无</t>
    <phoneticPr fontId="34" type="noConversion"/>
  </si>
  <si>
    <t>材料成本（连降4%）</t>
    <phoneticPr fontId="37" type="noConversion"/>
  </si>
  <si>
    <t>2023年</t>
    <phoneticPr fontId="37" type="noConversion"/>
  </si>
  <si>
    <t>2030年</t>
  </si>
  <si>
    <t>销售价格（未税）：由营销部门提供，包括年降4%。</t>
    <phoneticPr fontId="37" type="noConversion"/>
  </si>
  <si>
    <t>成本预估根据项目经理提供资料估算。供应商年度降价与销价降价同步。</t>
    <phoneticPr fontId="37" type="noConversion"/>
  </si>
  <si>
    <t>供应商年降：    连降4%</t>
    <phoneticPr fontId="37" type="noConversion"/>
  </si>
  <si>
    <t>豪瀚大轻卡座椅项目投资收益分析</t>
    <phoneticPr fontId="37" type="noConversion"/>
  </si>
  <si>
    <t>ZY2319</t>
    <phoneticPr fontId="37" type="noConversion"/>
  </si>
  <si>
    <t>中间座座垫发泡、靠背加厚发泡模具</t>
    <phoneticPr fontId="34" type="noConversion"/>
  </si>
  <si>
    <t>中间座焊接夹具</t>
    <phoneticPr fontId="34" type="noConversion"/>
  </si>
  <si>
    <t>中间座椅座框骨架焊接总成（供应商1个/我司1个）-每个检具1.2万元左右</t>
    <phoneticPr fontId="34" type="noConversion"/>
  </si>
  <si>
    <t>冲切刀模</t>
    <phoneticPr fontId="56" type="noConversion"/>
  </si>
  <si>
    <t>240h*125</t>
    <phoneticPr fontId="34" type="noConversion"/>
  </si>
  <si>
    <t>前期样件10台，装车验证10台，小批量30台</t>
    <phoneticPr fontId="34" type="noConversion"/>
  </si>
  <si>
    <t>强检试验费用，与ZY2265通用</t>
    <phoneticPr fontId="34" type="noConversion"/>
  </si>
  <si>
    <t>总成上线工装车18台9万（主、副、中间座）</t>
    <phoneticPr fontId="34" type="noConversion"/>
  </si>
  <si>
    <t>4套中间座冲压模具</t>
    <phoneticPr fontId="34" type="noConversion"/>
  </si>
  <si>
    <t>副驾座椅（NX/通风面料）</t>
  </si>
  <si>
    <t>中间座椅总成 （NX）</t>
  </si>
  <si>
    <t>驾驶员座椅总成 （NX/阻尼可调/通风加热）</t>
  </si>
  <si>
    <t>驾驶员座椅总成 （NX/阻尼可调）</t>
  </si>
  <si>
    <t>驾驶员座椅总成 （NX）</t>
  </si>
  <si>
    <t>中间座椅总成 （NX/安全带未系报警）</t>
  </si>
  <si>
    <t>副驾座椅（NX/安全带未系报警）</t>
  </si>
  <si>
    <t>副驾座椅（NX/通风面料/安全带未系报警）</t>
  </si>
  <si>
    <t>LZ161751100450</t>
  </si>
  <si>
    <t>LZ161751100430</t>
  </si>
  <si>
    <t>LZ161751100420</t>
  </si>
  <si>
    <t>LZ161751100410</t>
  </si>
  <si>
    <t>LZ161751100465</t>
  </si>
  <si>
    <t>LZ161751100445</t>
  </si>
  <si>
    <t>LZ161751100455</t>
  </si>
  <si>
    <t>靠背发泡重新开发、坐垫为陕汽</t>
  </si>
  <si>
    <r>
      <rPr>
        <sz val="10"/>
        <rFont val="宋体"/>
        <family val="3"/>
        <charset val="134"/>
      </rPr>
      <t>副驾座椅（</t>
    </r>
    <r>
      <rPr>
        <sz val="10"/>
        <rFont val="Calibri"/>
        <family val="2"/>
      </rPr>
      <t>NX</t>
    </r>
    <r>
      <rPr>
        <sz val="10"/>
        <rFont val="宋体"/>
        <family val="3"/>
        <charset val="134"/>
      </rPr>
      <t>）</t>
    </r>
    <phoneticPr fontId="34" type="noConversion"/>
  </si>
  <si>
    <t>LZ161751100440</t>
    <phoneticPr fontId="34" type="noConversion"/>
  </si>
  <si>
    <t>LZ161751100460</t>
    <phoneticPr fontId="34" type="noConversion"/>
  </si>
  <si>
    <t>陕汽造型管式结构、靠背调节、集成安全带</t>
    <phoneticPr fontId="34" type="noConversion"/>
  </si>
  <si>
    <t>靠背发泡重新开发、坐垫为陕汽</t>
    <phoneticPr fontId="34" type="noConversion"/>
  </si>
  <si>
    <t>2.1C平台 气动升降、靠背调节、前后调节、集成三点式安全带、速升速降、可变阻尼、通风加热、陕汽造型</t>
    <phoneticPr fontId="34" type="noConversion"/>
  </si>
  <si>
    <t>2.2C平台 气动升降、靠背调节、前后调节、集成三点式安全带、速升速降、可变阻尼、陕汽造型</t>
    <phoneticPr fontId="34" type="noConversion"/>
  </si>
  <si>
    <t>2.1C平台 气动升降、靠背调节、前后调节、集成三点式安全带、、陕汽造型</t>
    <phoneticPr fontId="34" type="noConversion"/>
  </si>
  <si>
    <t>中国重汽集团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</si>
</sst>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4"/>
      <color rgb="FF000000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rgb="FFFF0000"/>
      <name val="微软雅黑"/>
      <family val="2"/>
      <charset val="134"/>
    </font>
    <font>
      <b/>
      <sz val="14"/>
      <name val="微软雅黑"/>
      <family val="2"/>
      <charset val="134"/>
    </font>
    <font>
      <sz val="14"/>
      <color rgb="FF000000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宋体"/>
      <family val="2"/>
      <charset val="134"/>
      <scheme val="minor"/>
    </font>
    <font>
      <sz val="10"/>
      <name val="Calibri"/>
      <family val="2"/>
    </font>
    <font>
      <sz val="10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AFAFA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3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27" fillId="0" borderId="0"/>
    <xf numFmtId="9" fontId="36" fillId="0" borderId="0" applyFont="0" applyFill="0" applyBorder="0" applyAlignment="0" applyProtection="0">
      <alignment vertical="center"/>
    </xf>
    <xf numFmtId="0" fontId="30" fillId="0" borderId="0"/>
    <xf numFmtId="0" fontId="29" fillId="0" borderId="0">
      <alignment vertical="center"/>
    </xf>
    <xf numFmtId="0" fontId="28" fillId="0" borderId="0"/>
    <xf numFmtId="1" fontId="31" fillId="0" borderId="1" applyBorder="0"/>
    <xf numFmtId="43" fontId="32" fillId="0" borderId="0" applyFont="0" applyFill="0" applyBorder="0" applyAlignment="0" applyProtection="0">
      <alignment vertical="center"/>
    </xf>
    <xf numFmtId="0" fontId="28" fillId="0" borderId="0"/>
    <xf numFmtId="0" fontId="39" fillId="0" borderId="1" applyNumberFormat="0" applyFill="0" applyBorder="0" applyAlignment="0" applyProtection="0">
      <alignment vertical="center"/>
    </xf>
    <xf numFmtId="0" fontId="26" fillId="0" borderId="0">
      <alignment vertical="center"/>
    </xf>
    <xf numFmtId="43" fontId="26" fillId="0" borderId="0" applyFont="0" applyFill="0" applyBorder="0" applyAlignment="0" applyProtection="0">
      <alignment vertical="center"/>
    </xf>
  </cellStyleXfs>
  <cellXfs count="30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43" fontId="2" fillId="0" borderId="0" xfId="1" applyFont="1">
      <alignment vertical="center"/>
    </xf>
    <xf numFmtId="43" fontId="0" fillId="0" borderId="0" xfId="1" applyFont="1">
      <alignment vertical="center"/>
    </xf>
    <xf numFmtId="177" fontId="8" fillId="5" borderId="1" xfId="4" applyNumberFormat="1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0" fontId="8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9" fillId="0" borderId="1" xfId="4" applyNumberFormat="1" applyFont="1" applyFill="1" applyBorder="1" applyAlignment="1">
      <alignment horizontal="left" vertical="center"/>
    </xf>
    <xf numFmtId="43" fontId="9" fillId="2" borderId="1" xfId="1" applyFont="1" applyFill="1" applyBorder="1" applyAlignment="1">
      <alignment horizontal="center" vertical="center"/>
    </xf>
    <xf numFmtId="0" fontId="10" fillId="4" borderId="1" xfId="2" applyNumberFormat="1" applyFont="1" applyFill="1" applyBorder="1" applyAlignment="1" applyProtection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9" fillId="0" borderId="4" xfId="4" applyNumberFormat="1" applyFont="1" applyFill="1" applyBorder="1" applyAlignment="1">
      <alignment horizontal="center" vertical="center"/>
    </xf>
    <xf numFmtId="177" fontId="9" fillId="0" borderId="4" xfId="4" applyNumberFormat="1" applyFont="1" applyFill="1" applyBorder="1" applyAlignment="1">
      <alignment horizontal="left" vertical="center" wrapText="1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43" fontId="15" fillId="0" borderId="0" xfId="1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9" fontId="15" fillId="0" borderId="1" xfId="3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43" fontId="13" fillId="0" borderId="1" xfId="1" applyFont="1" applyFill="1" applyBorder="1">
      <alignment vertical="center"/>
    </xf>
    <xf numFmtId="43" fontId="15" fillId="0" borderId="1" xfId="1" applyFont="1" applyFill="1" applyBorder="1">
      <alignment vertical="center"/>
    </xf>
    <xf numFmtId="0" fontId="14" fillId="0" borderId="1" xfId="0" applyFont="1" applyFill="1" applyBorder="1">
      <alignment vertical="center"/>
    </xf>
    <xf numFmtId="9" fontId="15" fillId="0" borderId="1" xfId="3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horizontal="center" vertical="center"/>
    </xf>
    <xf numFmtId="43" fontId="15" fillId="0" borderId="1" xfId="0" applyNumberFormat="1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5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5" fillId="0" borderId="0" xfId="0" applyNumberFormat="1" applyFont="1" applyFill="1">
      <alignment vertical="center"/>
    </xf>
    <xf numFmtId="0" fontId="18" fillId="0" borderId="0" xfId="0" applyFont="1" applyFill="1">
      <alignment vertical="center"/>
    </xf>
    <xf numFmtId="179" fontId="15" fillId="0" borderId="0" xfId="0" applyNumberFormat="1" applyFont="1" applyFill="1">
      <alignment vertical="center"/>
    </xf>
    <xf numFmtId="1" fontId="9" fillId="4" borderId="0" xfId="2" applyNumberFormat="1" applyFont="1" applyFill="1" applyProtection="1"/>
    <xf numFmtId="0" fontId="9" fillId="4" borderId="0" xfId="2" applyFont="1" applyFill="1" applyProtection="1"/>
    <xf numFmtId="0" fontId="19" fillId="4" borderId="0" xfId="2" applyFont="1" applyFill="1" applyAlignment="1" applyProtection="1">
      <alignment horizontal="centerContinuous"/>
    </xf>
    <xf numFmtId="0" fontId="9" fillId="4" borderId="0" xfId="2" applyFont="1" applyFill="1" applyAlignment="1">
      <alignment horizontal="centerContinuous"/>
    </xf>
    <xf numFmtId="0" fontId="9" fillId="4" borderId="0" xfId="2" applyFont="1" applyFill="1" applyAlignment="1" applyProtection="1">
      <alignment horizontal="centerContinuous"/>
    </xf>
    <xf numFmtId="9" fontId="9" fillId="4" borderId="0" xfId="2" applyNumberFormat="1" applyFont="1" applyFill="1" applyProtection="1"/>
    <xf numFmtId="0" fontId="9" fillId="4" borderId="5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center"/>
    </xf>
    <xf numFmtId="0" fontId="11" fillId="4" borderId="2" xfId="2" applyFont="1" applyFill="1" applyBorder="1" applyAlignment="1" applyProtection="1">
      <alignment horizontal="center"/>
    </xf>
    <xf numFmtId="1" fontId="11" fillId="4" borderId="2" xfId="7" applyFont="1" applyFill="1" applyBorder="1"/>
    <xf numFmtId="1" fontId="9" fillId="4" borderId="2" xfId="7" applyFont="1" applyFill="1" applyBorder="1"/>
    <xf numFmtId="0" fontId="9" fillId="4" borderId="6" xfId="2" applyFont="1" applyFill="1" applyBorder="1" applyProtection="1"/>
    <xf numFmtId="0" fontId="9" fillId="4" borderId="1" xfId="2" applyFont="1" applyFill="1" applyBorder="1" applyAlignment="1" applyProtection="1">
      <alignment horizontal="center"/>
    </xf>
    <xf numFmtId="0" fontId="9" fillId="4" borderId="1" xfId="2" applyFont="1" applyFill="1" applyBorder="1" applyAlignment="1" applyProtection="1">
      <alignment horizontal="left"/>
    </xf>
    <xf numFmtId="0" fontId="9" fillId="6" borderId="1" xfId="2" applyFont="1" applyFill="1" applyBorder="1" applyProtection="1"/>
    <xf numFmtId="178" fontId="9" fillId="6" borderId="1" xfId="1" applyNumberFormat="1" applyFont="1" applyFill="1" applyBorder="1" applyAlignment="1" applyProtection="1"/>
    <xf numFmtId="0" fontId="9" fillId="4" borderId="1" xfId="2" applyFont="1" applyFill="1" applyBorder="1" applyProtection="1"/>
    <xf numFmtId="178" fontId="9" fillId="4" borderId="1" xfId="1" applyNumberFormat="1" applyFont="1" applyFill="1" applyBorder="1" applyAlignment="1" applyProtection="1"/>
    <xf numFmtId="0" fontId="9" fillId="4" borderId="1" xfId="2" applyNumberFormat="1" applyFont="1" applyFill="1" applyBorder="1" applyAlignment="1" applyProtection="1">
      <alignment horizontal="left"/>
    </xf>
    <xf numFmtId="1" fontId="9" fillId="4" borderId="1" xfId="2" applyNumberFormat="1" applyFont="1" applyFill="1" applyBorder="1" applyProtection="1"/>
    <xf numFmtId="1" fontId="9" fillId="4" borderId="1" xfId="2" applyNumberFormat="1" applyFont="1" applyFill="1" applyBorder="1" applyAlignment="1" applyProtection="1">
      <alignment horizontal="left"/>
    </xf>
    <xf numFmtId="0" fontId="9" fillId="4" borderId="9" xfId="2" applyFont="1" applyFill="1" applyBorder="1" applyProtection="1"/>
    <xf numFmtId="0" fontId="9" fillId="4" borderId="10" xfId="2" applyFont="1" applyFill="1" applyBorder="1" applyProtection="1"/>
    <xf numFmtId="0" fontId="9" fillId="4" borderId="11" xfId="2" applyFont="1" applyFill="1" applyBorder="1" applyProtection="1"/>
    <xf numFmtId="0" fontId="9" fillId="4" borderId="0" xfId="2" applyFont="1" applyFill="1" applyBorder="1" applyProtection="1"/>
    <xf numFmtId="176" fontId="9" fillId="4" borderId="0" xfId="2" applyNumberFormat="1" applyFont="1" applyFill="1" applyBorder="1" applyProtection="1"/>
    <xf numFmtId="10" fontId="9" fillId="4" borderId="0" xfId="2" applyNumberFormat="1" applyFont="1" applyFill="1" applyBorder="1" applyProtection="1"/>
    <xf numFmtId="1" fontId="9" fillId="4" borderId="0" xfId="2" applyNumberFormat="1" applyFont="1" applyFill="1" applyBorder="1" applyProtection="1"/>
    <xf numFmtId="0" fontId="9" fillId="4" borderId="12" xfId="2" applyFont="1" applyFill="1" applyBorder="1" applyProtection="1"/>
    <xf numFmtId="0" fontId="9" fillId="4" borderId="8" xfId="2" applyFont="1" applyFill="1" applyBorder="1" applyProtection="1"/>
    <xf numFmtId="2" fontId="9" fillId="4" borderId="8" xfId="2" applyNumberFormat="1" applyFont="1" applyFill="1" applyBorder="1" applyProtection="1"/>
    <xf numFmtId="0" fontId="9" fillId="4" borderId="3" xfId="2" applyFont="1" applyFill="1" applyBorder="1"/>
    <xf numFmtId="1" fontId="9" fillId="4" borderId="6" xfId="7" applyFont="1" applyFill="1" applyBorder="1" applyAlignment="1">
      <alignment horizontal="center"/>
    </xf>
    <xf numFmtId="0" fontId="9" fillId="4" borderId="13" xfId="2" applyFont="1" applyFill="1" applyBorder="1" applyProtection="1"/>
    <xf numFmtId="0" fontId="9" fillId="4" borderId="14" xfId="2" applyFont="1" applyFill="1" applyBorder="1" applyProtection="1"/>
    <xf numFmtId="0" fontId="9" fillId="4" borderId="15" xfId="2" applyFont="1" applyFill="1" applyBorder="1" applyProtection="1"/>
    <xf numFmtId="0" fontId="14" fillId="0" borderId="0" xfId="0" applyFont="1">
      <alignment vertical="center"/>
    </xf>
    <xf numFmtId="0" fontId="15" fillId="0" borderId="0" xfId="0" applyFont="1" applyBorder="1">
      <alignment vertical="center"/>
    </xf>
    <xf numFmtId="0" fontId="15" fillId="0" borderId="0" xfId="0" applyFont="1">
      <alignment vertical="center"/>
    </xf>
    <xf numFmtId="43" fontId="15" fillId="0" borderId="0" xfId="1" applyFont="1">
      <alignment vertical="center"/>
    </xf>
    <xf numFmtId="43" fontId="21" fillId="0" borderId="1" xfId="1" applyFont="1" applyFill="1" applyBorder="1" applyAlignment="1">
      <alignment horizontal="center" vertical="center" wrapText="1"/>
    </xf>
    <xf numFmtId="178" fontId="15" fillId="0" borderId="1" xfId="1" applyNumberFormat="1" applyFont="1" applyFill="1" applyBorder="1" applyAlignment="1">
      <alignment horizontal="center" vertical="center"/>
    </xf>
    <xf numFmtId="178" fontId="14" fillId="0" borderId="1" xfId="1" applyNumberFormat="1" applyFont="1" applyFill="1" applyBorder="1" applyAlignment="1">
      <alignment horizontal="center" vertical="center"/>
    </xf>
    <xf numFmtId="0" fontId="15" fillId="3" borderId="1" xfId="0" applyFont="1" applyFill="1" applyBorder="1">
      <alignment vertical="center"/>
    </xf>
    <xf numFmtId="0" fontId="17" fillId="6" borderId="1" xfId="0" applyFont="1" applyFill="1" applyBorder="1">
      <alignment vertical="center"/>
    </xf>
    <xf numFmtId="178" fontId="14" fillId="6" borderId="1" xfId="1" applyNumberFormat="1" applyFont="1" applyFill="1" applyBorder="1" applyAlignment="1">
      <alignment horizontal="center" vertical="center"/>
    </xf>
    <xf numFmtId="0" fontId="22" fillId="0" borderId="1" xfId="0" applyFont="1" applyFill="1" applyBorder="1">
      <alignment vertical="center"/>
    </xf>
    <xf numFmtId="0" fontId="15" fillId="0" borderId="1" xfId="0" applyFont="1" applyBorder="1">
      <alignment vertical="center"/>
    </xf>
    <xf numFmtId="10" fontId="14" fillId="0" borderId="1" xfId="3" applyNumberFormat="1" applyFont="1" applyBorder="1" applyAlignment="1">
      <alignment vertical="center"/>
    </xf>
    <xf numFmtId="178" fontId="14" fillId="0" borderId="1" xfId="1" applyNumberFormat="1" applyFont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178" fontId="15" fillId="0" borderId="1" xfId="1" applyNumberFormat="1" applyFont="1" applyBorder="1" applyAlignment="1">
      <alignment horizontal="center" vertical="center"/>
    </xf>
    <xf numFmtId="10" fontId="15" fillId="0" borderId="1" xfId="3" applyNumberFormat="1" applyFont="1" applyBorder="1">
      <alignment vertical="center"/>
    </xf>
    <xf numFmtId="10" fontId="15" fillId="0" borderId="0" xfId="3" applyNumberFormat="1" applyFont="1" applyBorder="1">
      <alignment vertical="center"/>
    </xf>
    <xf numFmtId="43" fontId="15" fillId="0" borderId="0" xfId="1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10" fontId="15" fillId="0" borderId="1" xfId="3" applyNumberFormat="1" applyFont="1" applyFill="1" applyBorder="1" applyAlignment="1">
      <alignment horizontal="center" vertical="center"/>
    </xf>
    <xf numFmtId="10" fontId="15" fillId="0" borderId="1" xfId="3" applyNumberFormat="1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3" fontId="15" fillId="0" borderId="1" xfId="1" applyFont="1" applyBorder="1">
      <alignment vertical="center"/>
    </xf>
    <xf numFmtId="178" fontId="15" fillId="0" borderId="1" xfId="1" applyNumberFormat="1" applyFont="1" applyBorder="1">
      <alignment vertical="center"/>
    </xf>
    <xf numFmtId="43" fontId="15" fillId="0" borderId="0" xfId="0" applyNumberFormat="1" applyFont="1" applyFill="1" applyBorder="1">
      <alignment vertical="center"/>
    </xf>
    <xf numFmtId="0" fontId="14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15" fillId="0" borderId="5" xfId="0" applyFont="1" applyBorder="1">
      <alignment vertical="center"/>
    </xf>
    <xf numFmtId="0" fontId="23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 readingOrder="1"/>
    </xf>
    <xf numFmtId="0" fontId="23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25" fillId="0" borderId="1" xfId="0" applyFont="1" applyBorder="1" applyAlignment="1">
      <alignment horizontal="left" vertical="center" wrapText="1" readingOrder="1"/>
    </xf>
    <xf numFmtId="0" fontId="25" fillId="0" borderId="1" xfId="0" applyFont="1" applyFill="1" applyBorder="1" applyAlignment="1">
      <alignment horizontal="left" vertical="center" wrapText="1" readingOrder="1"/>
    </xf>
    <xf numFmtId="0" fontId="25" fillId="0" borderId="1" xfId="0" applyFont="1" applyBorder="1" applyAlignment="1">
      <alignment horizontal="center" vertical="center" wrapText="1" readingOrder="1"/>
    </xf>
    <xf numFmtId="0" fontId="25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6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1" fillId="0" borderId="1" xfId="1" applyFont="1" applyFill="1" applyBorder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6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18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left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15" fillId="0" borderId="7" xfId="3" applyFont="1" applyFill="1" applyBorder="1">
      <alignment vertical="center"/>
    </xf>
    <xf numFmtId="178" fontId="15" fillId="7" borderId="1" xfId="1" applyNumberFormat="1" applyFont="1" applyFill="1" applyBorder="1" applyAlignment="1">
      <alignment horizontal="center" vertical="center"/>
    </xf>
    <xf numFmtId="43" fontId="15" fillId="0" borderId="7" xfId="1" applyFont="1" applyFill="1" applyBorder="1">
      <alignment vertical="center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44" fillId="0" borderId="16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3" fontId="2" fillId="0" borderId="1" xfId="1" applyFont="1" applyBorder="1">
      <alignment vertical="center"/>
    </xf>
    <xf numFmtId="0" fontId="2" fillId="0" borderId="1" xfId="0" applyFont="1" applyFill="1" applyBorder="1">
      <alignment vertical="center"/>
    </xf>
    <xf numFmtId="43" fontId="2" fillId="0" borderId="1" xfId="1" applyFont="1" applyFill="1" applyBorder="1">
      <alignment vertical="center"/>
    </xf>
    <xf numFmtId="43" fontId="4" fillId="0" borderId="1" xfId="1" applyFont="1" applyFill="1" applyBorder="1">
      <alignment vertical="center"/>
    </xf>
    <xf numFmtId="0" fontId="40" fillId="2" borderId="1" xfId="0" applyFont="1" applyFill="1" applyBorder="1" applyAlignment="1">
      <alignment horizontal="center" vertical="center"/>
    </xf>
    <xf numFmtId="43" fontId="45" fillId="0" borderId="1" xfId="0" applyNumberFormat="1" applyFont="1" applyFill="1" applyBorder="1" applyAlignment="1">
      <alignment horizontal="center" vertical="center"/>
    </xf>
    <xf numFmtId="9" fontId="45" fillId="0" borderId="1" xfId="3" applyFont="1" applyFill="1" applyBorder="1" applyAlignment="1">
      <alignment horizontal="center" vertical="center"/>
    </xf>
    <xf numFmtId="10" fontId="45" fillId="0" borderId="1" xfId="3" applyNumberFormat="1" applyFont="1" applyFill="1" applyBorder="1" applyAlignment="1">
      <alignment horizontal="center" vertical="center"/>
    </xf>
    <xf numFmtId="0" fontId="46" fillId="0" borderId="1" xfId="0" applyFont="1" applyBorder="1">
      <alignment vertical="center"/>
    </xf>
    <xf numFmtId="0" fontId="48" fillId="0" borderId="0" xfId="0" applyFont="1">
      <alignment vertical="center"/>
    </xf>
    <xf numFmtId="178" fontId="48" fillId="0" borderId="0" xfId="1" applyNumberFormat="1" applyFont="1">
      <alignment vertical="center"/>
    </xf>
    <xf numFmtId="0" fontId="47" fillId="0" borderId="0" xfId="0" applyFont="1" applyAlignment="1">
      <alignment vertical="center"/>
    </xf>
    <xf numFmtId="0" fontId="48" fillId="2" borderId="0" xfId="0" applyFont="1" applyFill="1">
      <alignment vertical="center"/>
    </xf>
    <xf numFmtId="10" fontId="48" fillId="7" borderId="0" xfId="0" applyNumberFormat="1" applyFont="1" applyFill="1">
      <alignment vertical="center"/>
    </xf>
    <xf numFmtId="10" fontId="48" fillId="0" borderId="0" xfId="0" applyNumberFormat="1" applyFont="1">
      <alignment vertical="center"/>
    </xf>
    <xf numFmtId="0" fontId="48" fillId="0" borderId="0" xfId="0" applyFont="1" applyFill="1">
      <alignment vertical="center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 readingOrder="1"/>
    </xf>
    <xf numFmtId="0" fontId="51" fillId="0" borderId="1" xfId="0" applyFont="1" applyFill="1" applyBorder="1" applyAlignment="1">
      <alignment horizontal="center" vertical="center" wrapText="1" readingOrder="1"/>
    </xf>
    <xf numFmtId="178" fontId="51" fillId="3" borderId="1" xfId="1" applyNumberFormat="1" applyFont="1" applyFill="1" applyBorder="1" applyAlignment="1">
      <alignment horizontal="center" vertical="center" wrapText="1" readingOrder="1"/>
    </xf>
    <xf numFmtId="178" fontId="51" fillId="3" borderId="1" xfId="0" applyNumberFormat="1" applyFont="1" applyFill="1" applyBorder="1" applyAlignment="1">
      <alignment horizontal="center" wrapText="1" readingOrder="1"/>
    </xf>
    <xf numFmtId="43" fontId="48" fillId="0" borderId="0" xfId="1" applyFont="1">
      <alignment vertical="center"/>
    </xf>
    <xf numFmtId="0" fontId="48" fillId="0" borderId="1" xfId="0" applyFont="1" applyBorder="1">
      <alignment vertical="center"/>
    </xf>
    <xf numFmtId="43" fontId="48" fillId="0" borderId="1" xfId="0" applyNumberFormat="1" applyFont="1" applyBorder="1">
      <alignment vertical="center"/>
    </xf>
    <xf numFmtId="180" fontId="48" fillId="0" borderId="1" xfId="3" applyNumberFormat="1" applyFont="1" applyBorder="1">
      <alignment vertical="center"/>
    </xf>
    <xf numFmtId="43" fontId="14" fillId="0" borderId="1" xfId="3" applyNumberFormat="1" applyFont="1" applyBorder="1" applyAlignment="1">
      <alignment vertical="center"/>
    </xf>
    <xf numFmtId="0" fontId="53" fillId="0" borderId="1" xfId="0" applyFont="1" applyBorder="1" applyAlignment="1">
      <alignment horizontal="center" vertical="center" wrapText="1" readingOrder="1"/>
    </xf>
    <xf numFmtId="0" fontId="50" fillId="0" borderId="4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40" fillId="0" borderId="1" xfId="6" applyFont="1" applyBorder="1" applyAlignment="1">
      <alignment horizontal="center" vertical="center"/>
    </xf>
    <xf numFmtId="0" fontId="40" fillId="0" borderId="0" xfId="6" applyFont="1" applyAlignment="1">
      <alignment horizontal="center" vertical="center"/>
    </xf>
    <xf numFmtId="43" fontId="48" fillId="0" borderId="0" xfId="0" applyNumberFormat="1" applyFont="1">
      <alignment vertical="center"/>
    </xf>
    <xf numFmtId="10" fontId="48" fillId="0" borderId="0" xfId="3" applyNumberFormat="1" applyFont="1">
      <alignment vertical="center"/>
    </xf>
    <xf numFmtId="0" fontId="40" fillId="0" borderId="0" xfId="6" applyFont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6" fillId="0" borderId="0" xfId="0" applyFont="1" applyBorder="1" applyAlignment="1">
      <alignment vertical="center"/>
    </xf>
    <xf numFmtId="0" fontId="4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/>
    </xf>
    <xf numFmtId="0" fontId="54" fillId="0" borderId="0" xfId="0" applyFont="1">
      <alignment vertical="center"/>
    </xf>
    <xf numFmtId="43" fontId="36" fillId="8" borderId="1" xfId="1" applyFill="1" applyBorder="1" applyAlignment="1" applyProtection="1">
      <alignment horizontal="center" vertical="center"/>
    </xf>
    <xf numFmtId="0" fontId="40" fillId="0" borderId="1" xfId="0" applyFont="1" applyBorder="1">
      <alignment vertical="center"/>
    </xf>
    <xf numFmtId="0" fontId="40" fillId="10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5" fillId="10" borderId="0" xfId="0" applyFont="1" applyFill="1">
      <alignment vertical="center"/>
    </xf>
    <xf numFmtId="0" fontId="13" fillId="0" borderId="1" xfId="0" applyFont="1" applyFill="1" applyBorder="1" applyAlignment="1">
      <alignment horizontal="center" vertical="center" wrapText="1" readingOrder="1"/>
    </xf>
    <xf numFmtId="0" fontId="40" fillId="0" borderId="1" xfId="0" applyFont="1" applyFill="1" applyBorder="1" applyAlignment="1">
      <alignment vertical="center" wrapText="1"/>
    </xf>
    <xf numFmtId="0" fontId="40" fillId="0" borderId="1" xfId="0" applyFont="1" applyFill="1" applyBorder="1">
      <alignment vertical="center"/>
    </xf>
    <xf numFmtId="178" fontId="51" fillId="3" borderId="1" xfId="0" applyNumberFormat="1" applyFont="1" applyFill="1" applyBorder="1" applyAlignment="1">
      <alignment horizontal="center" vertical="center" wrapText="1" readingOrder="1"/>
    </xf>
    <xf numFmtId="0" fontId="58" fillId="11" borderId="1" xfId="0" applyFont="1" applyFill="1" applyBorder="1" applyAlignment="1">
      <alignment horizontal="center" vertical="center"/>
    </xf>
    <xf numFmtId="0" fontId="58" fillId="9" borderId="1" xfId="0" applyFont="1" applyFill="1" applyBorder="1" applyAlignment="1">
      <alignment horizontal="center" vertical="center"/>
    </xf>
    <xf numFmtId="43" fontId="2" fillId="0" borderId="1" xfId="0" applyNumberFormat="1" applyFont="1" applyBorder="1">
      <alignment vertical="center"/>
    </xf>
    <xf numFmtId="178" fontId="51" fillId="10" borderId="1" xfId="0" applyNumberFormat="1" applyFont="1" applyFill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55" fillId="2" borderId="12" xfId="0" applyFont="1" applyFill="1" applyBorder="1" applyAlignment="1">
      <alignment horizontal="center" vertical="center" wrapText="1"/>
    </xf>
    <xf numFmtId="0" fontId="55" fillId="2" borderId="8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1" fillId="4" borderId="1" xfId="2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center" vertical="center" wrapText="1"/>
    </xf>
    <xf numFmtId="43" fontId="16" fillId="0" borderId="7" xfId="1" applyFont="1" applyFill="1" applyBorder="1" applyAlignment="1">
      <alignment horizontal="center" vertical="center" wrapText="1"/>
    </xf>
    <xf numFmtId="43" fontId="16" fillId="0" borderId="6" xfId="1" applyFont="1" applyFill="1" applyBorder="1" applyAlignment="1">
      <alignment horizontal="center" vertical="center" wrapText="1"/>
    </xf>
    <xf numFmtId="43" fontId="15" fillId="0" borderId="4" xfId="1" applyFont="1" applyFill="1" applyBorder="1" applyAlignment="1">
      <alignment horizontal="center" vertical="center"/>
    </xf>
    <xf numFmtId="43" fontId="15" fillId="0" borderId="2" xfId="1" applyFont="1" applyFill="1" applyBorder="1" applyAlignment="1">
      <alignment horizontal="center" vertical="center"/>
    </xf>
    <xf numFmtId="43" fontId="15" fillId="0" borderId="3" xfId="1" applyFont="1" applyFill="1" applyBorder="1" applyAlignment="1">
      <alignment horizontal="center" vertical="center"/>
    </xf>
    <xf numFmtId="43" fontId="15" fillId="2" borderId="1" xfId="1" applyFont="1" applyFill="1" applyBorder="1" applyAlignment="1">
      <alignment horizontal="center" vertical="center"/>
    </xf>
    <xf numFmtId="43" fontId="15" fillId="2" borderId="4" xfId="1" applyFont="1" applyFill="1" applyBorder="1" applyAlignment="1">
      <alignment horizontal="center" vertical="center"/>
    </xf>
    <xf numFmtId="43" fontId="15" fillId="2" borderId="2" xfId="1" applyFont="1" applyFill="1" applyBorder="1" applyAlignment="1">
      <alignment horizontal="center" vertical="center"/>
    </xf>
    <xf numFmtId="43" fontId="15" fillId="2" borderId="3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1" fillId="3" borderId="1" xfId="0" applyFont="1" applyFill="1" applyBorder="1" applyAlignment="1">
      <alignment horizontal="center" vertical="center" wrapText="1" readingOrder="1"/>
    </xf>
    <xf numFmtId="0" fontId="48" fillId="0" borderId="1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13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7" xfId="11"/>
    <cellStyle name="常规_20061221C2项目损益分析（概念稿）" xfId="4"/>
    <cellStyle name="普通_销售收入.XLS" xfId="7"/>
    <cellStyle name="千位分隔" xfId="1" builtinId="3"/>
    <cellStyle name="千位分隔 2" xfId="12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80" zoomScaleNormal="80" workbookViewId="0">
      <selection activeCell="C7" sqref="C7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1" spans="1:4" ht="25.5" customHeight="1">
      <c r="A1" s="238" t="str">
        <f>损益表!A1</f>
        <v>豪瀚大轻卡座椅项目投资收益分析</v>
      </c>
      <c r="B1" s="239"/>
      <c r="C1" s="239"/>
    </row>
    <row r="2" spans="1:4" s="126" customFormat="1" ht="35.25" customHeight="1">
      <c r="A2" s="127" t="s">
        <v>0</v>
      </c>
      <c r="B2" s="127" t="s">
        <v>1</v>
      </c>
      <c r="C2" s="127" t="s">
        <v>2</v>
      </c>
      <c r="D2" s="128"/>
    </row>
    <row r="3" spans="1:4" s="126" customFormat="1" ht="33.75" customHeight="1">
      <c r="A3" s="129">
        <v>1</v>
      </c>
      <c r="B3" s="129" t="s">
        <v>3</v>
      </c>
      <c r="C3" s="130" t="s">
        <v>4</v>
      </c>
      <c r="D3" s="128"/>
    </row>
    <row r="4" spans="1:4" s="126" customFormat="1" ht="33.75" customHeight="1">
      <c r="A4" s="129">
        <v>2</v>
      </c>
      <c r="B4" s="129" t="s">
        <v>5</v>
      </c>
      <c r="C4" s="130" t="s">
        <v>283</v>
      </c>
    </row>
    <row r="5" spans="1:4" s="126" customFormat="1" ht="33.75" customHeight="1">
      <c r="A5" s="129">
        <v>3</v>
      </c>
      <c r="B5" s="236" t="s">
        <v>6</v>
      </c>
      <c r="C5" s="131" t="s">
        <v>284</v>
      </c>
    </row>
    <row r="6" spans="1:4" s="126" customFormat="1" ht="33.75" customHeight="1">
      <c r="A6" s="129">
        <v>4</v>
      </c>
      <c r="B6" s="237"/>
      <c r="C6" s="130" t="s">
        <v>7</v>
      </c>
    </row>
    <row r="7" spans="1:4" s="126" customFormat="1" ht="33.75" customHeight="1">
      <c r="A7" s="129">
        <v>5</v>
      </c>
      <c r="B7" s="132" t="s">
        <v>8</v>
      </c>
      <c r="C7" s="130" t="s">
        <v>240</v>
      </c>
    </row>
    <row r="8" spans="1:4" s="126" customFormat="1" ht="33.75" customHeight="1">
      <c r="A8" s="129">
        <v>6</v>
      </c>
      <c r="B8" s="236" t="s">
        <v>9</v>
      </c>
      <c r="C8" s="130" t="s">
        <v>241</v>
      </c>
    </row>
    <row r="9" spans="1:4" s="126" customFormat="1" ht="33.75" customHeight="1">
      <c r="A9" s="129">
        <v>7</v>
      </c>
      <c r="B9" s="237"/>
      <c r="C9" s="130" t="s">
        <v>10</v>
      </c>
    </row>
    <row r="10" spans="1:4" s="126" customFormat="1" ht="33.75" customHeight="1">
      <c r="A10" s="129">
        <v>8</v>
      </c>
      <c r="B10" s="237"/>
      <c r="C10" s="131" t="s">
        <v>233</v>
      </c>
    </row>
    <row r="11" spans="1:4" s="126" customFormat="1" ht="33.75" customHeight="1">
      <c r="A11" s="129">
        <v>9</v>
      </c>
      <c r="B11" s="237"/>
      <c r="C11" s="130" t="s">
        <v>11</v>
      </c>
    </row>
    <row r="12" spans="1:4" s="126" customFormat="1" ht="33.75" customHeight="1">
      <c r="A12" s="129">
        <v>10</v>
      </c>
      <c r="B12" s="132" t="s">
        <v>12</v>
      </c>
      <c r="C12" s="130" t="s">
        <v>13</v>
      </c>
    </row>
    <row r="13" spans="1:4" ht="33.75" customHeight="1"/>
    <row r="14" spans="1:4" ht="33.75" customHeight="1"/>
    <row r="15" spans="1:4" ht="33.75" customHeight="1">
      <c r="C15" s="133"/>
    </row>
  </sheetData>
  <mergeCells count="3">
    <mergeCell ref="B5:B6"/>
    <mergeCell ref="B8:B11"/>
    <mergeCell ref="A1:C1"/>
  </mergeCells>
  <phoneticPr fontId="37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opLeftCell="A4" zoomScale="60" zoomScaleNormal="60" workbookViewId="0">
      <selection activeCell="D13" sqref="D13"/>
    </sheetView>
  </sheetViews>
  <sheetFormatPr defaultColWidth="9" defaultRowHeight="20.25"/>
  <cols>
    <col min="1" max="1" width="14" style="187" customWidth="1"/>
    <col min="2" max="2" width="14.125" style="187" customWidth="1"/>
    <col min="3" max="4" width="22.875" style="187" customWidth="1"/>
    <col min="5" max="11" width="20.5" style="187" customWidth="1"/>
    <col min="12" max="12" width="11.625" style="187" customWidth="1"/>
    <col min="13" max="13" width="15.625" style="187" customWidth="1"/>
    <col min="14" max="14" width="12.25" style="187" customWidth="1"/>
    <col min="15" max="16384" width="9" style="187"/>
  </cols>
  <sheetData>
    <row r="1" spans="1:15" ht="29.25" customHeight="1">
      <c r="A1" s="272" t="s">
        <v>185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</row>
    <row r="2" spans="1:15" ht="24" customHeight="1">
      <c r="A2" s="189" t="s">
        <v>186</v>
      </c>
      <c r="E2" s="188"/>
      <c r="F2" s="188"/>
      <c r="G2" s="188"/>
      <c r="H2" s="188"/>
      <c r="I2" s="188"/>
      <c r="J2" s="188"/>
      <c r="K2" s="188"/>
      <c r="L2" s="188"/>
    </row>
    <row r="3" spans="1:15">
      <c r="C3" s="187" t="s">
        <v>187</v>
      </c>
      <c r="D3" s="190" t="s">
        <v>230</v>
      </c>
      <c r="E3" s="191">
        <v>0.04</v>
      </c>
      <c r="F3" s="192"/>
      <c r="G3" s="192"/>
      <c r="H3" s="192"/>
    </row>
    <row r="4" spans="1:15">
      <c r="K4" s="193"/>
    </row>
    <row r="5" spans="1:15" ht="45" customHeight="1">
      <c r="A5" s="271" t="s">
        <v>188</v>
      </c>
      <c r="B5" s="206" t="s">
        <v>138</v>
      </c>
      <c r="C5" s="231" t="s">
        <v>313</v>
      </c>
      <c r="D5" s="231" t="s">
        <v>297</v>
      </c>
      <c r="E5" s="231" t="s">
        <v>298</v>
      </c>
      <c r="F5" s="231" t="s">
        <v>299</v>
      </c>
      <c r="G5" s="231" t="s">
        <v>300</v>
      </c>
      <c r="H5" s="231" t="s">
        <v>301</v>
      </c>
      <c r="I5" s="231" t="s">
        <v>302</v>
      </c>
      <c r="J5" s="231" t="s">
        <v>303</v>
      </c>
      <c r="K5" s="231" t="s">
        <v>304</v>
      </c>
      <c r="L5" s="270" t="s">
        <v>15</v>
      </c>
    </row>
    <row r="6" spans="1:15" ht="31.5" customHeight="1">
      <c r="A6" s="271"/>
      <c r="B6" s="206" t="s">
        <v>139</v>
      </c>
      <c r="C6" s="231" t="s">
        <v>314</v>
      </c>
      <c r="D6" s="231" t="s">
        <v>305</v>
      </c>
      <c r="E6" s="231" t="s">
        <v>315</v>
      </c>
      <c r="F6" s="231" t="s">
        <v>306</v>
      </c>
      <c r="G6" s="231" t="s">
        <v>307</v>
      </c>
      <c r="H6" s="231" t="s">
        <v>308</v>
      </c>
      <c r="I6" s="231" t="s">
        <v>309</v>
      </c>
      <c r="J6" s="231" t="s">
        <v>310</v>
      </c>
      <c r="K6" s="231" t="s">
        <v>311</v>
      </c>
      <c r="L6" s="270"/>
      <c r="N6" s="187">
        <v>100</v>
      </c>
    </row>
    <row r="7" spans="1:15" ht="32.25" customHeight="1">
      <c r="A7" s="271"/>
      <c r="B7" s="207" t="s">
        <v>189</v>
      </c>
      <c r="C7" s="231" t="s">
        <v>316</v>
      </c>
      <c r="D7" s="231" t="s">
        <v>316</v>
      </c>
      <c r="E7" s="231" t="s">
        <v>317</v>
      </c>
      <c r="F7" s="231" t="s">
        <v>318</v>
      </c>
      <c r="G7" s="231" t="s">
        <v>319</v>
      </c>
      <c r="H7" s="231" t="s">
        <v>320</v>
      </c>
      <c r="I7" s="231" t="s">
        <v>312</v>
      </c>
      <c r="J7" s="231" t="s">
        <v>316</v>
      </c>
      <c r="K7" s="231" t="s">
        <v>316</v>
      </c>
      <c r="L7" s="270"/>
      <c r="N7" s="187">
        <f>N6*(1-$E$3)</f>
        <v>96</v>
      </c>
      <c r="O7" s="187">
        <f>N7/$N$6</f>
        <v>0.96</v>
      </c>
    </row>
    <row r="8" spans="1:15" ht="60.75">
      <c r="A8" s="271"/>
      <c r="B8" s="194" t="s">
        <v>190</v>
      </c>
      <c r="C8" s="231">
        <v>470</v>
      </c>
      <c r="D8" s="235">
        <v>470</v>
      </c>
      <c r="E8" s="231">
        <v>350</v>
      </c>
      <c r="F8" s="231">
        <v>2050</v>
      </c>
      <c r="G8" s="231">
        <v>1550</v>
      </c>
      <c r="H8" s="231">
        <v>1260</v>
      </c>
      <c r="I8" s="231">
        <v>350</v>
      </c>
      <c r="J8" s="231">
        <v>470</v>
      </c>
      <c r="K8" s="231">
        <v>470</v>
      </c>
      <c r="L8" s="270"/>
      <c r="M8" s="212">
        <f>SUM(C8:K8)</f>
        <v>7440</v>
      </c>
      <c r="N8" s="187">
        <f>N7*(1-$E$3)</f>
        <v>92.16</v>
      </c>
      <c r="O8" s="187">
        <f t="shared" ref="O8:O9" si="0">N8/$N$6</f>
        <v>0.92159999999999997</v>
      </c>
    </row>
    <row r="9" spans="1:15">
      <c r="A9" s="271" t="s">
        <v>191</v>
      </c>
      <c r="B9" s="195" t="s">
        <v>281</v>
      </c>
      <c r="C9" s="232">
        <v>1000</v>
      </c>
      <c r="D9" s="233">
        <v>200</v>
      </c>
      <c r="E9" s="232">
        <v>500</v>
      </c>
      <c r="F9" s="233">
        <v>200</v>
      </c>
      <c r="G9" s="232">
        <v>300</v>
      </c>
      <c r="H9" s="233">
        <v>1000</v>
      </c>
      <c r="I9" s="232">
        <v>200</v>
      </c>
      <c r="J9" s="233">
        <v>200</v>
      </c>
      <c r="K9" s="232">
        <v>100</v>
      </c>
      <c r="L9" s="198">
        <f>SUM(C9:K9)</f>
        <v>3700</v>
      </c>
      <c r="N9" s="187">
        <f t="shared" ref="N9" si="1">N8*(1-$E$3)</f>
        <v>88.47359999999999</v>
      </c>
      <c r="O9" s="187">
        <f t="shared" si="0"/>
        <v>0.88473599999999986</v>
      </c>
    </row>
    <row r="10" spans="1:15">
      <c r="A10" s="271"/>
      <c r="B10" s="217" t="s">
        <v>181</v>
      </c>
      <c r="C10" s="228">
        <v>2500</v>
      </c>
      <c r="D10" s="228">
        <v>500</v>
      </c>
      <c r="E10" s="228">
        <v>1000</v>
      </c>
      <c r="F10" s="228">
        <v>300</v>
      </c>
      <c r="G10" s="228">
        <v>500</v>
      </c>
      <c r="H10" s="228">
        <v>3200</v>
      </c>
      <c r="I10" s="228">
        <v>300</v>
      </c>
      <c r="J10" s="228">
        <v>500</v>
      </c>
      <c r="K10" s="228">
        <v>500</v>
      </c>
      <c r="L10" s="198">
        <f t="shared" ref="L10:L14" si="2">SUM(C10:K10)</f>
        <v>9300</v>
      </c>
    </row>
    <row r="11" spans="1:15">
      <c r="A11" s="271"/>
      <c r="B11" s="217" t="s">
        <v>182</v>
      </c>
      <c r="C11" s="228">
        <v>2500</v>
      </c>
      <c r="D11" s="228">
        <v>500</v>
      </c>
      <c r="E11" s="228">
        <v>1000</v>
      </c>
      <c r="F11" s="228">
        <v>300</v>
      </c>
      <c r="G11" s="228">
        <v>500</v>
      </c>
      <c r="H11" s="228">
        <v>3200</v>
      </c>
      <c r="I11" s="228">
        <v>500</v>
      </c>
      <c r="J11" s="228">
        <v>500</v>
      </c>
      <c r="K11" s="228">
        <v>500</v>
      </c>
      <c r="L11" s="198">
        <f t="shared" si="2"/>
        <v>9500</v>
      </c>
    </row>
    <row r="12" spans="1:15">
      <c r="A12" s="271"/>
      <c r="B12" s="217" t="s">
        <v>226</v>
      </c>
      <c r="C12" s="208"/>
      <c r="D12" s="208"/>
      <c r="E12" s="205"/>
      <c r="F12" s="196"/>
      <c r="G12" s="196"/>
      <c r="H12" s="196"/>
      <c r="I12" s="196"/>
      <c r="J12" s="196"/>
      <c r="K12" s="170"/>
      <c r="L12" s="198">
        <f t="shared" si="2"/>
        <v>0</v>
      </c>
    </row>
    <row r="13" spans="1:15">
      <c r="A13" s="271"/>
      <c r="B13" s="217" t="s">
        <v>238</v>
      </c>
      <c r="C13" s="208"/>
      <c r="D13" s="208"/>
      <c r="E13" s="208"/>
      <c r="F13" s="196"/>
      <c r="G13" s="196"/>
      <c r="H13" s="196"/>
      <c r="I13" s="196"/>
      <c r="J13" s="196"/>
      <c r="K13" s="170"/>
      <c r="L13" s="198">
        <f t="shared" si="2"/>
        <v>0</v>
      </c>
    </row>
    <row r="14" spans="1:15">
      <c r="A14" s="271"/>
      <c r="B14" s="217" t="s">
        <v>239</v>
      </c>
      <c r="C14" s="209"/>
      <c r="D14" s="209"/>
      <c r="E14" s="209"/>
      <c r="F14" s="197"/>
      <c r="G14" s="197"/>
      <c r="H14" s="197"/>
      <c r="I14" s="197"/>
      <c r="J14" s="197"/>
      <c r="K14" s="197"/>
      <c r="L14" s="198">
        <f t="shared" si="2"/>
        <v>0</v>
      </c>
    </row>
    <row r="15" spans="1:15">
      <c r="A15" s="270" t="s">
        <v>15</v>
      </c>
      <c r="B15" s="270"/>
      <c r="C15" s="199">
        <f>SUM(C9:C14)</f>
        <v>6000</v>
      </c>
      <c r="D15" s="199">
        <f>SUM(D9:D14)</f>
        <v>1200</v>
      </c>
      <c r="E15" s="199">
        <f t="shared" ref="E15:L15" si="3">SUM(E9:E14)</f>
        <v>2500</v>
      </c>
      <c r="F15" s="199">
        <f t="shared" si="3"/>
        <v>800</v>
      </c>
      <c r="G15" s="199">
        <f t="shared" si="3"/>
        <v>1300</v>
      </c>
      <c r="H15" s="199">
        <f t="shared" si="3"/>
        <v>7400</v>
      </c>
      <c r="I15" s="199">
        <f t="shared" si="3"/>
        <v>1000</v>
      </c>
      <c r="J15" s="199">
        <f t="shared" si="3"/>
        <v>1200</v>
      </c>
      <c r="K15" s="199">
        <f t="shared" si="3"/>
        <v>1100</v>
      </c>
      <c r="L15" s="199">
        <f t="shared" si="3"/>
        <v>22500</v>
      </c>
    </row>
    <row r="16" spans="1:15">
      <c r="A16" s="200"/>
      <c r="B16" s="200"/>
      <c r="C16" s="200"/>
    </row>
    <row r="17" spans="2:14" ht="29.25" customHeight="1">
      <c r="B17" s="201" t="s">
        <v>251</v>
      </c>
      <c r="C17" s="202">
        <f>材料成本!D12</f>
        <v>399.94908779579782</v>
      </c>
      <c r="D17" s="202">
        <f>材料成本!E12</f>
        <v>402.56858779579784</v>
      </c>
      <c r="E17" s="202">
        <f>材料成本!F12</f>
        <v>176.94643524424779</v>
      </c>
      <c r="F17" s="202">
        <f>材料成本!G12</f>
        <v>1519.3620995023884</v>
      </c>
      <c r="G17" s="202">
        <f>材料成本!H12</f>
        <v>1107.0814494127142</v>
      </c>
      <c r="H17" s="202">
        <f>材料成本!I12</f>
        <v>867.16432053876485</v>
      </c>
      <c r="I17" s="202">
        <f>材料成本!J12</f>
        <v>196.74643524424781</v>
      </c>
      <c r="J17" s="202">
        <f>材料成本!K12</f>
        <v>417.4450877957978</v>
      </c>
      <c r="K17" s="202">
        <f>材料成本!L12</f>
        <v>420.06458779579782</v>
      </c>
      <c r="L17" s="201"/>
      <c r="M17" s="200"/>
      <c r="N17" s="212"/>
    </row>
    <row r="18" spans="2:14" ht="29.25" customHeight="1">
      <c r="B18" s="201" t="s">
        <v>252</v>
      </c>
      <c r="C18" s="202">
        <f>C8-C17</f>
        <v>70.050912204202177</v>
      </c>
      <c r="D18" s="202">
        <f t="shared" ref="D18" si="4">D8-D17</f>
        <v>67.431412204202161</v>
      </c>
      <c r="E18" s="202">
        <f t="shared" ref="E18:K18" si="5">E8-E17</f>
        <v>173.05356475575221</v>
      </c>
      <c r="F18" s="202">
        <f t="shared" si="5"/>
        <v>530.63790049761155</v>
      </c>
      <c r="G18" s="202">
        <f t="shared" si="5"/>
        <v>442.91855058728584</v>
      </c>
      <c r="H18" s="202">
        <f t="shared" si="5"/>
        <v>392.83567946123515</v>
      </c>
      <c r="I18" s="202">
        <f t="shared" si="5"/>
        <v>153.25356475575219</v>
      </c>
      <c r="J18" s="202">
        <f t="shared" si="5"/>
        <v>52.554912204202196</v>
      </c>
      <c r="K18" s="202">
        <f t="shared" si="5"/>
        <v>49.93541220420218</v>
      </c>
      <c r="L18" s="201"/>
      <c r="M18" s="200"/>
      <c r="N18" s="212"/>
    </row>
    <row r="19" spans="2:14" ht="29.25" customHeight="1">
      <c r="B19" s="201" t="s">
        <v>253</v>
      </c>
      <c r="C19" s="203">
        <f>C18/C8</f>
        <v>0.149044494051494</v>
      </c>
      <c r="D19" s="203">
        <f t="shared" ref="D19" si="6">D18/D8</f>
        <v>0.14347108979617482</v>
      </c>
      <c r="E19" s="203">
        <f t="shared" ref="E19:K19" si="7">E18/E8</f>
        <v>0.49443875644500629</v>
      </c>
      <c r="F19" s="203">
        <f t="shared" si="7"/>
        <v>0.25884775634029833</v>
      </c>
      <c r="G19" s="203">
        <f t="shared" si="7"/>
        <v>0.28575390360470054</v>
      </c>
      <c r="H19" s="203">
        <f t="shared" si="7"/>
        <v>0.31177434877875804</v>
      </c>
      <c r="I19" s="203">
        <f t="shared" si="7"/>
        <v>0.43786732787357768</v>
      </c>
      <c r="J19" s="203">
        <f t="shared" si="7"/>
        <v>0.11181896213660042</v>
      </c>
      <c r="K19" s="203">
        <f t="shared" si="7"/>
        <v>0.10624555788128123</v>
      </c>
      <c r="L19" s="201"/>
      <c r="M19" s="213"/>
      <c r="N19" s="213"/>
    </row>
    <row r="21" spans="2:14">
      <c r="B21" s="187" t="s">
        <v>261</v>
      </c>
      <c r="C21" s="212">
        <f>C8*0.7</f>
        <v>329</v>
      </c>
      <c r="D21" s="212">
        <f>D8*0.7</f>
        <v>329</v>
      </c>
      <c r="E21" s="212">
        <f>E8*0.7</f>
        <v>244.99999999999997</v>
      </c>
      <c r="F21" s="212">
        <f t="shared" ref="F21:K21" si="8">F8*0.7</f>
        <v>1435</v>
      </c>
      <c r="G21" s="212">
        <f t="shared" si="8"/>
        <v>1085</v>
      </c>
      <c r="H21" s="212">
        <f t="shared" si="8"/>
        <v>882</v>
      </c>
      <c r="I21" s="212">
        <f t="shared" si="8"/>
        <v>244.99999999999997</v>
      </c>
      <c r="J21" s="212">
        <f t="shared" si="8"/>
        <v>329</v>
      </c>
      <c r="K21" s="212">
        <f t="shared" si="8"/>
        <v>329</v>
      </c>
      <c r="M21" s="212"/>
    </row>
    <row r="22" spans="2:14">
      <c r="B22" s="187" t="s">
        <v>262</v>
      </c>
      <c r="C22" s="212">
        <f>C17-C21</f>
        <v>70.949087795797823</v>
      </c>
      <c r="D22" s="212">
        <f>D17-D21</f>
        <v>73.568587795797839</v>
      </c>
      <c r="E22" s="212">
        <f>E17-E21</f>
        <v>-68.053564755752177</v>
      </c>
      <c r="F22" s="212">
        <f t="shared" ref="F22:K22" si="9">F17-F21</f>
        <v>84.362099502388446</v>
      </c>
      <c r="G22" s="212">
        <f t="shared" si="9"/>
        <v>22.081449412714164</v>
      </c>
      <c r="H22" s="212">
        <f t="shared" si="9"/>
        <v>-14.835679461235145</v>
      </c>
      <c r="I22" s="212">
        <f t="shared" si="9"/>
        <v>-48.253564755752166</v>
      </c>
      <c r="J22" s="212">
        <f t="shared" si="9"/>
        <v>88.445087795797804</v>
      </c>
      <c r="K22" s="212">
        <f t="shared" si="9"/>
        <v>91.06458779579782</v>
      </c>
      <c r="M22" s="212"/>
    </row>
  </sheetData>
  <mergeCells count="5">
    <mergeCell ref="A15:B15"/>
    <mergeCell ref="A5:A8"/>
    <mergeCell ref="A9:A14"/>
    <mergeCell ref="L5:L8"/>
    <mergeCell ref="A1:L1"/>
  </mergeCells>
  <phoneticPr fontId="3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8"/>
  <sheetViews>
    <sheetView zoomScale="80" zoomScaleNormal="80" workbookViewId="0">
      <pane xSplit="3" ySplit="5" topLeftCell="D6" activePane="bottomRight" state="frozen"/>
      <selection pane="topRight"/>
      <selection pane="bottomLeft"/>
      <selection pane="bottomRight" activeCell="J9" sqref="J9"/>
    </sheetView>
  </sheetViews>
  <sheetFormatPr defaultColWidth="9" defaultRowHeight="16.5"/>
  <cols>
    <col min="1" max="1" width="8.375" style="4" customWidth="1"/>
    <col min="2" max="2" width="8.875" style="4" customWidth="1"/>
    <col min="3" max="3" width="14" style="4" customWidth="1"/>
    <col min="4" max="4" width="16.625" style="4" customWidth="1"/>
    <col min="5" max="5" width="17" style="4" customWidth="1"/>
    <col min="6" max="11" width="16.25" style="4" customWidth="1"/>
    <col min="12" max="12" width="17.125" style="4" customWidth="1"/>
    <col min="13" max="13" width="17.375" style="4" customWidth="1"/>
    <col min="14" max="14" width="16" style="4" customWidth="1"/>
    <col min="15" max="16384" width="9" style="4"/>
  </cols>
  <sheetData>
    <row r="1" spans="1:15" s="3" customFormat="1" ht="28.5" customHeight="1">
      <c r="A1" s="285" t="s">
        <v>6</v>
      </c>
      <c r="B1" s="285"/>
      <c r="C1" s="5"/>
      <c r="N1" s="8"/>
    </row>
    <row r="2" spans="1:15">
      <c r="A2" s="286" t="s">
        <v>192</v>
      </c>
      <c r="B2" s="286"/>
      <c r="C2" s="287"/>
      <c r="D2" s="287"/>
      <c r="E2" s="288" t="s">
        <v>285</v>
      </c>
      <c r="F2" s="289"/>
      <c r="G2" s="289"/>
      <c r="H2" s="289"/>
      <c r="I2" s="289"/>
      <c r="J2" s="289"/>
      <c r="K2" s="289"/>
      <c r="L2" s="289"/>
      <c r="M2" s="290"/>
    </row>
    <row r="3" spans="1:15" ht="24" customHeight="1">
      <c r="A3" s="275" t="s">
        <v>14</v>
      </c>
      <c r="B3" s="275" t="s">
        <v>193</v>
      </c>
      <c r="C3" s="6" t="s">
        <v>194</v>
      </c>
      <c r="D3" s="291" t="str">
        <f>损益表!A1</f>
        <v>豪瀚大轻卡座椅项目投资收益分析</v>
      </c>
      <c r="E3" s="291"/>
      <c r="F3" s="6" t="s">
        <v>195</v>
      </c>
      <c r="G3" s="177" t="s">
        <v>287</v>
      </c>
      <c r="H3" s="177"/>
      <c r="I3" s="177"/>
      <c r="J3" s="177"/>
      <c r="K3" s="177"/>
      <c r="L3" s="171"/>
      <c r="M3" s="292" t="s">
        <v>148</v>
      </c>
    </row>
    <row r="4" spans="1:15" ht="49.5">
      <c r="A4" s="275"/>
      <c r="B4" s="275"/>
      <c r="C4" s="6" t="s">
        <v>138</v>
      </c>
      <c r="D4" s="162" t="str">
        <f>销量!C5</f>
        <v>副驾座椅（NX）</v>
      </c>
      <c r="E4" s="162" t="str">
        <f>销量!D5</f>
        <v>副驾座椅（NX/通风面料）</v>
      </c>
      <c r="F4" s="162" t="str">
        <f>销量!E5</f>
        <v>中间座椅总成 （NX）</v>
      </c>
      <c r="G4" s="162" t="str">
        <f>销量!F5</f>
        <v>驾驶员座椅总成 （NX/阻尼可调/通风加热）</v>
      </c>
      <c r="H4" s="162" t="str">
        <f>销量!G5</f>
        <v>驾驶员座椅总成 （NX/阻尼可调）</v>
      </c>
      <c r="I4" s="162" t="str">
        <f>销量!H5</f>
        <v>驾驶员座椅总成 （NX）</v>
      </c>
      <c r="J4" s="162" t="str">
        <f>销量!I5</f>
        <v>中间座椅总成 （NX/安全带未系报警）</v>
      </c>
      <c r="K4" s="162" t="str">
        <f>销量!J5</f>
        <v>副驾座椅（NX/安全带未系报警）</v>
      </c>
      <c r="L4" s="162" t="str">
        <f>销量!K5</f>
        <v>副驾座椅（NX/通风面料/安全带未系报警）</v>
      </c>
      <c r="M4" s="293"/>
    </row>
    <row r="5" spans="1:15" ht="33">
      <c r="A5" s="275"/>
      <c r="B5" s="275"/>
      <c r="C5" s="6" t="s">
        <v>243</v>
      </c>
      <c r="D5" s="163" t="str">
        <f>销量!C6</f>
        <v>LZ161751100440</v>
      </c>
      <c r="E5" s="163" t="str">
        <f>销量!D6</f>
        <v>LZ161751100450</v>
      </c>
      <c r="F5" s="163" t="str">
        <f>销量!E6</f>
        <v>LZ161751100460</v>
      </c>
      <c r="G5" s="163" t="str">
        <f>销量!F6</f>
        <v>LZ161751100430</v>
      </c>
      <c r="H5" s="163" t="str">
        <f>销量!G6</f>
        <v>LZ161751100420</v>
      </c>
      <c r="I5" s="163" t="str">
        <f>销量!H6</f>
        <v>LZ161751100410</v>
      </c>
      <c r="J5" s="163" t="str">
        <f>销量!I6</f>
        <v>LZ161751100465</v>
      </c>
      <c r="K5" s="163" t="str">
        <f>销量!J6</f>
        <v>LZ161751100445</v>
      </c>
      <c r="L5" s="163" t="str">
        <f>销量!K6</f>
        <v>LZ161751100455</v>
      </c>
      <c r="M5" s="294"/>
    </row>
    <row r="6" spans="1:15" s="174" customFormat="1" ht="38.25" customHeight="1">
      <c r="A6" s="176">
        <v>1</v>
      </c>
      <c r="B6" s="295"/>
      <c r="C6" s="296"/>
      <c r="D6" s="178">
        <v>399.94908779579782</v>
      </c>
      <c r="E6" s="178">
        <v>402.56858779579784</v>
      </c>
      <c r="F6" s="178">
        <v>176.94643524424779</v>
      </c>
      <c r="G6" s="178">
        <v>1519.3620995023884</v>
      </c>
      <c r="H6" s="178">
        <v>1107.0814494127142</v>
      </c>
      <c r="I6" s="178">
        <v>867.16432053876485</v>
      </c>
      <c r="J6" s="178">
        <v>196.74643524424781</v>
      </c>
      <c r="K6" s="178">
        <v>417.4450877957978</v>
      </c>
      <c r="L6" s="181">
        <v>420.06458779579782</v>
      </c>
      <c r="M6" s="144" t="s">
        <v>244</v>
      </c>
    </row>
    <row r="7" spans="1:15" s="174" customFormat="1" ht="16.5" customHeight="1">
      <c r="A7" s="176">
        <v>2</v>
      </c>
      <c r="B7" s="295"/>
      <c r="C7" s="296"/>
      <c r="D7" s="180"/>
      <c r="E7" s="180"/>
      <c r="F7" s="180"/>
      <c r="G7" s="180"/>
      <c r="H7" s="180"/>
      <c r="I7" s="180"/>
      <c r="J7" s="180"/>
      <c r="K7" s="180"/>
      <c r="L7" s="180"/>
      <c r="M7" s="179"/>
    </row>
    <row r="8" spans="1:15" s="174" customFormat="1" ht="16.5" customHeight="1">
      <c r="A8" s="176">
        <v>3</v>
      </c>
      <c r="B8" s="295"/>
      <c r="C8" s="296"/>
      <c r="D8" s="181"/>
      <c r="E8" s="180"/>
      <c r="F8" s="181"/>
      <c r="G8" s="181"/>
      <c r="H8" s="181"/>
      <c r="I8" s="181"/>
      <c r="J8" s="181"/>
      <c r="K8" s="181"/>
      <c r="L8" s="180"/>
      <c r="M8" s="179"/>
    </row>
    <row r="9" spans="1:15" s="174" customFormat="1">
      <c r="A9" s="176">
        <v>4</v>
      </c>
      <c r="B9" s="295"/>
      <c r="C9" s="296"/>
      <c r="D9" s="181"/>
      <c r="E9" s="180"/>
      <c r="F9" s="181"/>
      <c r="G9" s="181"/>
      <c r="H9" s="181"/>
      <c r="I9" s="181"/>
      <c r="J9" s="181"/>
      <c r="K9" s="181"/>
      <c r="L9" s="180"/>
      <c r="M9" s="179"/>
    </row>
    <row r="10" spans="1:15" s="174" customFormat="1" ht="16.5" customHeight="1">
      <c r="A10" s="176">
        <v>5</v>
      </c>
      <c r="B10" s="295"/>
      <c r="C10" s="296"/>
      <c r="D10" s="181"/>
      <c r="E10" s="180"/>
      <c r="F10" s="181"/>
      <c r="G10" s="181"/>
      <c r="H10" s="181"/>
      <c r="I10" s="181"/>
      <c r="J10" s="181"/>
      <c r="K10" s="181"/>
      <c r="L10" s="180"/>
      <c r="M10" s="179"/>
      <c r="N10" s="273"/>
      <c r="O10" s="274"/>
    </row>
    <row r="11" spans="1:15" s="174" customFormat="1" ht="16.5" customHeight="1">
      <c r="A11" s="176">
        <v>6</v>
      </c>
      <c r="B11" s="295"/>
      <c r="C11" s="296"/>
      <c r="D11" s="181"/>
      <c r="E11" s="180"/>
      <c r="F11" s="181"/>
      <c r="G11" s="181"/>
      <c r="H11" s="181"/>
      <c r="I11" s="181"/>
      <c r="J11" s="181"/>
      <c r="K11" s="181"/>
      <c r="L11" s="180"/>
      <c r="M11" s="179"/>
      <c r="N11" s="273"/>
      <c r="O11" s="274"/>
    </row>
    <row r="12" spans="1:15" ht="31.5" customHeight="1">
      <c r="A12" s="277" t="s">
        <v>196</v>
      </c>
      <c r="B12" s="278"/>
      <c r="C12" s="279"/>
      <c r="D12" s="7">
        <f>SUM(D6:D11)</f>
        <v>399.94908779579782</v>
      </c>
      <c r="E12" s="7">
        <f>SUM(E6:E11)</f>
        <v>402.56858779579784</v>
      </c>
      <c r="F12" s="7">
        <f>SUM(F6:F11)</f>
        <v>176.94643524424779</v>
      </c>
      <c r="G12" s="7">
        <f t="shared" ref="G12:K12" si="0">SUM(G6:G11)</f>
        <v>1519.3620995023884</v>
      </c>
      <c r="H12" s="7">
        <f t="shared" si="0"/>
        <v>1107.0814494127142</v>
      </c>
      <c r="I12" s="7">
        <f t="shared" si="0"/>
        <v>867.16432053876485</v>
      </c>
      <c r="J12" s="7">
        <f t="shared" si="0"/>
        <v>196.74643524424781</v>
      </c>
      <c r="K12" s="7">
        <f t="shared" si="0"/>
        <v>417.4450877957978</v>
      </c>
      <c r="L12" s="7">
        <f>SUM(L6:L11)</f>
        <v>420.06458779579782</v>
      </c>
      <c r="M12" s="186" t="s">
        <v>250</v>
      </c>
    </row>
    <row r="13" spans="1:15">
      <c r="D13" s="148"/>
      <c r="E13" s="13"/>
      <c r="F13" s="13"/>
      <c r="G13" s="13"/>
      <c r="H13" s="13"/>
      <c r="I13" s="13"/>
      <c r="J13" s="13"/>
      <c r="K13" s="13"/>
    </row>
    <row r="14" spans="1:15">
      <c r="D14" s="13"/>
      <c r="E14" s="13"/>
      <c r="F14" s="13"/>
      <c r="G14" s="13"/>
      <c r="H14" s="13"/>
      <c r="I14" s="13"/>
      <c r="J14" s="13"/>
      <c r="K14" s="13"/>
    </row>
    <row r="15" spans="1:15">
      <c r="D15" s="13"/>
      <c r="E15" s="13"/>
      <c r="F15" s="13"/>
      <c r="G15" s="13"/>
      <c r="H15" s="13"/>
      <c r="I15" s="13"/>
      <c r="J15" s="13"/>
      <c r="K15" s="13"/>
    </row>
    <row r="17" spans="2:13" ht="27.75" customHeight="1">
      <c r="C17" s="9"/>
      <c r="D17" s="276" t="s">
        <v>245</v>
      </c>
      <c r="E17" s="276"/>
      <c r="F17" s="276"/>
      <c r="G17" s="276"/>
      <c r="H17" s="276"/>
      <c r="I17" s="276"/>
      <c r="J17" s="276"/>
      <c r="K17" s="276"/>
      <c r="L17" s="276"/>
      <c r="M17" s="276"/>
    </row>
    <row r="18" spans="2:13">
      <c r="C18" s="280" t="s">
        <v>225</v>
      </c>
      <c r="D18" s="280" t="s">
        <v>259</v>
      </c>
      <c r="E18" s="282" t="s">
        <v>280</v>
      </c>
      <c r="F18" s="283"/>
      <c r="G18" s="283"/>
      <c r="H18" s="283"/>
      <c r="I18" s="283"/>
      <c r="J18" s="283"/>
      <c r="K18" s="283"/>
      <c r="L18" s="283"/>
      <c r="M18" s="284"/>
    </row>
    <row r="19" spans="2:13">
      <c r="B19" s="13"/>
      <c r="C19" s="281"/>
      <c r="D19" s="281"/>
      <c r="E19" s="152" t="s">
        <v>281</v>
      </c>
      <c r="F19" s="218" t="s">
        <v>181</v>
      </c>
      <c r="G19" s="218" t="s">
        <v>182</v>
      </c>
      <c r="H19" s="218" t="s">
        <v>226</v>
      </c>
      <c r="I19" s="218" t="s">
        <v>238</v>
      </c>
      <c r="J19" s="218" t="s">
        <v>239</v>
      </c>
      <c r="K19" s="218" t="s">
        <v>242</v>
      </c>
      <c r="L19" s="218" t="s">
        <v>282</v>
      </c>
      <c r="M19" s="152"/>
    </row>
    <row r="20" spans="2:13" ht="33">
      <c r="C20" s="163" t="str">
        <f>D4</f>
        <v>副驾座椅（NX）</v>
      </c>
      <c r="D20" s="163" t="str">
        <f>D5</f>
        <v>LZ161751100440</v>
      </c>
      <c r="E20" s="180">
        <f>D12</f>
        <v>399.94908779579782</v>
      </c>
      <c r="F20" s="154">
        <f>E20*(1-0.04)</f>
        <v>383.9511242839659</v>
      </c>
      <c r="G20" s="154">
        <f>F20*(1-0.04)</f>
        <v>368.59307931260724</v>
      </c>
      <c r="H20" s="154"/>
      <c r="I20" s="154"/>
      <c r="J20" s="154"/>
      <c r="K20" s="154"/>
      <c r="L20" s="154"/>
      <c r="M20" s="154"/>
    </row>
    <row r="21" spans="2:13" ht="33">
      <c r="C21" s="163" t="str">
        <f>E4</f>
        <v>副驾座椅（NX/通风面料）</v>
      </c>
      <c r="D21" s="163" t="str">
        <f>E5</f>
        <v>LZ161751100450</v>
      </c>
      <c r="E21" s="180">
        <f>E12</f>
        <v>402.56858779579784</v>
      </c>
      <c r="F21" s="154">
        <f>E21*(1-0.04)</f>
        <v>386.46584428396591</v>
      </c>
      <c r="G21" s="154">
        <f>F21*(1-0.04)</f>
        <v>371.00721051260723</v>
      </c>
      <c r="H21" s="154"/>
      <c r="I21" s="154"/>
      <c r="J21" s="154"/>
      <c r="K21" s="154"/>
      <c r="L21" s="154"/>
      <c r="M21" s="154"/>
    </row>
    <row r="22" spans="2:13" ht="33">
      <c r="C22" s="163" t="str">
        <f>F4</f>
        <v>中间座椅总成 （NX）</v>
      </c>
      <c r="D22" s="163" t="str">
        <f>F5</f>
        <v>LZ161751100460</v>
      </c>
      <c r="E22" s="180">
        <f>F6</f>
        <v>176.94643524424779</v>
      </c>
      <c r="F22" s="154">
        <f t="shared" ref="F22:G22" si="1">E22*(1-0.04)</f>
        <v>169.86857783447789</v>
      </c>
      <c r="G22" s="154">
        <f t="shared" si="1"/>
        <v>163.07383472109876</v>
      </c>
      <c r="H22" s="154"/>
      <c r="I22" s="154"/>
      <c r="J22" s="154"/>
      <c r="K22" s="154"/>
      <c r="L22" s="154"/>
      <c r="M22" s="154"/>
    </row>
    <row r="23" spans="2:13" ht="49.5">
      <c r="C23" s="163" t="str">
        <f>G4</f>
        <v>驾驶员座椅总成 （NX/阻尼可调/通风加热）</v>
      </c>
      <c r="D23" s="163" t="str">
        <f>G5</f>
        <v>LZ161751100430</v>
      </c>
      <c r="E23" s="180">
        <f>G6</f>
        <v>1519.3620995023884</v>
      </c>
      <c r="F23" s="154">
        <f t="shared" ref="F23:G23" si="2">E23*(1-0.04)</f>
        <v>1458.5876155222929</v>
      </c>
      <c r="G23" s="154">
        <f t="shared" si="2"/>
        <v>1400.2441109014012</v>
      </c>
      <c r="H23" s="154"/>
      <c r="I23" s="154"/>
      <c r="J23" s="154"/>
      <c r="K23" s="154"/>
      <c r="L23" s="154"/>
      <c r="M23" s="154"/>
    </row>
    <row r="24" spans="2:13" ht="49.5">
      <c r="C24" s="163" t="str">
        <f>H4</f>
        <v>驾驶员座椅总成 （NX/阻尼可调）</v>
      </c>
      <c r="D24" s="163" t="str">
        <f>H5</f>
        <v>LZ161751100420</v>
      </c>
      <c r="E24" s="180">
        <f>H6</f>
        <v>1107.0814494127142</v>
      </c>
      <c r="F24" s="154">
        <f t="shared" ref="F24:G24" si="3">E24*(1-0.04)</f>
        <v>1062.7981914362056</v>
      </c>
      <c r="G24" s="154">
        <f t="shared" si="3"/>
        <v>1020.2862637787573</v>
      </c>
      <c r="H24" s="154"/>
      <c r="I24" s="154"/>
      <c r="J24" s="154"/>
      <c r="K24" s="154"/>
      <c r="L24" s="154"/>
      <c r="M24" s="154"/>
    </row>
    <row r="25" spans="2:13" ht="33">
      <c r="C25" s="163" t="str">
        <f>I4</f>
        <v>驾驶员座椅总成 （NX）</v>
      </c>
      <c r="D25" s="163" t="str">
        <f>I5</f>
        <v>LZ161751100410</v>
      </c>
      <c r="E25" s="180">
        <f>I6</f>
        <v>867.16432053876485</v>
      </c>
      <c r="F25" s="154">
        <f t="shared" ref="F25:G25" si="4">E25*(1-0.04)</f>
        <v>832.47774771721424</v>
      </c>
      <c r="G25" s="154">
        <f t="shared" si="4"/>
        <v>799.17863780852565</v>
      </c>
      <c r="H25" s="154"/>
      <c r="I25" s="154"/>
      <c r="J25" s="154"/>
      <c r="K25" s="154"/>
      <c r="L25" s="154"/>
      <c r="M25" s="154"/>
    </row>
    <row r="26" spans="2:13" ht="49.5">
      <c r="C26" s="163" t="str">
        <f>J4</f>
        <v>中间座椅总成 （NX/安全带未系报警）</v>
      </c>
      <c r="D26" s="163" t="str">
        <f>J5</f>
        <v>LZ161751100465</v>
      </c>
      <c r="E26" s="180">
        <f>J6</f>
        <v>196.74643524424781</v>
      </c>
      <c r="F26" s="154">
        <f t="shared" ref="F26:G26" si="5">E26*(1-0.04)</f>
        <v>188.8765778344779</v>
      </c>
      <c r="G26" s="154">
        <f t="shared" si="5"/>
        <v>181.32151472109877</v>
      </c>
      <c r="H26" s="154"/>
      <c r="I26" s="154"/>
      <c r="J26" s="154"/>
      <c r="K26" s="154"/>
      <c r="L26" s="154"/>
      <c r="M26" s="9"/>
    </row>
    <row r="27" spans="2:13" ht="49.5">
      <c r="C27" s="163" t="str">
        <f>K4</f>
        <v>副驾座椅（NX/安全带未系报警）</v>
      </c>
      <c r="D27" s="163" t="str">
        <f>K5</f>
        <v>LZ161751100445</v>
      </c>
      <c r="E27" s="180">
        <f>K6</f>
        <v>417.4450877957978</v>
      </c>
      <c r="F27" s="154">
        <f t="shared" ref="F27:G27" si="6">E27*(1-0.04)</f>
        <v>400.74728428396588</v>
      </c>
      <c r="G27" s="154">
        <f t="shared" si="6"/>
        <v>384.71739291260724</v>
      </c>
      <c r="H27" s="154"/>
      <c r="I27" s="154"/>
      <c r="J27" s="154"/>
      <c r="K27" s="154"/>
      <c r="L27" s="154"/>
      <c r="M27" s="9"/>
    </row>
    <row r="28" spans="2:13" ht="49.5">
      <c r="C28" s="163" t="str">
        <f>L4</f>
        <v>副驾座椅（NX/通风面料/安全带未系报警）</v>
      </c>
      <c r="D28" s="163" t="str">
        <f>L5</f>
        <v>LZ161751100455</v>
      </c>
      <c r="E28" s="234">
        <f>L6</f>
        <v>420.06458779579782</v>
      </c>
      <c r="F28" s="154">
        <f t="shared" ref="F28:G28" si="7">E28*(1-0.04)</f>
        <v>403.26200428396589</v>
      </c>
      <c r="G28" s="154">
        <f t="shared" si="7"/>
        <v>387.13152411260722</v>
      </c>
      <c r="H28" s="9"/>
      <c r="I28" s="9"/>
      <c r="J28" s="9"/>
      <c r="K28" s="9"/>
      <c r="L28" s="9"/>
      <c r="M28" s="9"/>
    </row>
  </sheetData>
  <mergeCells count="20">
    <mergeCell ref="C18:C19"/>
    <mergeCell ref="D18:D19"/>
    <mergeCell ref="E18:M18"/>
    <mergeCell ref="A1:B1"/>
    <mergeCell ref="A2:D2"/>
    <mergeCell ref="E2:M2"/>
    <mergeCell ref="D3:E3"/>
    <mergeCell ref="M3:M5"/>
    <mergeCell ref="B6:C6"/>
    <mergeCell ref="B7:C7"/>
    <mergeCell ref="B8:C8"/>
    <mergeCell ref="B9:C9"/>
    <mergeCell ref="B10:C10"/>
    <mergeCell ref="B11:C11"/>
    <mergeCell ref="N10:O10"/>
    <mergeCell ref="N11:O11"/>
    <mergeCell ref="A3:A5"/>
    <mergeCell ref="B3:B5"/>
    <mergeCell ref="D17:M17"/>
    <mergeCell ref="A12:C12"/>
  </mergeCells>
  <phoneticPr fontId="37" type="noConversion"/>
  <pageMargins left="0.70866141732283505" right="0.118110236220472" top="0.35433070866141703" bottom="0.35433070866141703" header="0.31496062992126" footer="0.31496062992126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xSplit="2" ySplit="1" topLeftCell="C8" activePane="bottomRight" state="frozen"/>
      <selection pane="topRight"/>
      <selection pane="bottomLeft"/>
      <selection pane="bottomRight" activeCell="C7" sqref="C7"/>
    </sheetView>
  </sheetViews>
  <sheetFormatPr defaultColWidth="9" defaultRowHeight="13.5"/>
  <cols>
    <col min="1" max="1" width="9" style="211"/>
    <col min="2" max="2" width="29.625" style="211" customWidth="1"/>
    <col min="3" max="3" width="25.5" style="211" customWidth="1"/>
    <col min="4" max="4" width="22" style="211" customWidth="1"/>
    <col min="5" max="16384" width="9" style="211"/>
  </cols>
  <sheetData>
    <row r="1" spans="1:5" ht="27" customHeight="1">
      <c r="A1" s="210" t="s">
        <v>14</v>
      </c>
      <c r="B1" s="210" t="s">
        <v>197</v>
      </c>
      <c r="C1" s="210" t="s">
        <v>198</v>
      </c>
      <c r="D1" s="210" t="s">
        <v>199</v>
      </c>
    </row>
    <row r="2" spans="1:5" ht="19.5" customHeight="1">
      <c r="A2" s="210">
        <v>1</v>
      </c>
      <c r="B2" s="224" t="s">
        <v>200</v>
      </c>
      <c r="C2" s="172" t="s">
        <v>269</v>
      </c>
      <c r="D2" s="225"/>
    </row>
    <row r="3" spans="1:5" ht="36" customHeight="1">
      <c r="A3" s="210">
        <v>2</v>
      </c>
      <c r="B3" s="224" t="s">
        <v>201</v>
      </c>
      <c r="C3" s="173" t="s">
        <v>270</v>
      </c>
      <c r="D3" s="225" t="s">
        <v>271</v>
      </c>
    </row>
    <row r="4" spans="1:5" ht="19.5" customHeight="1">
      <c r="A4" s="210">
        <v>3</v>
      </c>
      <c r="B4" s="224" t="s">
        <v>202</v>
      </c>
      <c r="C4" s="172" t="s">
        <v>272</v>
      </c>
      <c r="D4" s="225" t="s">
        <v>273</v>
      </c>
    </row>
    <row r="5" spans="1:5" ht="42.75" customHeight="1">
      <c r="A5" s="210">
        <v>4</v>
      </c>
      <c r="B5" s="224" t="s">
        <v>203</v>
      </c>
      <c r="C5" s="172"/>
      <c r="D5" s="225"/>
    </row>
    <row r="6" spans="1:5" ht="39" customHeight="1">
      <c r="A6" s="210">
        <v>5</v>
      </c>
      <c r="B6" s="224" t="s">
        <v>204</v>
      </c>
      <c r="C6" s="172"/>
      <c r="D6" s="225"/>
    </row>
    <row r="7" spans="1:5" ht="27.75" customHeight="1">
      <c r="A7" s="210">
        <v>6</v>
      </c>
      <c r="B7" s="225" t="s">
        <v>205</v>
      </c>
      <c r="C7" s="173" t="s">
        <v>274</v>
      </c>
      <c r="D7" s="225"/>
    </row>
    <row r="8" spans="1:5" ht="36" customHeight="1">
      <c r="A8" s="210">
        <v>7</v>
      </c>
      <c r="B8" s="224" t="s">
        <v>206</v>
      </c>
      <c r="C8" s="182" t="s">
        <v>275</v>
      </c>
      <c r="D8" s="225"/>
    </row>
    <row r="9" spans="1:5" ht="34.5" customHeight="1">
      <c r="A9" s="210">
        <v>8</v>
      </c>
      <c r="B9" s="225" t="s">
        <v>207</v>
      </c>
      <c r="C9" s="182" t="s">
        <v>276</v>
      </c>
      <c r="D9" s="225"/>
    </row>
    <row r="10" spans="1:5" ht="34.5" customHeight="1">
      <c r="A10" s="210">
        <v>9</v>
      </c>
      <c r="B10" s="225" t="s">
        <v>208</v>
      </c>
      <c r="C10" s="182" t="s">
        <v>276</v>
      </c>
      <c r="D10" s="225"/>
      <c r="E10" s="214"/>
    </row>
    <row r="11" spans="1:5" ht="34.5" customHeight="1">
      <c r="A11" s="210">
        <v>10</v>
      </c>
      <c r="B11" s="225" t="s">
        <v>209</v>
      </c>
      <c r="C11" s="182" t="s">
        <v>277</v>
      </c>
      <c r="D11" s="225" t="s">
        <v>278</v>
      </c>
    </row>
    <row r="12" spans="1:5" ht="34.5" customHeight="1">
      <c r="A12" s="210">
        <v>11</v>
      </c>
      <c r="B12" s="225" t="s">
        <v>210</v>
      </c>
      <c r="C12" s="182" t="s">
        <v>279</v>
      </c>
      <c r="D12" s="225"/>
    </row>
    <row r="13" spans="1:5" ht="24" customHeight="1">
      <c r="A13" s="210">
        <v>12</v>
      </c>
      <c r="B13" s="224" t="s">
        <v>246</v>
      </c>
      <c r="C13" s="182" t="s">
        <v>264</v>
      </c>
      <c r="D13" s="225"/>
    </row>
    <row r="14" spans="1:5" ht="24" customHeight="1">
      <c r="A14" s="210">
        <v>13</v>
      </c>
      <c r="B14" s="224" t="s">
        <v>247</v>
      </c>
      <c r="C14" s="182" t="s">
        <v>265</v>
      </c>
      <c r="D14" s="225"/>
    </row>
    <row r="15" spans="1:5" ht="24" customHeight="1">
      <c r="A15" s="210">
        <v>14</v>
      </c>
      <c r="B15" s="224" t="s">
        <v>248</v>
      </c>
      <c r="C15" s="182" t="s">
        <v>266</v>
      </c>
      <c r="D15" s="225"/>
    </row>
    <row r="16" spans="1:5" ht="24" customHeight="1">
      <c r="A16" s="210">
        <v>15</v>
      </c>
      <c r="B16" s="225" t="s">
        <v>267</v>
      </c>
      <c r="C16" s="225"/>
      <c r="D16" s="225"/>
    </row>
    <row r="17" spans="2:4" ht="16.5">
      <c r="B17" s="227" t="s">
        <v>268</v>
      </c>
      <c r="C17" s="226"/>
      <c r="D17" s="226"/>
    </row>
  </sheetData>
  <phoneticPr fontId="3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17"/>
  <sheetViews>
    <sheetView topLeftCell="A91" zoomScale="85" zoomScaleNormal="85" workbookViewId="0">
      <selection activeCell="I116" sqref="I116"/>
    </sheetView>
  </sheetViews>
  <sheetFormatPr defaultColWidth="9" defaultRowHeight="13.5"/>
  <cols>
    <col min="1" max="2" width="9" style="54"/>
    <col min="3" max="3" width="14.625" style="54" customWidth="1"/>
    <col min="4" max="4" width="12.375" style="54" customWidth="1"/>
    <col min="5" max="7" width="11.125" style="54" customWidth="1"/>
    <col min="8" max="8" width="11" style="137" customWidth="1"/>
    <col min="9" max="16384" width="9" style="54"/>
  </cols>
  <sheetData>
    <row r="1" spans="1:11" s="134" customFormat="1" ht="18.75" customHeight="1">
      <c r="F1" s="297" t="s">
        <v>211</v>
      </c>
      <c r="G1" s="297"/>
      <c r="H1" s="135"/>
    </row>
    <row r="2" spans="1:11" ht="20.25" customHeight="1">
      <c r="A2" s="303" t="s">
        <v>212</v>
      </c>
      <c r="B2" s="303"/>
      <c r="C2" s="304"/>
      <c r="D2" s="304"/>
      <c r="E2" s="304"/>
      <c r="F2" s="304"/>
      <c r="G2" s="300"/>
      <c r="H2" s="136" t="s">
        <v>219</v>
      </c>
      <c r="J2" s="151"/>
      <c r="K2" s="151"/>
    </row>
    <row r="3" spans="1:11" ht="34.5" customHeight="1">
      <c r="A3" s="303"/>
      <c r="B3" s="303"/>
      <c r="C3" s="143" t="s">
        <v>221</v>
      </c>
      <c r="D3" s="143" t="s">
        <v>220</v>
      </c>
      <c r="E3" s="144" t="s">
        <v>224</v>
      </c>
      <c r="F3" s="144" t="s">
        <v>223</v>
      </c>
      <c r="G3" s="144" t="s">
        <v>249</v>
      </c>
      <c r="H3" s="147">
        <f>销量!C8</f>
        <v>470</v>
      </c>
    </row>
    <row r="4" spans="1:11">
      <c r="A4" s="298" t="s">
        <v>213</v>
      </c>
      <c r="B4" s="298"/>
      <c r="C4" s="138"/>
      <c r="D4" s="139">
        <f>$H$3*E4</f>
        <v>26.423393595054016</v>
      </c>
      <c r="E4" s="157">
        <v>5.6219986372455351E-2</v>
      </c>
      <c r="F4" s="157">
        <v>0.10179000000000001</v>
      </c>
      <c r="G4" s="140">
        <v>6.3270000000000007E-2</v>
      </c>
      <c r="I4" s="149"/>
      <c r="J4" s="55"/>
      <c r="K4" s="55"/>
    </row>
    <row r="5" spans="1:11">
      <c r="A5" s="298" t="s">
        <v>214</v>
      </c>
      <c r="B5" s="141" t="s">
        <v>215</v>
      </c>
      <c r="C5" s="138"/>
      <c r="D5" s="139">
        <f>$H$3*E5</f>
        <v>21.15</v>
      </c>
      <c r="E5" s="140">
        <v>4.4999999999999998E-2</v>
      </c>
      <c r="F5" s="157">
        <v>0.2</v>
      </c>
      <c r="G5" s="140">
        <v>0.08</v>
      </c>
      <c r="I5" s="150"/>
      <c r="J5" s="55"/>
      <c r="K5" s="55"/>
    </row>
    <row r="6" spans="1:11">
      <c r="A6" s="298"/>
      <c r="B6" s="141" t="s">
        <v>216</v>
      </c>
      <c r="C6" s="138"/>
      <c r="D6" s="139">
        <f t="shared" ref="D6" si="0">$H$3*E6</f>
        <v>7.0857151125060041</v>
      </c>
      <c r="E6" s="157">
        <v>1.5075989601076605E-2</v>
      </c>
      <c r="F6" s="157">
        <v>4.0280000000000003E-2</v>
      </c>
      <c r="G6" s="140">
        <v>2.068E-2</v>
      </c>
      <c r="I6" s="149"/>
      <c r="J6" s="55"/>
      <c r="K6" s="55"/>
    </row>
    <row r="7" spans="1:11">
      <c r="A7" s="299" t="s">
        <v>217</v>
      </c>
      <c r="B7" s="300"/>
      <c r="C7" s="142"/>
      <c r="D7" s="183">
        <f>$H$3*E7</f>
        <v>54.659108707560023</v>
      </c>
      <c r="E7" s="184">
        <v>0.11629597597353196</v>
      </c>
      <c r="F7" s="184">
        <f>SUM(F4:F6)</f>
        <v>0.34206999999999999</v>
      </c>
      <c r="G7" s="185">
        <f>SUM(G4:G6)</f>
        <v>0.16395000000000001</v>
      </c>
      <c r="I7" s="149"/>
      <c r="J7" s="55"/>
      <c r="K7" s="55"/>
    </row>
    <row r="8" spans="1:11">
      <c r="A8" s="298" t="s">
        <v>45</v>
      </c>
      <c r="B8" s="298"/>
      <c r="C8" s="138"/>
      <c r="D8" s="139">
        <f>$H$3*E8</f>
        <v>18.8</v>
      </c>
      <c r="E8" s="158">
        <v>0.04</v>
      </c>
      <c r="F8" s="157">
        <v>2.9350000000000001E-2</v>
      </c>
      <c r="G8" s="140">
        <v>4.9200000000000001E-2</v>
      </c>
      <c r="I8" s="150"/>
      <c r="J8" s="55"/>
      <c r="K8" s="55"/>
    </row>
    <row r="9" spans="1:11">
      <c r="A9" s="301" t="s">
        <v>218</v>
      </c>
      <c r="B9" s="141" t="s">
        <v>215</v>
      </c>
      <c r="C9" s="138"/>
      <c r="D9" s="139">
        <f>$H$3*E9</f>
        <v>3.29</v>
      </c>
      <c r="E9" s="140">
        <v>7.0000000000000001E-3</v>
      </c>
      <c r="F9" s="157">
        <v>2.1489999999999999E-2</v>
      </c>
      <c r="G9" s="140">
        <v>9.4900000000000002E-3</v>
      </c>
      <c r="I9" s="137"/>
      <c r="J9" s="55"/>
      <c r="K9" s="55"/>
    </row>
    <row r="10" spans="1:11">
      <c r="A10" s="302"/>
      <c r="B10" s="141" t="s">
        <v>216</v>
      </c>
      <c r="C10" s="138"/>
      <c r="D10" s="139">
        <f>$H$3*E10</f>
        <v>18.799999999999997</v>
      </c>
      <c r="E10" s="137">
        <v>3.9999999999999994E-2</v>
      </c>
      <c r="F10" s="157">
        <v>5.8119999999999998E-2</v>
      </c>
      <c r="G10" s="140">
        <v>5.4899999999999997E-2</v>
      </c>
      <c r="I10" s="137"/>
      <c r="J10" s="55"/>
      <c r="K10" s="55"/>
    </row>
    <row r="11" spans="1:11">
      <c r="A11" s="298" t="s">
        <v>48</v>
      </c>
      <c r="B11" s="298"/>
      <c r="C11" s="138"/>
      <c r="D11" s="139">
        <f t="shared" ref="D11" si="1">$H$3*E11</f>
        <v>10.010999999999999</v>
      </c>
      <c r="E11" s="140">
        <v>2.1299999999999999E-2</v>
      </c>
      <c r="F11" s="157">
        <v>2.1299999999999999E-2</v>
      </c>
      <c r="G11" s="140">
        <v>2.1299999999999999E-2</v>
      </c>
      <c r="I11" s="137"/>
      <c r="J11" s="55"/>
      <c r="K11" s="55"/>
    </row>
    <row r="15" spans="1:11">
      <c r="A15" s="134"/>
      <c r="B15" s="134"/>
      <c r="C15" s="134"/>
      <c r="D15" s="134"/>
      <c r="E15" s="134"/>
      <c r="F15" s="297" t="s">
        <v>211</v>
      </c>
      <c r="G15" s="297"/>
      <c r="H15" s="135"/>
    </row>
    <row r="16" spans="1:11" ht="22.5" customHeight="1">
      <c r="A16" s="303" t="s">
        <v>212</v>
      </c>
      <c r="B16" s="303"/>
      <c r="C16" s="304"/>
      <c r="D16" s="304"/>
      <c r="E16" s="304"/>
      <c r="F16" s="304"/>
      <c r="G16" s="300"/>
      <c r="H16" s="136" t="s">
        <v>219</v>
      </c>
    </row>
    <row r="17" spans="1:8" ht="27">
      <c r="A17" s="303"/>
      <c r="B17" s="303"/>
      <c r="C17" s="143" t="s">
        <v>221</v>
      </c>
      <c r="D17" s="143" t="s">
        <v>220</v>
      </c>
      <c r="E17" s="144" t="s">
        <v>224</v>
      </c>
      <c r="F17" s="144" t="s">
        <v>223</v>
      </c>
      <c r="G17" s="144" t="s">
        <v>222</v>
      </c>
      <c r="H17" s="147">
        <f>销量!D8</f>
        <v>470</v>
      </c>
    </row>
    <row r="18" spans="1:8">
      <c r="A18" s="298" t="s">
        <v>213</v>
      </c>
      <c r="B18" s="298"/>
      <c r="C18" s="138"/>
      <c r="D18" s="139">
        <f>$H$17*E18</f>
        <v>26.423393595054016</v>
      </c>
      <c r="E18" s="157">
        <v>5.6219986372455351E-2</v>
      </c>
      <c r="F18" s="157">
        <v>0.10179000000000001</v>
      </c>
      <c r="G18" s="140">
        <v>6.3270000000000007E-2</v>
      </c>
    </row>
    <row r="19" spans="1:8">
      <c r="A19" s="298" t="s">
        <v>214</v>
      </c>
      <c r="B19" s="156" t="s">
        <v>215</v>
      </c>
      <c r="C19" s="138"/>
      <c r="D19" s="139">
        <f t="shared" ref="D19:D23" si="2">$H$17*E19</f>
        <v>21.15</v>
      </c>
      <c r="E19" s="140">
        <v>4.4999999999999998E-2</v>
      </c>
      <c r="F19" s="157">
        <v>0.2</v>
      </c>
      <c r="G19" s="140">
        <v>0.08</v>
      </c>
    </row>
    <row r="20" spans="1:8">
      <c r="A20" s="298"/>
      <c r="B20" s="156" t="s">
        <v>216</v>
      </c>
      <c r="C20" s="138"/>
      <c r="D20" s="139">
        <f t="shared" si="2"/>
        <v>7.0857151125060041</v>
      </c>
      <c r="E20" s="157">
        <v>1.5075989601076605E-2</v>
      </c>
      <c r="F20" s="157">
        <v>4.0280000000000003E-2</v>
      </c>
      <c r="G20" s="140">
        <v>2.068E-2</v>
      </c>
    </row>
    <row r="21" spans="1:8">
      <c r="A21" s="299" t="s">
        <v>217</v>
      </c>
      <c r="B21" s="300"/>
      <c r="C21" s="142"/>
      <c r="D21" s="139">
        <f t="shared" si="2"/>
        <v>54.659108707560023</v>
      </c>
      <c r="E21" s="184">
        <v>0.11629597597353196</v>
      </c>
      <c r="F21" s="184">
        <f>SUM(F18:F20)</f>
        <v>0.34206999999999999</v>
      </c>
      <c r="G21" s="185">
        <f>SUM(G18:G20)</f>
        <v>0.16395000000000001</v>
      </c>
    </row>
    <row r="22" spans="1:8">
      <c r="A22" s="298" t="s">
        <v>45</v>
      </c>
      <c r="B22" s="298"/>
      <c r="C22" s="138"/>
      <c r="D22" s="139">
        <f t="shared" si="2"/>
        <v>18.8</v>
      </c>
      <c r="E22" s="158">
        <v>0.04</v>
      </c>
      <c r="F22" s="157">
        <v>2.9350000000000001E-2</v>
      </c>
      <c r="G22" s="140">
        <v>4.9200000000000001E-2</v>
      </c>
    </row>
    <row r="23" spans="1:8">
      <c r="A23" s="301" t="s">
        <v>218</v>
      </c>
      <c r="B23" s="156" t="s">
        <v>215</v>
      </c>
      <c r="C23" s="138"/>
      <c r="D23" s="139">
        <f t="shared" si="2"/>
        <v>3.29</v>
      </c>
      <c r="E23" s="140">
        <v>7.0000000000000001E-3</v>
      </c>
      <c r="F23" s="157">
        <v>2.1489999999999999E-2</v>
      </c>
      <c r="G23" s="140">
        <v>9.4900000000000002E-3</v>
      </c>
    </row>
    <row r="24" spans="1:8">
      <c r="A24" s="302"/>
      <c r="B24" s="156" t="s">
        <v>216</v>
      </c>
      <c r="C24" s="138"/>
      <c r="D24" s="139">
        <f>$H$17*E24</f>
        <v>18.799999999999997</v>
      </c>
      <c r="E24" s="137">
        <v>3.9999999999999994E-2</v>
      </c>
      <c r="F24" s="157">
        <v>5.8119999999999998E-2</v>
      </c>
      <c r="G24" s="140">
        <v>5.4899999999999997E-2</v>
      </c>
    </row>
    <row r="25" spans="1:8">
      <c r="A25" s="298" t="s">
        <v>48</v>
      </c>
      <c r="B25" s="298"/>
      <c r="C25" s="138"/>
      <c r="D25" s="139">
        <f t="shared" ref="D25" si="3">$H$17*E25</f>
        <v>10.010999999999999</v>
      </c>
      <c r="E25" s="140">
        <v>2.1299999999999999E-2</v>
      </c>
      <c r="F25" s="157">
        <v>2.1299999999999999E-2</v>
      </c>
      <c r="G25" s="140">
        <v>2.1299999999999999E-2</v>
      </c>
    </row>
    <row r="29" spans="1:8">
      <c r="A29" s="134"/>
      <c r="B29" s="134"/>
      <c r="C29" s="134"/>
      <c r="D29" s="134"/>
      <c r="E29" s="134"/>
      <c r="F29" s="297" t="s">
        <v>211</v>
      </c>
      <c r="G29" s="297"/>
      <c r="H29" s="135"/>
    </row>
    <row r="30" spans="1:8" ht="30" customHeight="1">
      <c r="A30" s="303" t="s">
        <v>212</v>
      </c>
      <c r="B30" s="303"/>
      <c r="C30" s="304"/>
      <c r="D30" s="304"/>
      <c r="E30" s="304"/>
      <c r="F30" s="304"/>
      <c r="G30" s="300"/>
      <c r="H30" s="136" t="s">
        <v>219</v>
      </c>
    </row>
    <row r="31" spans="1:8" ht="27">
      <c r="A31" s="303"/>
      <c r="B31" s="303"/>
      <c r="C31" s="143" t="s">
        <v>221</v>
      </c>
      <c r="D31" s="143" t="s">
        <v>220</v>
      </c>
      <c r="E31" s="144" t="s">
        <v>224</v>
      </c>
      <c r="F31" s="144" t="s">
        <v>223</v>
      </c>
      <c r="G31" s="144" t="s">
        <v>222</v>
      </c>
      <c r="H31" s="147">
        <f>销量!E8</f>
        <v>350</v>
      </c>
    </row>
    <row r="32" spans="1:8">
      <c r="A32" s="298" t="s">
        <v>213</v>
      </c>
      <c r="B32" s="298"/>
      <c r="C32" s="138"/>
      <c r="D32" s="139">
        <f>$H$31*E32</f>
        <v>19.676995230359374</v>
      </c>
      <c r="E32" s="157">
        <v>5.6219986372455351E-2</v>
      </c>
      <c r="F32" s="157">
        <v>0.10179000000000001</v>
      </c>
      <c r="G32" s="140">
        <v>6.3270000000000007E-2</v>
      </c>
    </row>
    <row r="33" spans="1:8">
      <c r="A33" s="298" t="s">
        <v>214</v>
      </c>
      <c r="B33" s="156" t="s">
        <v>215</v>
      </c>
      <c r="C33" s="138"/>
      <c r="D33" s="139">
        <f t="shared" ref="D33:D37" si="4">$H$31*E33</f>
        <v>15.75</v>
      </c>
      <c r="E33" s="140">
        <v>4.4999999999999998E-2</v>
      </c>
      <c r="F33" s="157">
        <v>0.2</v>
      </c>
      <c r="G33" s="140">
        <v>0.08</v>
      </c>
    </row>
    <row r="34" spans="1:8">
      <c r="A34" s="298"/>
      <c r="B34" s="156" t="s">
        <v>216</v>
      </c>
      <c r="C34" s="138"/>
      <c r="D34" s="139">
        <f t="shared" si="4"/>
        <v>5.2765963603768116</v>
      </c>
      <c r="E34" s="157">
        <v>1.5075989601076605E-2</v>
      </c>
      <c r="F34" s="157">
        <v>4.0280000000000003E-2</v>
      </c>
      <c r="G34" s="140">
        <v>2.068E-2</v>
      </c>
    </row>
    <row r="35" spans="1:8">
      <c r="A35" s="299" t="s">
        <v>217</v>
      </c>
      <c r="B35" s="300"/>
      <c r="C35" s="142"/>
      <c r="D35" s="139">
        <f t="shared" si="4"/>
        <v>40.703591590736188</v>
      </c>
      <c r="E35" s="184">
        <v>0.11629597597353196</v>
      </c>
      <c r="F35" s="184">
        <f>SUM(F32:F34)</f>
        <v>0.34206999999999999</v>
      </c>
      <c r="G35" s="185">
        <f>SUM(G32:G34)</f>
        <v>0.16395000000000001</v>
      </c>
    </row>
    <row r="36" spans="1:8">
      <c r="A36" s="298" t="s">
        <v>45</v>
      </c>
      <c r="B36" s="298"/>
      <c r="C36" s="138"/>
      <c r="D36" s="139">
        <f t="shared" si="4"/>
        <v>14</v>
      </c>
      <c r="E36" s="158">
        <v>0.04</v>
      </c>
      <c r="F36" s="157">
        <v>2.9350000000000001E-2</v>
      </c>
      <c r="G36" s="140">
        <v>4.9200000000000001E-2</v>
      </c>
    </row>
    <row r="37" spans="1:8">
      <c r="A37" s="301" t="s">
        <v>218</v>
      </c>
      <c r="B37" s="156" t="s">
        <v>215</v>
      </c>
      <c r="C37" s="138"/>
      <c r="D37" s="139">
        <f t="shared" si="4"/>
        <v>2.4500000000000002</v>
      </c>
      <c r="E37" s="140">
        <v>7.0000000000000001E-3</v>
      </c>
      <c r="F37" s="157">
        <v>2.1489999999999999E-2</v>
      </c>
      <c r="G37" s="140">
        <v>9.4900000000000002E-3</v>
      </c>
    </row>
    <row r="38" spans="1:8">
      <c r="A38" s="302"/>
      <c r="B38" s="156" t="s">
        <v>216</v>
      </c>
      <c r="C38" s="138"/>
      <c r="D38" s="139">
        <f>$H$31*E38</f>
        <v>13.999999999999998</v>
      </c>
      <c r="E38" s="137">
        <v>3.9999999999999994E-2</v>
      </c>
      <c r="F38" s="157">
        <v>5.8119999999999998E-2</v>
      </c>
      <c r="G38" s="140">
        <v>5.4899999999999997E-2</v>
      </c>
    </row>
    <row r="39" spans="1:8">
      <c r="A39" s="298" t="s">
        <v>48</v>
      </c>
      <c r="B39" s="298"/>
      <c r="C39" s="138"/>
      <c r="D39" s="139">
        <f t="shared" ref="D39" si="5">$H$31*E39</f>
        <v>7.4550000000000001</v>
      </c>
      <c r="E39" s="140">
        <v>2.1299999999999999E-2</v>
      </c>
      <c r="F39" s="157">
        <v>2.1299999999999999E-2</v>
      </c>
      <c r="G39" s="140">
        <v>2.1299999999999999E-2</v>
      </c>
    </row>
    <row r="42" spans="1:8">
      <c r="A42" s="134"/>
      <c r="B42" s="134"/>
      <c r="C42" s="134"/>
      <c r="D42" s="134"/>
      <c r="E42" s="134"/>
      <c r="F42" s="297" t="s">
        <v>211</v>
      </c>
      <c r="G42" s="297"/>
      <c r="H42" s="135"/>
    </row>
    <row r="43" spans="1:8" ht="28.5" customHeight="1">
      <c r="A43" s="303" t="s">
        <v>212</v>
      </c>
      <c r="B43" s="303"/>
      <c r="C43" s="304"/>
      <c r="D43" s="304"/>
      <c r="E43" s="304"/>
      <c r="F43" s="304"/>
      <c r="G43" s="300"/>
      <c r="H43" s="136" t="s">
        <v>219</v>
      </c>
    </row>
    <row r="44" spans="1:8" ht="27">
      <c r="A44" s="303"/>
      <c r="B44" s="303"/>
      <c r="C44" s="143" t="s">
        <v>221</v>
      </c>
      <c r="D44" s="143" t="s">
        <v>220</v>
      </c>
      <c r="E44" s="144" t="s">
        <v>224</v>
      </c>
      <c r="F44" s="144" t="s">
        <v>223</v>
      </c>
      <c r="G44" s="144" t="s">
        <v>222</v>
      </c>
      <c r="H44" s="147">
        <f>销量!F8</f>
        <v>2050</v>
      </c>
    </row>
    <row r="45" spans="1:8">
      <c r="A45" s="298" t="s">
        <v>213</v>
      </c>
      <c r="B45" s="298"/>
      <c r="C45" s="138"/>
      <c r="D45" s="139">
        <f>$H$44*E45</f>
        <v>115.25097206353347</v>
      </c>
      <c r="E45" s="157">
        <v>5.6219986372455351E-2</v>
      </c>
      <c r="F45" s="157">
        <v>0.10179000000000001</v>
      </c>
      <c r="G45" s="140">
        <v>6.3270000000000007E-2</v>
      </c>
    </row>
    <row r="46" spans="1:8">
      <c r="A46" s="298" t="s">
        <v>214</v>
      </c>
      <c r="B46" s="156" t="s">
        <v>215</v>
      </c>
      <c r="C46" s="138"/>
      <c r="D46" s="139">
        <f t="shared" ref="D46:D50" si="6">$H$44*E46</f>
        <v>92.25</v>
      </c>
      <c r="E46" s="140">
        <v>4.4999999999999998E-2</v>
      </c>
      <c r="F46" s="157">
        <v>0.2</v>
      </c>
      <c r="G46" s="140">
        <v>0.08</v>
      </c>
    </row>
    <row r="47" spans="1:8">
      <c r="A47" s="298"/>
      <c r="B47" s="156" t="s">
        <v>216</v>
      </c>
      <c r="C47" s="138"/>
      <c r="D47" s="139">
        <f t="shared" si="6"/>
        <v>30.905778682207039</v>
      </c>
      <c r="E47" s="157">
        <v>1.5075989601076605E-2</v>
      </c>
      <c r="F47" s="157">
        <v>4.0280000000000003E-2</v>
      </c>
      <c r="G47" s="140">
        <v>2.068E-2</v>
      </c>
    </row>
    <row r="48" spans="1:8">
      <c r="A48" s="299" t="s">
        <v>217</v>
      </c>
      <c r="B48" s="300"/>
      <c r="C48" s="142"/>
      <c r="D48" s="139">
        <f t="shared" si="6"/>
        <v>238.40675074574051</v>
      </c>
      <c r="E48" s="184">
        <v>0.11629597597353196</v>
      </c>
      <c r="F48" s="184">
        <f>SUM(F45:F47)</f>
        <v>0.34206999999999999</v>
      </c>
      <c r="G48" s="185">
        <f>SUM(G45:G47)</f>
        <v>0.16395000000000001</v>
      </c>
    </row>
    <row r="49" spans="1:8">
      <c r="A49" s="298" t="s">
        <v>45</v>
      </c>
      <c r="B49" s="298"/>
      <c r="C49" s="138"/>
      <c r="D49" s="139">
        <f t="shared" si="6"/>
        <v>82</v>
      </c>
      <c r="E49" s="158">
        <v>0.04</v>
      </c>
      <c r="F49" s="157">
        <v>2.9350000000000001E-2</v>
      </c>
      <c r="G49" s="140">
        <v>4.9200000000000001E-2</v>
      </c>
    </row>
    <row r="50" spans="1:8">
      <c r="A50" s="301" t="s">
        <v>218</v>
      </c>
      <c r="B50" s="156" t="s">
        <v>215</v>
      </c>
      <c r="C50" s="138"/>
      <c r="D50" s="139">
        <f t="shared" si="6"/>
        <v>14.35</v>
      </c>
      <c r="E50" s="140">
        <v>7.0000000000000001E-3</v>
      </c>
      <c r="F50" s="157">
        <v>2.1489999999999999E-2</v>
      </c>
      <c r="G50" s="140">
        <v>9.4900000000000002E-3</v>
      </c>
    </row>
    <row r="51" spans="1:8">
      <c r="A51" s="302"/>
      <c r="B51" s="156" t="s">
        <v>216</v>
      </c>
      <c r="C51" s="138"/>
      <c r="D51" s="139">
        <f>$H$44*E51</f>
        <v>81.999999999999986</v>
      </c>
      <c r="E51" s="137">
        <v>3.9999999999999994E-2</v>
      </c>
      <c r="F51" s="157">
        <v>5.8119999999999998E-2</v>
      </c>
      <c r="G51" s="140">
        <v>5.4899999999999997E-2</v>
      </c>
    </row>
    <row r="52" spans="1:8">
      <c r="A52" s="298" t="s">
        <v>48</v>
      </c>
      <c r="B52" s="298"/>
      <c r="C52" s="138"/>
      <c r="D52" s="139">
        <f t="shared" ref="D52" si="7">$H$44*E52</f>
        <v>43.664999999999999</v>
      </c>
      <c r="E52" s="140">
        <v>2.1299999999999999E-2</v>
      </c>
      <c r="F52" s="157">
        <v>2.1299999999999999E-2</v>
      </c>
      <c r="G52" s="140">
        <v>2.1299999999999999E-2</v>
      </c>
    </row>
    <row r="55" spans="1:8">
      <c r="A55" s="134"/>
      <c r="B55" s="134"/>
      <c r="C55" s="134"/>
      <c r="D55" s="134"/>
      <c r="E55" s="134"/>
      <c r="F55" s="297" t="s">
        <v>211</v>
      </c>
      <c r="G55" s="297"/>
      <c r="H55" s="135"/>
    </row>
    <row r="56" spans="1:8">
      <c r="A56" s="303" t="s">
        <v>212</v>
      </c>
      <c r="B56" s="303"/>
      <c r="C56" s="304"/>
      <c r="D56" s="304"/>
      <c r="E56" s="304"/>
      <c r="F56" s="304"/>
      <c r="G56" s="300"/>
      <c r="H56" s="136" t="s">
        <v>219</v>
      </c>
    </row>
    <row r="57" spans="1:8" ht="27">
      <c r="A57" s="303"/>
      <c r="B57" s="303"/>
      <c r="C57" s="143" t="s">
        <v>221</v>
      </c>
      <c r="D57" s="143" t="s">
        <v>220</v>
      </c>
      <c r="E57" s="144" t="s">
        <v>224</v>
      </c>
      <c r="F57" s="144" t="s">
        <v>223</v>
      </c>
      <c r="G57" s="144" t="s">
        <v>222</v>
      </c>
      <c r="H57" s="147">
        <f>销量!G8</f>
        <v>1550</v>
      </c>
    </row>
    <row r="58" spans="1:8">
      <c r="A58" s="298" t="s">
        <v>213</v>
      </c>
      <c r="B58" s="298"/>
      <c r="C58" s="138"/>
      <c r="D58" s="139">
        <f>$H$57*E58</f>
        <v>87.140978877305798</v>
      </c>
      <c r="E58" s="157">
        <v>5.6219986372455351E-2</v>
      </c>
      <c r="F58" s="157">
        <v>0.10179000000000001</v>
      </c>
      <c r="G58" s="140">
        <v>6.3270000000000007E-2</v>
      </c>
    </row>
    <row r="59" spans="1:8">
      <c r="A59" s="298" t="s">
        <v>214</v>
      </c>
      <c r="B59" s="156" t="s">
        <v>215</v>
      </c>
      <c r="C59" s="138"/>
      <c r="D59" s="139">
        <f t="shared" ref="D59:D63" si="8">$H$57*E59</f>
        <v>69.75</v>
      </c>
      <c r="E59" s="140">
        <v>4.4999999999999998E-2</v>
      </c>
      <c r="F59" s="157">
        <v>0.2</v>
      </c>
      <c r="G59" s="140">
        <v>0.08</v>
      </c>
    </row>
    <row r="60" spans="1:8">
      <c r="A60" s="298"/>
      <c r="B60" s="156" t="s">
        <v>216</v>
      </c>
      <c r="C60" s="138"/>
      <c r="D60" s="139">
        <f t="shared" si="8"/>
        <v>23.367783881668739</v>
      </c>
      <c r="E60" s="157">
        <v>1.5075989601076605E-2</v>
      </c>
      <c r="F60" s="157">
        <v>4.0280000000000003E-2</v>
      </c>
      <c r="G60" s="140">
        <v>2.068E-2</v>
      </c>
    </row>
    <row r="61" spans="1:8">
      <c r="A61" s="299" t="s">
        <v>217</v>
      </c>
      <c r="B61" s="300"/>
      <c r="C61" s="142"/>
      <c r="D61" s="139">
        <f t="shared" si="8"/>
        <v>180.25876275897454</v>
      </c>
      <c r="E61" s="184">
        <v>0.11629597597353196</v>
      </c>
      <c r="F61" s="184">
        <f>SUM(F58:F60)</f>
        <v>0.34206999999999999</v>
      </c>
      <c r="G61" s="185">
        <f>SUM(G58:G60)</f>
        <v>0.16395000000000001</v>
      </c>
    </row>
    <row r="62" spans="1:8">
      <c r="A62" s="298" t="s">
        <v>45</v>
      </c>
      <c r="B62" s="298"/>
      <c r="C62" s="138"/>
      <c r="D62" s="139">
        <f t="shared" si="8"/>
        <v>62</v>
      </c>
      <c r="E62" s="158">
        <v>0.04</v>
      </c>
      <c r="F62" s="157">
        <v>2.9350000000000001E-2</v>
      </c>
      <c r="G62" s="140">
        <v>4.9200000000000001E-2</v>
      </c>
    </row>
    <row r="63" spans="1:8">
      <c r="A63" s="301" t="s">
        <v>218</v>
      </c>
      <c r="B63" s="156" t="s">
        <v>215</v>
      </c>
      <c r="C63" s="138"/>
      <c r="D63" s="139">
        <f t="shared" si="8"/>
        <v>10.85</v>
      </c>
      <c r="E63" s="140">
        <v>7.0000000000000001E-3</v>
      </c>
      <c r="F63" s="157">
        <v>2.1489999999999999E-2</v>
      </c>
      <c r="G63" s="140">
        <v>9.4900000000000002E-3</v>
      </c>
    </row>
    <row r="64" spans="1:8">
      <c r="A64" s="302"/>
      <c r="B64" s="156" t="s">
        <v>216</v>
      </c>
      <c r="C64" s="138"/>
      <c r="D64" s="139">
        <f>$H$57*E64</f>
        <v>61.999999999999993</v>
      </c>
      <c r="E64" s="137">
        <v>3.9999999999999994E-2</v>
      </c>
      <c r="F64" s="157">
        <v>5.8119999999999998E-2</v>
      </c>
      <c r="G64" s="140">
        <v>5.4899999999999997E-2</v>
      </c>
    </row>
    <row r="65" spans="1:8">
      <c r="A65" s="298" t="s">
        <v>48</v>
      </c>
      <c r="B65" s="298"/>
      <c r="C65" s="138"/>
      <c r="D65" s="139">
        <f t="shared" ref="D65" si="9">$H$57*E65</f>
        <v>33.015000000000001</v>
      </c>
      <c r="E65" s="140">
        <v>2.1299999999999999E-2</v>
      </c>
      <c r="F65" s="157">
        <v>2.1299999999999999E-2</v>
      </c>
      <c r="G65" s="140">
        <v>2.1299999999999999E-2</v>
      </c>
    </row>
    <row r="68" spans="1:8">
      <c r="A68" s="134"/>
      <c r="B68" s="134"/>
      <c r="C68" s="134"/>
      <c r="D68" s="134"/>
      <c r="E68" s="134"/>
      <c r="F68" s="297" t="s">
        <v>211</v>
      </c>
      <c r="G68" s="297"/>
      <c r="H68" s="135"/>
    </row>
    <row r="69" spans="1:8">
      <c r="A69" s="303" t="s">
        <v>212</v>
      </c>
      <c r="B69" s="303"/>
      <c r="C69" s="304"/>
      <c r="D69" s="304"/>
      <c r="E69" s="304"/>
      <c r="F69" s="304"/>
      <c r="G69" s="300"/>
      <c r="H69" s="136" t="s">
        <v>219</v>
      </c>
    </row>
    <row r="70" spans="1:8" ht="27">
      <c r="A70" s="303"/>
      <c r="B70" s="303"/>
      <c r="C70" s="143" t="s">
        <v>221</v>
      </c>
      <c r="D70" s="143" t="s">
        <v>220</v>
      </c>
      <c r="E70" s="144" t="s">
        <v>224</v>
      </c>
      <c r="F70" s="144" t="s">
        <v>223</v>
      </c>
      <c r="G70" s="144" t="s">
        <v>222</v>
      </c>
      <c r="H70" s="147">
        <f>销量!H8</f>
        <v>1260</v>
      </c>
    </row>
    <row r="71" spans="1:8">
      <c r="A71" s="298" t="s">
        <v>213</v>
      </c>
      <c r="B71" s="298"/>
      <c r="C71" s="138"/>
      <c r="D71" s="139">
        <f>$H$70*E71</f>
        <v>70.837182829293738</v>
      </c>
      <c r="E71" s="157">
        <v>5.6219986372455351E-2</v>
      </c>
      <c r="F71" s="157">
        <v>0.10179000000000001</v>
      </c>
      <c r="G71" s="140">
        <v>6.3270000000000007E-2</v>
      </c>
    </row>
    <row r="72" spans="1:8">
      <c r="A72" s="298" t="s">
        <v>214</v>
      </c>
      <c r="B72" s="156" t="s">
        <v>215</v>
      </c>
      <c r="C72" s="138"/>
      <c r="D72" s="139">
        <f t="shared" ref="D72:D76" si="10">$H$70*E72</f>
        <v>56.699999999999996</v>
      </c>
      <c r="E72" s="140">
        <v>4.4999999999999998E-2</v>
      </c>
      <c r="F72" s="157">
        <v>0.2</v>
      </c>
      <c r="G72" s="140">
        <v>0.08</v>
      </c>
    </row>
    <row r="73" spans="1:8">
      <c r="A73" s="298"/>
      <c r="B73" s="156" t="s">
        <v>216</v>
      </c>
      <c r="C73" s="138"/>
      <c r="D73" s="139">
        <f t="shared" si="10"/>
        <v>18.995746897356522</v>
      </c>
      <c r="E73" s="157">
        <v>1.5075989601076605E-2</v>
      </c>
      <c r="F73" s="157">
        <v>4.0280000000000003E-2</v>
      </c>
      <c r="G73" s="140">
        <v>2.068E-2</v>
      </c>
    </row>
    <row r="74" spans="1:8">
      <c r="A74" s="299" t="s">
        <v>217</v>
      </c>
      <c r="B74" s="300"/>
      <c r="C74" s="142"/>
      <c r="D74" s="139">
        <f t="shared" si="10"/>
        <v>146.53292972665028</v>
      </c>
      <c r="E74" s="184">
        <v>0.11629597597353196</v>
      </c>
      <c r="F74" s="184">
        <f>SUM(F71:F73)</f>
        <v>0.34206999999999999</v>
      </c>
      <c r="G74" s="185">
        <f>SUM(G71:G73)</f>
        <v>0.16395000000000001</v>
      </c>
    </row>
    <row r="75" spans="1:8">
      <c r="A75" s="298" t="s">
        <v>45</v>
      </c>
      <c r="B75" s="298"/>
      <c r="C75" s="138"/>
      <c r="D75" s="139">
        <f t="shared" si="10"/>
        <v>50.4</v>
      </c>
      <c r="E75" s="158">
        <v>0.04</v>
      </c>
      <c r="F75" s="157">
        <v>2.9350000000000001E-2</v>
      </c>
      <c r="G75" s="140">
        <v>4.9200000000000001E-2</v>
      </c>
    </row>
    <row r="76" spans="1:8">
      <c r="A76" s="301" t="s">
        <v>218</v>
      </c>
      <c r="B76" s="156" t="s">
        <v>215</v>
      </c>
      <c r="C76" s="138"/>
      <c r="D76" s="139">
        <f t="shared" si="10"/>
        <v>8.82</v>
      </c>
      <c r="E76" s="140">
        <v>7.0000000000000001E-3</v>
      </c>
      <c r="F76" s="157">
        <v>2.1489999999999999E-2</v>
      </c>
      <c r="G76" s="140">
        <v>9.4900000000000002E-3</v>
      </c>
    </row>
    <row r="77" spans="1:8">
      <c r="A77" s="302"/>
      <c r="B77" s="156" t="s">
        <v>216</v>
      </c>
      <c r="C77" s="138"/>
      <c r="D77" s="139">
        <f>$H$70*E77</f>
        <v>50.399999999999991</v>
      </c>
      <c r="E77" s="137">
        <v>3.9999999999999994E-2</v>
      </c>
      <c r="F77" s="157">
        <v>5.8119999999999998E-2</v>
      </c>
      <c r="G77" s="140">
        <v>5.4899999999999997E-2</v>
      </c>
    </row>
    <row r="78" spans="1:8">
      <c r="A78" s="298" t="s">
        <v>48</v>
      </c>
      <c r="B78" s="298"/>
      <c r="C78" s="138"/>
      <c r="D78" s="139">
        <f t="shared" ref="D78" si="11">$H$70*E78</f>
        <v>26.838000000000001</v>
      </c>
      <c r="E78" s="140">
        <v>2.1299999999999999E-2</v>
      </c>
      <c r="F78" s="157">
        <v>2.1299999999999999E-2</v>
      </c>
      <c r="G78" s="140">
        <v>2.1299999999999999E-2</v>
      </c>
    </row>
    <row r="81" spans="1:8">
      <c r="A81" s="134"/>
      <c r="B81" s="134"/>
      <c r="C81" s="134"/>
      <c r="D81" s="134"/>
      <c r="E81" s="134"/>
      <c r="F81" s="297" t="s">
        <v>211</v>
      </c>
      <c r="G81" s="297"/>
      <c r="H81" s="135"/>
    </row>
    <row r="82" spans="1:8">
      <c r="A82" s="303" t="s">
        <v>212</v>
      </c>
      <c r="B82" s="303"/>
      <c r="C82" s="304"/>
      <c r="D82" s="304"/>
      <c r="E82" s="304"/>
      <c r="F82" s="304"/>
      <c r="G82" s="300"/>
      <c r="H82" s="136" t="s">
        <v>219</v>
      </c>
    </row>
    <row r="83" spans="1:8" ht="27">
      <c r="A83" s="303"/>
      <c r="B83" s="303"/>
      <c r="C83" s="143" t="s">
        <v>221</v>
      </c>
      <c r="D83" s="143" t="s">
        <v>220</v>
      </c>
      <c r="E83" s="144" t="s">
        <v>224</v>
      </c>
      <c r="F83" s="144" t="s">
        <v>223</v>
      </c>
      <c r="G83" s="144" t="s">
        <v>222</v>
      </c>
      <c r="H83" s="147">
        <f>销量!I8</f>
        <v>350</v>
      </c>
    </row>
    <row r="84" spans="1:8">
      <c r="A84" s="298" t="s">
        <v>213</v>
      </c>
      <c r="B84" s="298"/>
      <c r="C84" s="138"/>
      <c r="D84" s="139">
        <f>$H$83*E84</f>
        <v>19.676995230359374</v>
      </c>
      <c r="E84" s="157">
        <v>5.6219986372455351E-2</v>
      </c>
      <c r="F84" s="157">
        <v>0.10179000000000001</v>
      </c>
      <c r="G84" s="140">
        <v>6.3270000000000007E-2</v>
      </c>
    </row>
    <row r="85" spans="1:8">
      <c r="A85" s="298" t="s">
        <v>214</v>
      </c>
      <c r="B85" s="169" t="s">
        <v>215</v>
      </c>
      <c r="C85" s="138"/>
      <c r="D85" s="139">
        <f t="shared" ref="D85:D89" si="12">$H$83*E85</f>
        <v>15.75</v>
      </c>
      <c r="E85" s="140">
        <v>4.4999999999999998E-2</v>
      </c>
      <c r="F85" s="157">
        <v>0.2</v>
      </c>
      <c r="G85" s="140">
        <v>0.08</v>
      </c>
    </row>
    <row r="86" spans="1:8">
      <c r="A86" s="298"/>
      <c r="B86" s="169" t="s">
        <v>216</v>
      </c>
      <c r="C86" s="138"/>
      <c r="D86" s="139">
        <f t="shared" si="12"/>
        <v>5.2765963603768116</v>
      </c>
      <c r="E86" s="157">
        <v>1.5075989601076605E-2</v>
      </c>
      <c r="F86" s="157">
        <v>4.0280000000000003E-2</v>
      </c>
      <c r="G86" s="140">
        <v>2.068E-2</v>
      </c>
    </row>
    <row r="87" spans="1:8">
      <c r="A87" s="299" t="s">
        <v>217</v>
      </c>
      <c r="B87" s="300"/>
      <c r="C87" s="142"/>
      <c r="D87" s="139">
        <f t="shared" si="12"/>
        <v>40.703591590736188</v>
      </c>
      <c r="E87" s="184">
        <v>0.11629597597353196</v>
      </c>
      <c r="F87" s="184">
        <f>SUM(F84:F86)</f>
        <v>0.34206999999999999</v>
      </c>
      <c r="G87" s="185">
        <f>SUM(G84:G86)</f>
        <v>0.16395000000000001</v>
      </c>
    </row>
    <row r="88" spans="1:8">
      <c r="A88" s="298" t="s">
        <v>45</v>
      </c>
      <c r="B88" s="298"/>
      <c r="C88" s="138"/>
      <c r="D88" s="139">
        <f t="shared" si="12"/>
        <v>14</v>
      </c>
      <c r="E88" s="158">
        <v>0.04</v>
      </c>
      <c r="F88" s="157">
        <v>2.9350000000000001E-2</v>
      </c>
      <c r="G88" s="140">
        <v>4.9200000000000001E-2</v>
      </c>
    </row>
    <row r="89" spans="1:8">
      <c r="A89" s="301" t="s">
        <v>218</v>
      </c>
      <c r="B89" s="169" t="s">
        <v>215</v>
      </c>
      <c r="C89" s="138"/>
      <c r="D89" s="139">
        <f t="shared" si="12"/>
        <v>2.4500000000000002</v>
      </c>
      <c r="E89" s="140">
        <v>7.0000000000000001E-3</v>
      </c>
      <c r="F89" s="157">
        <v>2.1489999999999999E-2</v>
      </c>
      <c r="G89" s="140">
        <v>9.4900000000000002E-3</v>
      </c>
    </row>
    <row r="90" spans="1:8">
      <c r="A90" s="302"/>
      <c r="B90" s="169" t="s">
        <v>216</v>
      </c>
      <c r="C90" s="138"/>
      <c r="D90" s="139">
        <f t="shared" ref="D90:D91" si="13">$H$83*E90</f>
        <v>13.999999999999998</v>
      </c>
      <c r="E90" s="137">
        <v>3.9999999999999994E-2</v>
      </c>
      <c r="F90" s="157">
        <v>5.8119999999999998E-2</v>
      </c>
      <c r="G90" s="140">
        <v>5.4899999999999997E-2</v>
      </c>
    </row>
    <row r="91" spans="1:8">
      <c r="A91" s="298" t="s">
        <v>48</v>
      </c>
      <c r="B91" s="298"/>
      <c r="C91" s="138"/>
      <c r="D91" s="139">
        <f t="shared" si="13"/>
        <v>7.4550000000000001</v>
      </c>
      <c r="E91" s="140">
        <v>2.1299999999999999E-2</v>
      </c>
      <c r="F91" s="157">
        <v>2.1299999999999999E-2</v>
      </c>
      <c r="G91" s="140">
        <v>2.1299999999999999E-2</v>
      </c>
    </row>
    <row r="94" spans="1:8">
      <c r="A94" s="134"/>
      <c r="B94" s="134"/>
      <c r="C94" s="134"/>
      <c r="D94" s="134"/>
      <c r="E94" s="134"/>
      <c r="F94" s="297" t="s">
        <v>211</v>
      </c>
      <c r="G94" s="297"/>
      <c r="H94" s="135"/>
    </row>
    <row r="95" spans="1:8">
      <c r="A95" s="303" t="s">
        <v>212</v>
      </c>
      <c r="B95" s="303"/>
      <c r="C95" s="304"/>
      <c r="D95" s="304"/>
      <c r="E95" s="304"/>
      <c r="F95" s="304"/>
      <c r="G95" s="300"/>
      <c r="H95" s="136" t="s">
        <v>219</v>
      </c>
    </row>
    <row r="96" spans="1:8" ht="27">
      <c r="A96" s="303"/>
      <c r="B96" s="303"/>
      <c r="C96" s="143" t="s">
        <v>221</v>
      </c>
      <c r="D96" s="143" t="s">
        <v>220</v>
      </c>
      <c r="E96" s="144" t="s">
        <v>224</v>
      </c>
      <c r="F96" s="144" t="s">
        <v>223</v>
      </c>
      <c r="G96" s="144" t="s">
        <v>222</v>
      </c>
      <c r="H96" s="147">
        <f>销量!J8</f>
        <v>470</v>
      </c>
    </row>
    <row r="97" spans="1:8">
      <c r="A97" s="298" t="s">
        <v>213</v>
      </c>
      <c r="B97" s="298"/>
      <c r="C97" s="138"/>
      <c r="D97" s="139">
        <f>$H$96*E97</f>
        <v>26.423393595054016</v>
      </c>
      <c r="E97" s="157">
        <v>5.6219986372455351E-2</v>
      </c>
      <c r="F97" s="157">
        <v>0.10179000000000001</v>
      </c>
      <c r="G97" s="140">
        <v>6.3270000000000007E-2</v>
      </c>
    </row>
    <row r="98" spans="1:8">
      <c r="A98" s="298" t="s">
        <v>214</v>
      </c>
      <c r="B98" s="169" t="s">
        <v>215</v>
      </c>
      <c r="C98" s="138"/>
      <c r="D98" s="139">
        <f t="shared" ref="D98:D103" si="14">$H$96*E98</f>
        <v>21.15</v>
      </c>
      <c r="E98" s="140">
        <v>4.4999999999999998E-2</v>
      </c>
      <c r="F98" s="157">
        <v>0.2</v>
      </c>
      <c r="G98" s="140">
        <v>0.08</v>
      </c>
    </row>
    <row r="99" spans="1:8">
      <c r="A99" s="298"/>
      <c r="B99" s="169" t="s">
        <v>216</v>
      </c>
      <c r="C99" s="138"/>
      <c r="D99" s="139">
        <f t="shared" si="14"/>
        <v>7.0857151125060041</v>
      </c>
      <c r="E99" s="157">
        <v>1.5075989601076605E-2</v>
      </c>
      <c r="F99" s="157">
        <v>4.0280000000000003E-2</v>
      </c>
      <c r="G99" s="140">
        <v>2.068E-2</v>
      </c>
    </row>
    <row r="100" spans="1:8">
      <c r="A100" s="299" t="s">
        <v>217</v>
      </c>
      <c r="B100" s="300"/>
      <c r="C100" s="142"/>
      <c r="D100" s="139">
        <f t="shared" si="14"/>
        <v>54.659108707560023</v>
      </c>
      <c r="E100" s="184">
        <v>0.11629597597353196</v>
      </c>
      <c r="F100" s="184">
        <f>SUM(F97:F99)</f>
        <v>0.34206999999999999</v>
      </c>
      <c r="G100" s="185">
        <f>SUM(G97:G99)</f>
        <v>0.16395000000000001</v>
      </c>
    </row>
    <row r="101" spans="1:8">
      <c r="A101" s="298" t="s">
        <v>45</v>
      </c>
      <c r="B101" s="298"/>
      <c r="C101" s="138"/>
      <c r="D101" s="139">
        <f t="shared" si="14"/>
        <v>18.8</v>
      </c>
      <c r="E101" s="158">
        <v>0.04</v>
      </c>
      <c r="F101" s="157">
        <v>2.9350000000000001E-2</v>
      </c>
      <c r="G101" s="140">
        <v>4.9200000000000001E-2</v>
      </c>
    </row>
    <row r="102" spans="1:8">
      <c r="A102" s="301" t="s">
        <v>218</v>
      </c>
      <c r="B102" s="169" t="s">
        <v>215</v>
      </c>
      <c r="C102" s="138"/>
      <c r="D102" s="139">
        <f t="shared" si="14"/>
        <v>3.29</v>
      </c>
      <c r="E102" s="140">
        <v>7.0000000000000001E-3</v>
      </c>
      <c r="F102" s="157">
        <v>2.1489999999999999E-2</v>
      </c>
      <c r="G102" s="140">
        <v>9.4900000000000002E-3</v>
      </c>
    </row>
    <row r="103" spans="1:8">
      <c r="A103" s="302"/>
      <c r="B103" s="169" t="s">
        <v>216</v>
      </c>
      <c r="C103" s="138"/>
      <c r="D103" s="139">
        <f t="shared" si="14"/>
        <v>18.799999999999997</v>
      </c>
      <c r="E103" s="137">
        <v>3.9999999999999994E-2</v>
      </c>
      <c r="F103" s="157">
        <v>5.8119999999999998E-2</v>
      </c>
      <c r="G103" s="140">
        <v>5.4899999999999997E-2</v>
      </c>
    </row>
    <row r="104" spans="1:8">
      <c r="A104" s="298" t="s">
        <v>48</v>
      </c>
      <c r="B104" s="298"/>
      <c r="C104" s="138"/>
      <c r="D104" s="139">
        <f t="shared" ref="D104" si="15">$H$96*E104</f>
        <v>10.010999999999999</v>
      </c>
      <c r="E104" s="140">
        <v>2.1299999999999999E-2</v>
      </c>
      <c r="F104" s="157">
        <v>2.1299999999999999E-2</v>
      </c>
      <c r="G104" s="140">
        <v>2.1299999999999999E-2</v>
      </c>
    </row>
    <row r="107" spans="1:8">
      <c r="A107" s="134"/>
      <c r="B107" s="134"/>
      <c r="C107" s="134"/>
      <c r="D107" s="134"/>
      <c r="E107" s="134"/>
      <c r="F107" s="297" t="s">
        <v>211</v>
      </c>
      <c r="G107" s="297"/>
      <c r="H107" s="135"/>
    </row>
    <row r="108" spans="1:8">
      <c r="A108" s="303" t="s">
        <v>212</v>
      </c>
      <c r="B108" s="303"/>
      <c r="C108" s="304"/>
      <c r="D108" s="304"/>
      <c r="E108" s="304"/>
      <c r="F108" s="304"/>
      <c r="G108" s="300"/>
      <c r="H108" s="136" t="s">
        <v>219</v>
      </c>
    </row>
    <row r="109" spans="1:8" ht="27">
      <c r="A109" s="303"/>
      <c r="B109" s="303"/>
      <c r="C109" s="143" t="s">
        <v>221</v>
      </c>
      <c r="D109" s="143" t="s">
        <v>220</v>
      </c>
      <c r="E109" s="144" t="s">
        <v>224</v>
      </c>
      <c r="F109" s="144" t="s">
        <v>223</v>
      </c>
      <c r="G109" s="144" t="s">
        <v>222</v>
      </c>
      <c r="H109" s="147">
        <f>销量!K8</f>
        <v>470</v>
      </c>
    </row>
    <row r="110" spans="1:8">
      <c r="A110" s="298" t="s">
        <v>213</v>
      </c>
      <c r="B110" s="298"/>
      <c r="C110" s="138"/>
      <c r="D110" s="139">
        <f>$H$109*E110</f>
        <v>26.423393595054016</v>
      </c>
      <c r="E110" s="157">
        <v>5.6219986372455351E-2</v>
      </c>
      <c r="F110" s="157">
        <v>0.10179000000000001</v>
      </c>
      <c r="G110" s="140">
        <v>6.3270000000000007E-2</v>
      </c>
    </row>
    <row r="111" spans="1:8">
      <c r="A111" s="298" t="s">
        <v>214</v>
      </c>
      <c r="B111" s="169" t="s">
        <v>215</v>
      </c>
      <c r="C111" s="138"/>
      <c r="D111" s="139">
        <f t="shared" ref="D111:D115" si="16">$H$109*E111</f>
        <v>21.15</v>
      </c>
      <c r="E111" s="140">
        <v>4.4999999999999998E-2</v>
      </c>
      <c r="F111" s="157">
        <v>0.2</v>
      </c>
      <c r="G111" s="140">
        <v>0.08</v>
      </c>
    </row>
    <row r="112" spans="1:8">
      <c r="A112" s="298"/>
      <c r="B112" s="169" t="s">
        <v>216</v>
      </c>
      <c r="C112" s="138"/>
      <c r="D112" s="139">
        <f t="shared" si="16"/>
        <v>7.0857151125060041</v>
      </c>
      <c r="E112" s="157">
        <v>1.5075989601076605E-2</v>
      </c>
      <c r="F112" s="157">
        <v>4.0280000000000003E-2</v>
      </c>
      <c r="G112" s="140">
        <v>2.068E-2</v>
      </c>
    </row>
    <row r="113" spans="1:7">
      <c r="A113" s="299" t="s">
        <v>217</v>
      </c>
      <c r="B113" s="300"/>
      <c r="C113" s="142"/>
      <c r="D113" s="139">
        <f t="shared" si="16"/>
        <v>54.659108707560023</v>
      </c>
      <c r="E113" s="184">
        <v>0.11629597597353196</v>
      </c>
      <c r="F113" s="184">
        <f>SUM(F110:F112)</f>
        <v>0.34206999999999999</v>
      </c>
      <c r="G113" s="185">
        <f>SUM(G110:G112)</f>
        <v>0.16395000000000001</v>
      </c>
    </row>
    <row r="114" spans="1:7">
      <c r="A114" s="298" t="s">
        <v>45</v>
      </c>
      <c r="B114" s="298"/>
      <c r="C114" s="138"/>
      <c r="D114" s="139">
        <f t="shared" si="16"/>
        <v>18.8</v>
      </c>
      <c r="E114" s="158">
        <v>0.04</v>
      </c>
      <c r="F114" s="157">
        <v>2.9350000000000001E-2</v>
      </c>
      <c r="G114" s="140">
        <v>4.9200000000000001E-2</v>
      </c>
    </row>
    <row r="115" spans="1:7">
      <c r="A115" s="301" t="s">
        <v>218</v>
      </c>
      <c r="B115" s="169" t="s">
        <v>215</v>
      </c>
      <c r="C115" s="138"/>
      <c r="D115" s="139">
        <f t="shared" si="16"/>
        <v>3.29</v>
      </c>
      <c r="E115" s="140">
        <v>7.0000000000000001E-3</v>
      </c>
      <c r="F115" s="157">
        <v>2.1489999999999999E-2</v>
      </c>
      <c r="G115" s="140">
        <v>9.4900000000000002E-3</v>
      </c>
    </row>
    <row r="116" spans="1:7">
      <c r="A116" s="302"/>
      <c r="B116" s="169" t="s">
        <v>216</v>
      </c>
      <c r="C116" s="138"/>
      <c r="D116" s="139">
        <f>$H$109*E116</f>
        <v>18.799999999999997</v>
      </c>
      <c r="E116" s="137">
        <v>3.9999999999999994E-2</v>
      </c>
      <c r="F116" s="157">
        <v>5.8119999999999998E-2</v>
      </c>
      <c r="G116" s="140">
        <v>5.4899999999999997E-2</v>
      </c>
    </row>
    <row r="117" spans="1:7">
      <c r="A117" s="298" t="s">
        <v>48</v>
      </c>
      <c r="B117" s="298"/>
      <c r="C117" s="138"/>
      <c r="D117" s="139">
        <f t="shared" ref="D117" si="17">$H$109*E117</f>
        <v>10.010999999999999</v>
      </c>
      <c r="E117" s="140">
        <v>2.1299999999999999E-2</v>
      </c>
      <c r="F117" s="157">
        <v>2.1299999999999999E-2</v>
      </c>
      <c r="G117" s="140">
        <v>2.1299999999999999E-2</v>
      </c>
    </row>
  </sheetData>
  <mergeCells count="81">
    <mergeCell ref="A117:B117"/>
    <mergeCell ref="A110:B110"/>
    <mergeCell ref="A111:A112"/>
    <mergeCell ref="A113:B113"/>
    <mergeCell ref="A114:B114"/>
    <mergeCell ref="A115:A116"/>
    <mergeCell ref="A101:B101"/>
    <mergeCell ref="A102:A103"/>
    <mergeCell ref="A104:B104"/>
    <mergeCell ref="F107:G107"/>
    <mergeCell ref="A108:B109"/>
    <mergeCell ref="C108:G108"/>
    <mergeCell ref="A95:B96"/>
    <mergeCell ref="C95:G95"/>
    <mergeCell ref="A97:B97"/>
    <mergeCell ref="A98:A99"/>
    <mergeCell ref="A100:B100"/>
    <mergeCell ref="A87:B87"/>
    <mergeCell ref="A88:B88"/>
    <mergeCell ref="A89:A90"/>
    <mergeCell ref="A91:B91"/>
    <mergeCell ref="F94:G94"/>
    <mergeCell ref="F81:G81"/>
    <mergeCell ref="A82:B83"/>
    <mergeCell ref="C82:G82"/>
    <mergeCell ref="A84:B84"/>
    <mergeCell ref="A85:A86"/>
    <mergeCell ref="A74:B74"/>
    <mergeCell ref="A75:B75"/>
    <mergeCell ref="A76:A77"/>
    <mergeCell ref="A78:B78"/>
    <mergeCell ref="F68:G68"/>
    <mergeCell ref="A69:B70"/>
    <mergeCell ref="C69:G69"/>
    <mergeCell ref="A71:B71"/>
    <mergeCell ref="A72:A73"/>
    <mergeCell ref="A59:A60"/>
    <mergeCell ref="A61:B61"/>
    <mergeCell ref="A62:B62"/>
    <mergeCell ref="A63:A64"/>
    <mergeCell ref="A65:B65"/>
    <mergeCell ref="A52:B52"/>
    <mergeCell ref="F55:G55"/>
    <mergeCell ref="A56:B57"/>
    <mergeCell ref="C56:G56"/>
    <mergeCell ref="A58:B58"/>
    <mergeCell ref="A45:B45"/>
    <mergeCell ref="A46:A47"/>
    <mergeCell ref="A48:B48"/>
    <mergeCell ref="A49:B49"/>
    <mergeCell ref="A50:A51"/>
    <mergeCell ref="A36:B36"/>
    <mergeCell ref="A37:A38"/>
    <mergeCell ref="A39:B39"/>
    <mergeCell ref="F42:G42"/>
    <mergeCell ref="A43:B44"/>
    <mergeCell ref="C43:G43"/>
    <mergeCell ref="A30:B31"/>
    <mergeCell ref="C30:G30"/>
    <mergeCell ref="A32:B32"/>
    <mergeCell ref="A33:A34"/>
    <mergeCell ref="A35:B35"/>
    <mergeCell ref="A21:B21"/>
    <mergeCell ref="A22:B22"/>
    <mergeCell ref="A23:A24"/>
    <mergeCell ref="A25:B25"/>
    <mergeCell ref="F29:G29"/>
    <mergeCell ref="F15:G15"/>
    <mergeCell ref="A16:B17"/>
    <mergeCell ref="C16:G16"/>
    <mergeCell ref="A18:B18"/>
    <mergeCell ref="A19:A20"/>
    <mergeCell ref="F1:G1"/>
    <mergeCell ref="A4:B4"/>
    <mergeCell ref="A7:B7"/>
    <mergeCell ref="A8:B8"/>
    <mergeCell ref="A11:B11"/>
    <mergeCell ref="A5:A6"/>
    <mergeCell ref="A9:A10"/>
    <mergeCell ref="A2:B3"/>
    <mergeCell ref="C2:G2"/>
  </mergeCells>
  <phoneticPr fontId="37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4"/>
  <sheetViews>
    <sheetView tabSelected="1" workbookViewId="0">
      <pane xSplit="3" ySplit="7" topLeftCell="D14" activePane="bottomRight" state="frozen"/>
      <selection pane="topRight"/>
      <selection pane="bottomLeft"/>
      <selection pane="bottomRight" activeCell="C25" sqref="C25"/>
    </sheetView>
  </sheetViews>
  <sheetFormatPr defaultColWidth="9" defaultRowHeight="16.5"/>
  <cols>
    <col min="1" max="1" width="5.125" style="97" customWidth="1"/>
    <col min="2" max="2" width="35.75" style="97" customWidth="1"/>
    <col min="3" max="3" width="14.5" style="98" customWidth="1"/>
    <col min="4" max="7" width="13" style="98" customWidth="1"/>
    <col min="8" max="8" width="15.125" style="98" customWidth="1"/>
    <col min="9" max="9" width="15.5" style="97" customWidth="1"/>
    <col min="10" max="35" width="9" style="97"/>
    <col min="36" max="36" width="4.375" style="97" customWidth="1"/>
    <col min="37" max="37" width="13.875" style="97" customWidth="1"/>
    <col min="38" max="16384" width="9" style="97"/>
  </cols>
  <sheetData>
    <row r="1" spans="1:38" ht="27" customHeight="1">
      <c r="A1" s="240" t="s">
        <v>286</v>
      </c>
      <c r="B1" s="240"/>
      <c r="C1" s="240"/>
      <c r="D1" s="240"/>
      <c r="E1" s="240"/>
      <c r="F1" s="240"/>
      <c r="G1" s="240"/>
      <c r="H1" s="240"/>
    </row>
    <row r="2" spans="1:38" s="221" customFormat="1" ht="15.75" customHeight="1">
      <c r="A2" s="219"/>
      <c r="B2" s="220"/>
      <c r="C2" s="220"/>
      <c r="D2" s="220"/>
      <c r="E2" s="220"/>
      <c r="F2" s="220"/>
      <c r="G2" s="220" t="s">
        <v>263</v>
      </c>
      <c r="H2" s="220"/>
    </row>
    <row r="3" spans="1:38" ht="15.75" customHeight="1">
      <c r="A3" s="241" t="s">
        <v>14</v>
      </c>
      <c r="B3" s="99" t="s">
        <v>1</v>
      </c>
      <c r="C3" s="99" t="s">
        <v>257</v>
      </c>
      <c r="D3" s="99" t="s">
        <v>258</v>
      </c>
      <c r="E3" s="99" t="s">
        <v>254</v>
      </c>
      <c r="F3" s="99" t="s">
        <v>255</v>
      </c>
      <c r="G3" s="99" t="s">
        <v>256</v>
      </c>
      <c r="H3" s="38" t="s">
        <v>15</v>
      </c>
      <c r="AL3" s="97" t="s">
        <v>16</v>
      </c>
    </row>
    <row r="4" spans="1:38" s="35" customFormat="1" ht="15.75" customHeight="1">
      <c r="A4" s="242"/>
      <c r="B4" s="40" t="s">
        <v>3</v>
      </c>
      <c r="C4" s="100">
        <f>'2023年'!L6</f>
        <v>3700</v>
      </c>
      <c r="D4" s="100">
        <f>'2024年'!L6</f>
        <v>9100</v>
      </c>
      <c r="E4" s="100">
        <f>'2025年'!L6</f>
        <v>9500</v>
      </c>
      <c r="F4" s="100">
        <f>'2026年'!K6</f>
        <v>0</v>
      </c>
      <c r="G4" s="100">
        <f>'2027年'!K6</f>
        <v>0</v>
      </c>
      <c r="H4" s="100">
        <f>SUM(C4:G4)</f>
        <v>22300</v>
      </c>
      <c r="I4" s="56"/>
      <c r="AJ4" s="39" t="s">
        <v>14</v>
      </c>
      <c r="AK4" s="40" t="s">
        <v>3</v>
      </c>
      <c r="AL4" s="35" t="s">
        <v>17</v>
      </c>
    </row>
    <row r="5" spans="1:38" s="35" customFormat="1" ht="15.75" customHeight="1">
      <c r="A5" s="49">
        <v>1</v>
      </c>
      <c r="B5" s="40" t="s">
        <v>18</v>
      </c>
      <c r="C5" s="100">
        <f>'2023年'!L7</f>
        <v>3085000</v>
      </c>
      <c r="D5" s="100">
        <f>'2024年'!L7</f>
        <v>7627000</v>
      </c>
      <c r="E5" s="100">
        <f>'2025年'!L7</f>
        <v>7767000</v>
      </c>
      <c r="F5" s="100">
        <f>'2026年'!K7</f>
        <v>0</v>
      </c>
      <c r="G5" s="100">
        <f>'2027年'!K7</f>
        <v>0</v>
      </c>
      <c r="H5" s="100">
        <f t="shared" ref="H5:H12" si="0">SUM(C5:G5)</f>
        <v>18479000</v>
      </c>
      <c r="I5" s="56"/>
      <c r="AJ5" s="39" t="s">
        <v>19</v>
      </c>
      <c r="AK5" s="40" t="s">
        <v>18</v>
      </c>
      <c r="AL5" s="35" t="s">
        <v>17</v>
      </c>
    </row>
    <row r="6" spans="1:38" s="35" customFormat="1" ht="15.75" customHeight="1">
      <c r="A6" s="49">
        <v>2</v>
      </c>
      <c r="B6" s="37" t="s">
        <v>20</v>
      </c>
      <c r="C6" s="100">
        <f>'2023年'!L8</f>
        <v>0</v>
      </c>
      <c r="D6" s="100">
        <f>'2024年'!L8</f>
        <v>305080.00000000023</v>
      </c>
      <c r="E6" s="100">
        <f>'2025年'!L8</f>
        <v>608932.80000000016</v>
      </c>
      <c r="F6" s="100">
        <f>'2026年'!K8</f>
        <v>0</v>
      </c>
      <c r="G6" s="100">
        <f>'2027年'!K8</f>
        <v>0</v>
      </c>
      <c r="H6" s="100">
        <f t="shared" si="0"/>
        <v>914012.8000000004</v>
      </c>
      <c r="I6" s="56"/>
      <c r="AJ6" s="39" t="s">
        <v>21</v>
      </c>
      <c r="AK6" s="37" t="s">
        <v>22</v>
      </c>
      <c r="AL6" s="35" t="s">
        <v>17</v>
      </c>
    </row>
    <row r="7" spans="1:38" s="35" customFormat="1" ht="15.75" customHeight="1">
      <c r="A7" s="49">
        <v>3</v>
      </c>
      <c r="B7" s="40" t="s">
        <v>23</v>
      </c>
      <c r="C7" s="101">
        <f>+C5-C6</f>
        <v>3085000</v>
      </c>
      <c r="D7" s="101">
        <f>'2024年'!L9</f>
        <v>7321920</v>
      </c>
      <c r="E7" s="101">
        <f>'2025年'!L9</f>
        <v>7158067.1999999993</v>
      </c>
      <c r="F7" s="101">
        <f>'2026年'!K9</f>
        <v>0</v>
      </c>
      <c r="G7" s="101">
        <f>'2027年'!K9</f>
        <v>0</v>
      </c>
      <c r="H7" s="100">
        <f t="shared" si="0"/>
        <v>17564987.199999999</v>
      </c>
      <c r="I7" s="56"/>
      <c r="AJ7" s="39" t="s">
        <v>24</v>
      </c>
      <c r="AK7" s="40" t="s">
        <v>23</v>
      </c>
      <c r="AL7" s="35" t="s">
        <v>25</v>
      </c>
    </row>
    <row r="8" spans="1:38" s="35" customFormat="1" ht="15.75" customHeight="1">
      <c r="A8" s="49">
        <v>4</v>
      </c>
      <c r="B8" s="39" t="s">
        <v>26</v>
      </c>
      <c r="C8" s="100">
        <f>'2023年'!L10</f>
        <v>2236941.9616277274</v>
      </c>
      <c r="D8" s="100">
        <f>'2024年'!L10</f>
        <v>5334401.6445337683</v>
      </c>
      <c r="E8" s="100">
        <f>'2025年'!L10</f>
        <v>5234233.3602791587</v>
      </c>
      <c r="F8" s="100">
        <f>'2026年'!K10</f>
        <v>0</v>
      </c>
      <c r="G8" s="100">
        <f>'2027年'!K10</f>
        <v>0</v>
      </c>
      <c r="H8" s="100">
        <f t="shared" si="0"/>
        <v>12805576.966440655</v>
      </c>
      <c r="I8" s="56"/>
      <c r="AJ8" s="39" t="s">
        <v>27</v>
      </c>
      <c r="AK8" s="39" t="s">
        <v>26</v>
      </c>
      <c r="AL8" s="35" t="s">
        <v>28</v>
      </c>
    </row>
    <row r="9" spans="1:38" s="35" customFormat="1" ht="15.75" customHeight="1">
      <c r="A9" s="49">
        <v>5</v>
      </c>
      <c r="B9" s="39" t="s">
        <v>29</v>
      </c>
      <c r="C9" s="100">
        <f>'2023年'!L11</f>
        <v>173438.65795902474</v>
      </c>
      <c r="D9" s="100">
        <f>'2024年'!L11</f>
        <v>430813.75557212537</v>
      </c>
      <c r="E9" s="100">
        <f>'2025年'!L11</f>
        <v>440033.83333720808</v>
      </c>
      <c r="F9" s="100">
        <f>'2026年'!K11</f>
        <v>0</v>
      </c>
      <c r="G9" s="100">
        <f>'2027年'!K11</f>
        <v>0</v>
      </c>
      <c r="H9" s="100">
        <f t="shared" si="0"/>
        <v>1044286.2468683582</v>
      </c>
      <c r="I9" s="56"/>
      <c r="AJ9" s="39" t="s">
        <v>30</v>
      </c>
      <c r="AK9" s="39" t="s">
        <v>29</v>
      </c>
    </row>
    <row r="10" spans="1:38" s="35" customFormat="1" ht="15.75" customHeight="1">
      <c r="A10" s="49">
        <v>6</v>
      </c>
      <c r="B10" s="39" t="s">
        <v>31</v>
      </c>
      <c r="C10" s="100">
        <f>'2023年'!L12</f>
        <v>46509.42791932133</v>
      </c>
      <c r="D10" s="100">
        <f>'2024年'!L12</f>
        <v>115527.30831305003</v>
      </c>
      <c r="E10" s="100">
        <f>'2025年'!L12</f>
        <v>117999.77060762659</v>
      </c>
      <c r="F10" s="100">
        <f>'2026年'!K12</f>
        <v>0</v>
      </c>
      <c r="G10" s="100">
        <f>'2027年'!K12</f>
        <v>0</v>
      </c>
      <c r="H10" s="100">
        <f t="shared" si="0"/>
        <v>280036.50683999795</v>
      </c>
      <c r="I10" s="56"/>
      <c r="AJ10" s="39" t="s">
        <v>32</v>
      </c>
      <c r="AK10" s="39" t="s">
        <v>31</v>
      </c>
    </row>
    <row r="11" spans="1:38" s="35" customFormat="1" ht="15.75" customHeight="1">
      <c r="A11" s="49">
        <v>7</v>
      </c>
      <c r="B11" s="102" t="s">
        <v>33</v>
      </c>
      <c r="C11" s="100">
        <f>'2023年'!L13</f>
        <v>123399.99999999997</v>
      </c>
      <c r="D11" s="100">
        <f>'2024年'!L13</f>
        <v>306519.99999999994</v>
      </c>
      <c r="E11" s="100">
        <f>'2025年'!L13</f>
        <v>313079.99999999994</v>
      </c>
      <c r="F11" s="100">
        <f>'2026年'!K13</f>
        <v>0</v>
      </c>
      <c r="G11" s="100">
        <f>'2027年'!K13</f>
        <v>0</v>
      </c>
      <c r="H11" s="100">
        <f t="shared" si="0"/>
        <v>742999.99999999977</v>
      </c>
      <c r="I11" s="56"/>
      <c r="AJ11" s="39" t="s">
        <v>34</v>
      </c>
      <c r="AK11" s="39" t="s">
        <v>33</v>
      </c>
      <c r="AL11" s="35" t="s">
        <v>17</v>
      </c>
    </row>
    <row r="12" spans="1:38" s="35" customFormat="1" ht="15.75" customHeight="1">
      <c r="A12" s="49">
        <v>8</v>
      </c>
      <c r="B12" s="103" t="s">
        <v>35</v>
      </c>
      <c r="C12" s="104">
        <f>'2023年'!L14</f>
        <v>343348.08587834606</v>
      </c>
      <c r="D12" s="104">
        <f>'2024年'!L14</f>
        <v>852861.06388517539</v>
      </c>
      <c r="E12" s="104">
        <f>'2025年'!L14</f>
        <v>871113.60394483467</v>
      </c>
      <c r="F12" s="104">
        <f>'2026年'!K14</f>
        <v>0</v>
      </c>
      <c r="G12" s="104">
        <f>'2027年'!K14</f>
        <v>0</v>
      </c>
      <c r="H12" s="104">
        <f t="shared" si="0"/>
        <v>2067322.7537083561</v>
      </c>
      <c r="I12" s="56"/>
      <c r="AJ12" s="39" t="s">
        <v>36</v>
      </c>
      <c r="AK12" s="42" t="s">
        <v>35</v>
      </c>
    </row>
    <row r="13" spans="1:38" s="35" customFormat="1" ht="15.75" customHeight="1">
      <c r="A13" s="49">
        <v>9</v>
      </c>
      <c r="B13" s="105" t="s">
        <v>37</v>
      </c>
      <c r="C13" s="100">
        <f>'2023年'!L15</f>
        <v>504709.95249392686</v>
      </c>
      <c r="D13" s="100">
        <f>'2024年'!L15</f>
        <v>1134657.291581057</v>
      </c>
      <c r="E13" s="100">
        <f>'2025年'!L15</f>
        <v>1052720.2357760069</v>
      </c>
      <c r="F13" s="100">
        <f>'2026年'!K15</f>
        <v>0</v>
      </c>
      <c r="G13" s="100">
        <f>'2027年'!K15</f>
        <v>0</v>
      </c>
      <c r="H13" s="100">
        <f>H7-H8-H12</f>
        <v>2692087.4798509879</v>
      </c>
      <c r="I13" s="56"/>
      <c r="K13" s="97"/>
      <c r="L13" s="97"/>
      <c r="M13" s="97"/>
      <c r="N13" s="97"/>
      <c r="O13" s="97"/>
      <c r="P13" s="97"/>
      <c r="AJ13" s="39" t="s">
        <v>38</v>
      </c>
      <c r="AK13" s="42" t="s">
        <v>37</v>
      </c>
    </row>
    <row r="14" spans="1:38" ht="15.75" customHeight="1">
      <c r="A14" s="49">
        <v>10</v>
      </c>
      <c r="B14" s="106" t="s">
        <v>39</v>
      </c>
      <c r="C14" s="107">
        <f>+C13/C7</f>
        <v>0.1636012811973831</v>
      </c>
      <c r="D14" s="107">
        <f>'2024年'!L16</f>
        <v>0.15496717958965095</v>
      </c>
      <c r="E14" s="204">
        <f>'2025年'!L16</f>
        <v>0.14706766594423801</v>
      </c>
      <c r="F14" s="204" t="e">
        <f>'2026年'!K16</f>
        <v>#DIV/0!</v>
      </c>
      <c r="G14" s="204"/>
      <c r="H14" s="107">
        <f>+H13/H7</f>
        <v>0.15326441455368597</v>
      </c>
      <c r="I14" s="56"/>
      <c r="AJ14" s="106" t="s">
        <v>40</v>
      </c>
      <c r="AK14" s="106" t="s">
        <v>39</v>
      </c>
    </row>
    <row r="15" spans="1:38" ht="15.75" customHeight="1">
      <c r="A15" s="49">
        <v>11</v>
      </c>
      <c r="B15" s="106" t="s">
        <v>41</v>
      </c>
      <c r="C15" s="100">
        <f>'2023年'!L17</f>
        <v>248075</v>
      </c>
      <c r="D15" s="100">
        <f>'2024年'!L17</f>
        <v>454085.00000000006</v>
      </c>
      <c r="E15" s="100">
        <f>'2025年'!L17</f>
        <v>461465</v>
      </c>
      <c r="F15" s="100"/>
      <c r="G15" s="100"/>
      <c r="H15" s="100">
        <f>SUM(C15:G15)</f>
        <v>1163625</v>
      </c>
      <c r="I15" s="56"/>
      <c r="AJ15" s="106" t="s">
        <v>42</v>
      </c>
      <c r="AK15" s="106" t="s">
        <v>41</v>
      </c>
    </row>
    <row r="16" spans="1:38" ht="15.75" hidden="1" customHeight="1">
      <c r="A16" s="145"/>
      <c r="B16" s="106"/>
      <c r="C16" s="100"/>
      <c r="D16" s="100"/>
      <c r="E16" s="100"/>
      <c r="F16" s="100"/>
      <c r="G16" s="100"/>
      <c r="H16" s="100"/>
      <c r="I16" s="56"/>
      <c r="AJ16" s="106"/>
      <c r="AK16" s="106"/>
    </row>
    <row r="17" spans="1:38" ht="15.75" customHeight="1">
      <c r="A17" s="49">
        <v>12</v>
      </c>
      <c r="B17" s="106" t="s">
        <v>43</v>
      </c>
      <c r="C17" s="108">
        <f>'2023年'!L19</f>
        <v>21595</v>
      </c>
      <c r="D17" s="108">
        <f>'2024年'!L19</f>
        <v>53641</v>
      </c>
      <c r="E17" s="108">
        <f>'2025年'!L19</f>
        <v>54789</v>
      </c>
      <c r="F17" s="108">
        <f>'2026年'!K19</f>
        <v>0</v>
      </c>
      <c r="G17" s="108">
        <f>'2027年'!K19</f>
        <v>0</v>
      </c>
      <c r="H17" s="100">
        <f>SUM(C17:G17)</f>
        <v>130025</v>
      </c>
      <c r="I17" s="56"/>
      <c r="Q17" s="56"/>
      <c r="AJ17" s="106" t="s">
        <v>44</v>
      </c>
      <c r="AK17" s="106" t="s">
        <v>43</v>
      </c>
      <c r="AL17" s="97" t="s">
        <v>17</v>
      </c>
    </row>
    <row r="18" spans="1:38" ht="15.75" customHeight="1">
      <c r="A18" s="49">
        <v>13</v>
      </c>
      <c r="B18" s="106" t="s">
        <v>45</v>
      </c>
      <c r="C18" s="108">
        <f>'2023年'!L20</f>
        <v>123400</v>
      </c>
      <c r="D18" s="108">
        <f>'2024年'!L20</f>
        <v>306520</v>
      </c>
      <c r="E18" s="108">
        <f>'2025年'!L20</f>
        <v>313080</v>
      </c>
      <c r="F18" s="108">
        <f>'2026年'!K20</f>
        <v>0</v>
      </c>
      <c r="G18" s="108">
        <f>'2027年'!K20</f>
        <v>0</v>
      </c>
      <c r="H18" s="100">
        <f>SUM(C18:G18)</f>
        <v>743000</v>
      </c>
      <c r="I18" s="56"/>
      <c r="AJ18" s="106" t="s">
        <v>46</v>
      </c>
      <c r="AK18" s="106" t="s">
        <v>45</v>
      </c>
    </row>
    <row r="19" spans="1:38" s="34" customFormat="1" ht="15.75" customHeight="1">
      <c r="A19" s="49">
        <v>14</v>
      </c>
      <c r="B19" s="47" t="s">
        <v>47</v>
      </c>
      <c r="C19" s="109">
        <f>'2023年'!L21</f>
        <v>55666.666666666664</v>
      </c>
      <c r="D19" s="109">
        <f>'2024年'!L21</f>
        <v>55666.666666666664</v>
      </c>
      <c r="E19" s="109">
        <f>'2025年'!L21</f>
        <v>55666.666666666664</v>
      </c>
      <c r="F19" s="109">
        <f>'2026年'!K21</f>
        <v>0</v>
      </c>
      <c r="G19" s="109">
        <f>'2027年'!K21</f>
        <v>0</v>
      </c>
      <c r="H19" s="100">
        <f>SUM(C19:G19)</f>
        <v>167000</v>
      </c>
      <c r="I19" s="56"/>
      <c r="AJ19" s="47"/>
      <c r="AK19" s="47"/>
    </row>
    <row r="20" spans="1:38" s="35" customFormat="1" ht="15.75" customHeight="1">
      <c r="A20" s="49">
        <v>15</v>
      </c>
      <c r="B20" s="39" t="s">
        <v>48</v>
      </c>
      <c r="C20" s="108">
        <f>'2023年'!L22</f>
        <v>65710.5</v>
      </c>
      <c r="D20" s="108">
        <f>'2024年'!L22</f>
        <v>163221.9</v>
      </c>
      <c r="E20" s="108">
        <f>'2025年'!L22</f>
        <v>166715.1</v>
      </c>
      <c r="F20" s="108">
        <f>'2026年'!K22</f>
        <v>0</v>
      </c>
      <c r="G20" s="108">
        <f>'2027年'!K22</f>
        <v>0</v>
      </c>
      <c r="H20" s="100">
        <f>SUM(C20:G20)</f>
        <v>395647.5</v>
      </c>
      <c r="I20" s="56"/>
      <c r="AJ20" s="39" t="s">
        <v>49</v>
      </c>
      <c r="AK20" s="39" t="s">
        <v>48</v>
      </c>
    </row>
    <row r="21" spans="1:38" s="95" customFormat="1" ht="15.75" customHeight="1">
      <c r="A21" s="49">
        <v>16</v>
      </c>
      <c r="B21" s="110" t="s">
        <v>50</v>
      </c>
      <c r="C21" s="104">
        <f t="shared" ref="C21" si="1">+C20+C19+C18+C17+C15</f>
        <v>514447.16666666663</v>
      </c>
      <c r="D21" s="104">
        <f>'2024年'!L23</f>
        <v>1033134.5666666667</v>
      </c>
      <c r="E21" s="104">
        <f>'2025年'!L23</f>
        <v>1051715.7666666666</v>
      </c>
      <c r="F21" s="104"/>
      <c r="G21" s="104"/>
      <c r="H21" s="104">
        <f>SUM(C21:G21)</f>
        <v>2599297.5</v>
      </c>
      <c r="I21" s="56"/>
      <c r="AJ21" s="123" t="s">
        <v>51</v>
      </c>
      <c r="AK21" s="124" t="s">
        <v>50</v>
      </c>
    </row>
    <row r="22" spans="1:38" ht="15.75" customHeight="1">
      <c r="A22" s="49">
        <v>17</v>
      </c>
      <c r="B22" s="106" t="s">
        <v>52</v>
      </c>
      <c r="C22" s="111">
        <f>+C13-C21</f>
        <v>-9737.2141727397684</v>
      </c>
      <c r="D22" s="111">
        <f>'2024年'!L24</f>
        <v>101522.72491439036</v>
      </c>
      <c r="E22" s="111">
        <f>'2025年'!L24</f>
        <v>1004.469109340338</v>
      </c>
      <c r="F22" s="111" t="e">
        <f>'2026年'!K24</f>
        <v>#DIV/0!</v>
      </c>
      <c r="G22" s="111" t="e">
        <f>'2027年'!K24</f>
        <v>#DIV/0!</v>
      </c>
      <c r="H22" s="111">
        <f>+H13-H21</f>
        <v>92789.979850987904</v>
      </c>
      <c r="I22" s="56"/>
      <c r="AJ22" s="106" t="s">
        <v>53</v>
      </c>
      <c r="AK22" s="106" t="s">
        <v>52</v>
      </c>
    </row>
    <row r="23" spans="1:38" ht="15.75" customHeight="1">
      <c r="A23" s="49">
        <v>18</v>
      </c>
      <c r="B23" s="106" t="s">
        <v>54</v>
      </c>
      <c r="C23" s="111">
        <f>IF(C22&lt;0,0,C22*0.15)</f>
        <v>0</v>
      </c>
      <c r="D23" s="111">
        <f>'2024年'!L25</f>
        <v>15228.408737158554</v>
      </c>
      <c r="E23" s="111">
        <f>'2025年'!L25</f>
        <v>150.6703664010507</v>
      </c>
      <c r="F23" s="111" t="e">
        <f>'2026年'!K25</f>
        <v>#DIV/0!</v>
      </c>
      <c r="G23" s="111" t="e">
        <f>'2027年'!K25</f>
        <v>#DIV/0!</v>
      </c>
      <c r="H23" s="111">
        <f>IF(H22&lt;0,0,H22*0.15)</f>
        <v>13918.496977648185</v>
      </c>
      <c r="I23" s="56"/>
      <c r="AJ23" s="106" t="s">
        <v>55</v>
      </c>
      <c r="AK23" s="106" t="s">
        <v>54</v>
      </c>
    </row>
    <row r="24" spans="1:38" ht="15.75" customHeight="1">
      <c r="A24" s="49">
        <v>19</v>
      </c>
      <c r="B24" s="106" t="s">
        <v>56</v>
      </c>
      <c r="C24" s="111">
        <f>C22-C23</f>
        <v>-9737.2141727397684</v>
      </c>
      <c r="D24" s="111">
        <f>'2024年'!L26</f>
        <v>86294.316177231813</v>
      </c>
      <c r="E24" s="111">
        <f>'2025年'!L26</f>
        <v>-45237.870262845281</v>
      </c>
      <c r="F24" s="111" t="e">
        <f>'2026年'!K26</f>
        <v>#DIV/0!</v>
      </c>
      <c r="G24" s="111" t="e">
        <f>'2027年'!K26</f>
        <v>#DIV/0!</v>
      </c>
      <c r="H24" s="111">
        <f>H22-H23</f>
        <v>78871.482873339715</v>
      </c>
      <c r="I24" s="56"/>
      <c r="AJ24" s="106" t="s">
        <v>57</v>
      </c>
      <c r="AK24" s="106" t="s">
        <v>56</v>
      </c>
    </row>
    <row r="25" spans="1:38" ht="15.75" customHeight="1">
      <c r="A25" s="49">
        <v>20</v>
      </c>
      <c r="B25" s="106" t="s">
        <v>58</v>
      </c>
      <c r="C25" s="112">
        <f>(C24/C5)*100%</f>
        <v>-3.1563092942430366E-3</v>
      </c>
      <c r="D25" s="112">
        <f>'2024年'!L27</f>
        <v>1.1314319677098703E-2</v>
      </c>
      <c r="E25" s="112">
        <f>'2025年'!L27</f>
        <v>-5.8243685158806853E-3</v>
      </c>
      <c r="F25" s="112" t="e">
        <f>'2026年'!K27</f>
        <v>#DIV/0!</v>
      </c>
      <c r="G25" s="112" t="e">
        <f>'2027年'!K27</f>
        <v>#DIV/0!</v>
      </c>
      <c r="H25" s="112">
        <f>(H24/H5)*100%</f>
        <v>4.2681683464115871E-3</v>
      </c>
      <c r="I25" s="56"/>
      <c r="AJ25" s="125" t="s">
        <v>59</v>
      </c>
      <c r="AK25" s="125" t="s">
        <v>60</v>
      </c>
    </row>
    <row r="26" spans="1:38" s="96" customFormat="1" ht="15.75" customHeight="1">
      <c r="C26" s="113"/>
      <c r="D26" s="113"/>
      <c r="E26" s="113"/>
      <c r="F26" s="113"/>
      <c r="G26" s="113"/>
      <c r="H26" s="113"/>
      <c r="I26" s="122"/>
    </row>
    <row r="27" spans="1:38" s="96" customFormat="1" ht="15.75" customHeight="1">
      <c r="A27" s="96" t="s">
        <v>61</v>
      </c>
      <c r="C27" s="114"/>
      <c r="D27" s="114"/>
      <c r="E27" s="114"/>
      <c r="F27" s="114"/>
      <c r="G27" s="114"/>
      <c r="H27" s="114"/>
      <c r="I27" s="122"/>
      <c r="AJ27" s="96" t="s">
        <v>61</v>
      </c>
    </row>
    <row r="28" spans="1:38" ht="15.75" customHeight="1">
      <c r="A28" s="106" t="s">
        <v>14</v>
      </c>
      <c r="B28" s="115" t="s">
        <v>1</v>
      </c>
      <c r="C28" s="99" t="s">
        <v>180</v>
      </c>
      <c r="D28" s="99" t="s">
        <v>181</v>
      </c>
      <c r="E28" s="99" t="s">
        <v>182</v>
      </c>
      <c r="F28" s="99" t="s">
        <v>226</v>
      </c>
      <c r="G28" s="99" t="s">
        <v>238</v>
      </c>
      <c r="H28" s="38" t="s">
        <v>15</v>
      </c>
      <c r="AL28" s="97" t="s">
        <v>16</v>
      </c>
    </row>
    <row r="29" spans="1:38" s="35" customFormat="1" ht="15.75" customHeight="1">
      <c r="A29" s="39" t="s">
        <v>62</v>
      </c>
      <c r="B29" s="42" t="s">
        <v>63</v>
      </c>
      <c r="C29" s="46"/>
      <c r="D29" s="46"/>
      <c r="E29" s="46"/>
      <c r="F29" s="46"/>
      <c r="G29" s="46"/>
      <c r="H29" s="46"/>
      <c r="I29" s="56"/>
      <c r="AJ29" s="39" t="s">
        <v>64</v>
      </c>
      <c r="AK29" s="42" t="s">
        <v>63</v>
      </c>
    </row>
    <row r="30" spans="1:38" s="35" customFormat="1" ht="15.75" customHeight="1">
      <c r="A30" s="39" t="s">
        <v>19</v>
      </c>
      <c r="B30" s="39" t="s">
        <v>65</v>
      </c>
      <c r="C30" s="41">
        <f>+C7/C4</f>
        <v>833.78378378378375</v>
      </c>
      <c r="D30" s="41">
        <f t="shared" ref="D30:G30" si="2">+D7/D4</f>
        <v>804.60659340659345</v>
      </c>
      <c r="E30" s="41">
        <f t="shared" si="2"/>
        <v>753.48075789473671</v>
      </c>
      <c r="F30" s="41" t="e">
        <f t="shared" si="2"/>
        <v>#DIV/0!</v>
      </c>
      <c r="G30" s="41" t="e">
        <f t="shared" si="2"/>
        <v>#DIV/0!</v>
      </c>
      <c r="H30" s="41">
        <f>+H7/H4</f>
        <v>787.6675874439461</v>
      </c>
      <c r="I30" s="56"/>
      <c r="AJ30" s="39" t="s">
        <v>19</v>
      </c>
      <c r="AK30" s="39" t="s">
        <v>65</v>
      </c>
    </row>
    <row r="31" spans="1:38" s="35" customFormat="1" ht="15.75" customHeight="1">
      <c r="A31" s="39" t="s">
        <v>21</v>
      </c>
      <c r="B31" s="39" t="s">
        <v>66</v>
      </c>
      <c r="C31" s="41">
        <f>+C8/C4</f>
        <v>604.57890854803441</v>
      </c>
      <c r="D31" s="41">
        <f t="shared" ref="D31:G31" si="3">+D8/D4</f>
        <v>586.19798291579866</v>
      </c>
      <c r="E31" s="41">
        <f t="shared" si="3"/>
        <v>550.97193266096406</v>
      </c>
      <c r="F31" s="41" t="e">
        <f t="shared" si="3"/>
        <v>#DIV/0!</v>
      </c>
      <c r="G31" s="41" t="e">
        <f t="shared" si="3"/>
        <v>#DIV/0!</v>
      </c>
      <c r="H31" s="41">
        <f>+H8/H4</f>
        <v>574.24111957132982</v>
      </c>
      <c r="I31" s="56"/>
      <c r="AJ31" s="39" t="s">
        <v>21</v>
      </c>
      <c r="AK31" s="39" t="s">
        <v>66</v>
      </c>
    </row>
    <row r="32" spans="1:38" s="35" customFormat="1" ht="15.75" customHeight="1">
      <c r="A32" s="39" t="s">
        <v>67</v>
      </c>
      <c r="B32" s="39" t="s">
        <v>68</v>
      </c>
      <c r="C32" s="46">
        <f t="shared" ref="C32:H32" si="4">C30-C31</f>
        <v>229.20487523574934</v>
      </c>
      <c r="D32" s="46">
        <f t="shared" ref="D32:G32" si="5">D30-D31</f>
        <v>218.40861049079479</v>
      </c>
      <c r="E32" s="46">
        <f t="shared" si="5"/>
        <v>202.50882523377265</v>
      </c>
      <c r="F32" s="46" t="e">
        <f t="shared" si="5"/>
        <v>#DIV/0!</v>
      </c>
      <c r="G32" s="46" t="e">
        <f t="shared" si="5"/>
        <v>#DIV/0!</v>
      </c>
      <c r="H32" s="46">
        <f t="shared" si="4"/>
        <v>213.42646787261629</v>
      </c>
      <c r="I32" s="56"/>
      <c r="AJ32" s="39" t="s">
        <v>67</v>
      </c>
      <c r="AK32" s="39" t="s">
        <v>68</v>
      </c>
    </row>
    <row r="33" spans="1:37" s="35" customFormat="1" ht="15.75" customHeight="1">
      <c r="A33" s="39">
        <v>3.1</v>
      </c>
      <c r="B33" s="39" t="s">
        <v>69</v>
      </c>
      <c r="C33" s="116">
        <f t="shared" ref="C33:H33" si="6">C32/C30</f>
        <v>0.27489725717091495</v>
      </c>
      <c r="D33" s="116">
        <f t="shared" ref="D33:G33" si="7">D32/D30</f>
        <v>0.27144770162283016</v>
      </c>
      <c r="E33" s="116">
        <f t="shared" si="7"/>
        <v>0.26876442843688875</v>
      </c>
      <c r="F33" s="116" t="e">
        <f t="shared" si="7"/>
        <v>#DIV/0!</v>
      </c>
      <c r="G33" s="116" t="e">
        <f t="shared" si="7"/>
        <v>#DIV/0!</v>
      </c>
      <c r="H33" s="116">
        <f t="shared" si="6"/>
        <v>0.27096007411604284</v>
      </c>
      <c r="I33" s="56"/>
      <c r="AJ33" s="39"/>
      <c r="AK33" s="39"/>
    </row>
    <row r="34" spans="1:37" s="35" customFormat="1" ht="15.75" customHeight="1">
      <c r="A34" s="39" t="s">
        <v>64</v>
      </c>
      <c r="B34" s="42" t="s">
        <v>8</v>
      </c>
      <c r="C34" s="46"/>
      <c r="D34" s="46"/>
      <c r="E34" s="46"/>
      <c r="F34" s="46"/>
      <c r="G34" s="46"/>
      <c r="H34" s="46"/>
      <c r="I34" s="56"/>
      <c r="AJ34" s="39" t="s">
        <v>70</v>
      </c>
      <c r="AK34" s="42" t="s">
        <v>8</v>
      </c>
    </row>
    <row r="35" spans="1:37" s="35" customFormat="1" ht="15.75" customHeight="1">
      <c r="A35" s="39" t="s">
        <v>19</v>
      </c>
      <c r="B35" s="47" t="s">
        <v>71</v>
      </c>
      <c r="C35" s="41">
        <f>+C9/C4</f>
        <v>46.87531296189858</v>
      </c>
      <c r="D35" s="41">
        <f t="shared" ref="D35:G35" si="8">+D9/D4</f>
        <v>47.342170941991796</v>
      </c>
      <c r="E35" s="41">
        <f t="shared" si="8"/>
        <v>46.319350877600854</v>
      </c>
      <c r="F35" s="41" t="e">
        <f t="shared" si="8"/>
        <v>#DIV/0!</v>
      </c>
      <c r="G35" s="41" t="e">
        <f t="shared" si="8"/>
        <v>#DIV/0!</v>
      </c>
      <c r="H35" s="41">
        <f>+H9/H4</f>
        <v>46.828979680195438</v>
      </c>
      <c r="I35" s="56"/>
      <c r="AJ35" s="39" t="s">
        <v>67</v>
      </c>
      <c r="AK35" s="39" t="s">
        <v>71</v>
      </c>
    </row>
    <row r="36" spans="1:37" s="35" customFormat="1" ht="15.75" customHeight="1">
      <c r="A36" s="39" t="s">
        <v>21</v>
      </c>
      <c r="B36" s="47" t="s">
        <v>72</v>
      </c>
      <c r="C36" s="41">
        <f>+C10/C4</f>
        <v>12.57011565387063</v>
      </c>
      <c r="D36" s="41">
        <f t="shared" ref="D36:G36" si="9">+D10/D4</f>
        <v>12.695308605829673</v>
      </c>
      <c r="E36" s="41">
        <f t="shared" si="9"/>
        <v>12.421028485013325</v>
      </c>
      <c r="F36" s="41" t="e">
        <f t="shared" si="9"/>
        <v>#DIV/0!</v>
      </c>
      <c r="G36" s="41" t="e">
        <f t="shared" si="9"/>
        <v>#DIV/0!</v>
      </c>
      <c r="H36" s="41">
        <f>+H10/H4</f>
        <v>12.557690889686008</v>
      </c>
      <c r="I36" s="56"/>
      <c r="AJ36" s="39" t="s">
        <v>24</v>
      </c>
      <c r="AK36" s="39" t="s">
        <v>72</v>
      </c>
    </row>
    <row r="37" spans="1:37" s="35" customFormat="1" ht="15.75" customHeight="1">
      <c r="A37" s="39" t="s">
        <v>67</v>
      </c>
      <c r="B37" s="47" t="s">
        <v>73</v>
      </c>
      <c r="C37" s="41">
        <f>+C11/C4</f>
        <v>33.35135135135134</v>
      </c>
      <c r="D37" s="41">
        <f t="shared" ref="D37:G37" si="10">+D11/D4</f>
        <v>33.683516483516478</v>
      </c>
      <c r="E37" s="41">
        <f t="shared" si="10"/>
        <v>32.955789473684206</v>
      </c>
      <c r="F37" s="41" t="e">
        <f t="shared" si="10"/>
        <v>#DIV/0!</v>
      </c>
      <c r="G37" s="41" t="e">
        <f t="shared" si="10"/>
        <v>#DIV/0!</v>
      </c>
      <c r="H37" s="41">
        <f>+H11/H4</f>
        <v>33.318385650224208</v>
      </c>
      <c r="I37" s="56"/>
      <c r="AJ37" s="39" t="s">
        <v>30</v>
      </c>
      <c r="AK37" s="39" t="s">
        <v>73</v>
      </c>
    </row>
    <row r="38" spans="1:37" s="35" customFormat="1" ht="15.75" customHeight="1">
      <c r="A38" s="39" t="s">
        <v>74</v>
      </c>
      <c r="B38" s="105" t="s">
        <v>75</v>
      </c>
      <c r="C38" s="41"/>
      <c r="D38" s="41"/>
      <c r="E38" s="41"/>
      <c r="F38" s="41"/>
      <c r="G38" s="41"/>
      <c r="H38" s="41"/>
      <c r="I38" s="56"/>
      <c r="AJ38" s="39" t="s">
        <v>74</v>
      </c>
      <c r="AK38" s="42" t="s">
        <v>75</v>
      </c>
    </row>
    <row r="39" spans="1:37" s="35" customFormat="1">
      <c r="A39" s="39" t="s">
        <v>19</v>
      </c>
      <c r="B39" s="47" t="s">
        <v>260</v>
      </c>
      <c r="C39" s="41">
        <f>+C13/C4</f>
        <v>136.40809526862887</v>
      </c>
      <c r="D39" s="41">
        <f t="shared" ref="D39:G39" si="11">+D13/D4</f>
        <v>124.68761445945681</v>
      </c>
      <c r="E39" s="41">
        <f t="shared" si="11"/>
        <v>110.81265639747441</v>
      </c>
      <c r="F39" s="41" t="e">
        <f t="shared" si="11"/>
        <v>#DIV/0!</v>
      </c>
      <c r="G39" s="41" t="e">
        <f t="shared" si="11"/>
        <v>#DIV/0!</v>
      </c>
      <c r="H39" s="41">
        <f>+H13/H4</f>
        <v>120.72141165251067</v>
      </c>
      <c r="I39" s="56"/>
      <c r="AJ39" s="39" t="s">
        <v>19</v>
      </c>
      <c r="AK39" s="39" t="s">
        <v>76</v>
      </c>
    </row>
    <row r="40" spans="1:37" s="35" customFormat="1" ht="15.75" customHeight="1">
      <c r="A40" s="39" t="s">
        <v>21</v>
      </c>
      <c r="B40" s="47" t="s">
        <v>77</v>
      </c>
      <c r="C40" s="100">
        <f t="shared" ref="C40" si="12">+C21/C39</f>
        <v>3771.38296413834</v>
      </c>
      <c r="D40" s="100">
        <f t="shared" ref="D40:G40" si="13">+D21/D39</f>
        <v>8285.7834047550787</v>
      </c>
      <c r="E40" s="100">
        <f t="shared" si="13"/>
        <v>9490.9354297424525</v>
      </c>
      <c r="F40" s="100" t="e">
        <f t="shared" si="13"/>
        <v>#DIV/0!</v>
      </c>
      <c r="G40" s="100" t="e">
        <f t="shared" si="13"/>
        <v>#DIV/0!</v>
      </c>
      <c r="H40" s="160">
        <f t="shared" ref="H40" si="14">+H21/H39</f>
        <v>21531.370983980221</v>
      </c>
      <c r="I40" s="56"/>
      <c r="AJ40" s="39" t="s">
        <v>21</v>
      </c>
      <c r="AK40" s="39" t="s">
        <v>77</v>
      </c>
    </row>
    <row r="41" spans="1:37" s="35" customFormat="1" ht="15.75" hidden="1" customHeight="1">
      <c r="A41" s="39" t="s">
        <v>78</v>
      </c>
      <c r="B41" s="42" t="s">
        <v>79</v>
      </c>
      <c r="C41" s="46"/>
      <c r="D41" s="46"/>
      <c r="E41" s="46"/>
      <c r="F41" s="46"/>
      <c r="G41" s="46"/>
      <c r="H41" s="46"/>
      <c r="I41" s="56"/>
      <c r="AJ41" s="39" t="s">
        <v>78</v>
      </c>
      <c r="AK41" s="42" t="s">
        <v>79</v>
      </c>
    </row>
    <row r="42" spans="1:37" s="35" customFormat="1" ht="15.75" hidden="1" customHeight="1">
      <c r="A42" s="39" t="s">
        <v>19</v>
      </c>
      <c r="B42" s="39" t="s">
        <v>80</v>
      </c>
      <c r="C42" s="46">
        <f>+C15/C4</f>
        <v>67.047297297297291</v>
      </c>
      <c r="D42" s="46">
        <f t="shared" ref="D42:G42" si="15">+D15/D4</f>
        <v>49.899450549450556</v>
      </c>
      <c r="E42" s="46"/>
      <c r="F42" s="46"/>
      <c r="G42" s="46" t="e">
        <f t="shared" si="15"/>
        <v>#DIV/0!</v>
      </c>
      <c r="H42" s="46">
        <f>+H15/H4</f>
        <v>52.180493273542602</v>
      </c>
      <c r="I42" s="56"/>
      <c r="AJ42" s="39" t="s">
        <v>19</v>
      </c>
      <c r="AK42" s="39" t="s">
        <v>80</v>
      </c>
    </row>
    <row r="43" spans="1:37" s="35" customFormat="1" ht="15.75" hidden="1" customHeight="1">
      <c r="A43" s="39" t="s">
        <v>21</v>
      </c>
      <c r="B43" s="39" t="s">
        <v>81</v>
      </c>
      <c r="C43" s="46">
        <f>+C17/C4</f>
        <v>5.8364864864864865</v>
      </c>
      <c r="D43" s="46">
        <f t="shared" ref="D43:G43" si="16">+D17/D4</f>
        <v>5.8946153846153848</v>
      </c>
      <c r="E43" s="46"/>
      <c r="F43" s="46"/>
      <c r="G43" s="46" t="e">
        <f t="shared" si="16"/>
        <v>#DIV/0!</v>
      </c>
      <c r="H43" s="46">
        <f>+H17/H4</f>
        <v>5.8307174887892375</v>
      </c>
      <c r="I43" s="56"/>
      <c r="AJ43" s="39" t="s">
        <v>21</v>
      </c>
      <c r="AK43" s="39" t="s">
        <v>81</v>
      </c>
    </row>
    <row r="44" spans="1:37" s="35" customFormat="1" ht="15.75" hidden="1" customHeight="1">
      <c r="A44" s="39" t="s">
        <v>67</v>
      </c>
      <c r="B44" s="39" t="s">
        <v>82</v>
      </c>
      <c r="C44" s="46">
        <f>+C18/C4</f>
        <v>33.351351351351354</v>
      </c>
      <c r="D44" s="46">
        <f t="shared" ref="D44:G44" si="17">+D18/D4</f>
        <v>33.683516483516485</v>
      </c>
      <c r="E44" s="46"/>
      <c r="F44" s="46"/>
      <c r="G44" s="46" t="e">
        <f t="shared" si="17"/>
        <v>#DIV/0!</v>
      </c>
      <c r="H44" s="46">
        <f>+H18/H4</f>
        <v>33.318385650224215</v>
      </c>
      <c r="I44" s="56"/>
      <c r="AJ44" s="39" t="s">
        <v>67</v>
      </c>
      <c r="AK44" s="39" t="s">
        <v>82</v>
      </c>
    </row>
    <row r="45" spans="1:37" s="35" customFormat="1" ht="15.75" hidden="1" customHeight="1">
      <c r="A45" s="39" t="s">
        <v>24</v>
      </c>
      <c r="B45" s="39" t="s">
        <v>83</v>
      </c>
      <c r="C45" s="46"/>
      <c r="D45" s="46"/>
      <c r="E45" s="46"/>
      <c r="F45" s="46"/>
      <c r="G45" s="46"/>
      <c r="H45" s="46"/>
      <c r="I45" s="56"/>
      <c r="AJ45" s="39" t="s">
        <v>24</v>
      </c>
      <c r="AK45" s="39" t="s">
        <v>84</v>
      </c>
    </row>
    <row r="46" spans="1:37" s="35" customFormat="1" ht="15.75" hidden="1" customHeight="1">
      <c r="A46" s="39" t="s">
        <v>27</v>
      </c>
      <c r="B46" s="39" t="s">
        <v>85</v>
      </c>
      <c r="C46" s="46"/>
      <c r="D46" s="46"/>
      <c r="E46" s="46"/>
      <c r="F46" s="46"/>
      <c r="G46" s="46"/>
      <c r="H46" s="46"/>
      <c r="I46" s="56"/>
      <c r="AJ46" s="39" t="s">
        <v>27</v>
      </c>
      <c r="AK46" s="39" t="s">
        <v>85</v>
      </c>
    </row>
    <row r="47" spans="1:37" s="35" customFormat="1" ht="15.75" hidden="1" customHeight="1">
      <c r="A47" s="39" t="s">
        <v>86</v>
      </c>
      <c r="B47" s="42" t="s">
        <v>87</v>
      </c>
      <c r="C47" s="46"/>
      <c r="D47" s="46"/>
      <c r="E47" s="46"/>
      <c r="F47" s="46"/>
      <c r="G47" s="46"/>
      <c r="H47" s="46"/>
      <c r="I47" s="56"/>
      <c r="AJ47" s="39" t="s">
        <v>86</v>
      </c>
      <c r="AK47" s="42" t="s">
        <v>87</v>
      </c>
    </row>
    <row r="48" spans="1:37" s="35" customFormat="1" ht="15.75" hidden="1" customHeight="1">
      <c r="A48" s="39" t="s">
        <v>19</v>
      </c>
      <c r="B48" s="39" t="s">
        <v>88</v>
      </c>
      <c r="C48" s="117">
        <f>+(C11+C17)/C7</f>
        <v>4.6999999999999993E-2</v>
      </c>
      <c r="D48" s="117">
        <f t="shared" ref="D48:G48" si="18">+(D11+D17)/D7</f>
        <v>4.9189420261352208E-2</v>
      </c>
      <c r="E48" s="117"/>
      <c r="F48" s="117"/>
      <c r="G48" s="117" t="e">
        <f t="shared" si="18"/>
        <v>#DIV/0!</v>
      </c>
      <c r="H48" s="117">
        <f>+(H11+H17)/H7</f>
        <v>4.9702569666546625E-2</v>
      </c>
      <c r="I48" s="56"/>
      <c r="AJ48" s="39" t="s">
        <v>19</v>
      </c>
      <c r="AK48" s="39" t="s">
        <v>88</v>
      </c>
    </row>
    <row r="49" spans="1:37" s="35" customFormat="1" ht="15.75" hidden="1" customHeight="1">
      <c r="A49" s="39" t="s">
        <v>21</v>
      </c>
      <c r="B49" s="39" t="s">
        <v>89</v>
      </c>
      <c r="C49" s="117">
        <f>+(C9+C10+C15)/C7</f>
        <v>0.15170926608698412</v>
      </c>
      <c r="D49" s="117">
        <f t="shared" ref="D49:G49" si="19">+(D9+D10+D15)/D7</f>
        <v>0.13663438877851375</v>
      </c>
      <c r="E49" s="117"/>
      <c r="F49" s="117"/>
      <c r="G49" s="117" t="e">
        <f t="shared" si="19"/>
        <v>#DIV/0!</v>
      </c>
      <c r="H49" s="117">
        <f>+(H9+H10+H15)/H7</f>
        <v>0.14164244615608693</v>
      </c>
      <c r="I49" s="56"/>
      <c r="AJ49" s="39" t="s">
        <v>21</v>
      </c>
      <c r="AK49" s="39" t="s">
        <v>89</v>
      </c>
    </row>
    <row r="50" spans="1:37" s="35" customFormat="1" ht="15.75" hidden="1" customHeight="1">
      <c r="A50" s="39" t="s">
        <v>67</v>
      </c>
      <c r="B50" s="39" t="s">
        <v>90</v>
      </c>
      <c r="C50" s="117">
        <f>+C18/C7</f>
        <v>0.04</v>
      </c>
      <c r="D50" s="117">
        <f t="shared" ref="D50:G50" si="20">+D18/D7</f>
        <v>4.1863336392640185E-2</v>
      </c>
      <c r="E50" s="117"/>
      <c r="F50" s="117"/>
      <c r="G50" s="117" t="e">
        <f t="shared" si="20"/>
        <v>#DIV/0!</v>
      </c>
      <c r="H50" s="117">
        <f>+H18/H7</f>
        <v>4.2300059290677997E-2</v>
      </c>
      <c r="I50" s="56"/>
      <c r="AJ50" s="39" t="s">
        <v>67</v>
      </c>
      <c r="AK50" s="39" t="s">
        <v>90</v>
      </c>
    </row>
    <row r="51" spans="1:37" s="35" customFormat="1" ht="15.75" hidden="1" customHeight="1">
      <c r="A51" s="39" t="s">
        <v>24</v>
      </c>
      <c r="B51" s="39" t="s">
        <v>91</v>
      </c>
      <c r="C51" s="117">
        <f>+C19/C7</f>
        <v>1.804430037817396E-2</v>
      </c>
      <c r="D51" s="117">
        <f t="shared" ref="D51:G51" si="21">+D19/D7</f>
        <v>7.6027417216613493E-3</v>
      </c>
      <c r="E51" s="117"/>
      <c r="F51" s="117"/>
      <c r="G51" s="117" t="e">
        <f t="shared" si="21"/>
        <v>#DIV/0!</v>
      </c>
      <c r="H51" s="117">
        <f>+H19/H7</f>
        <v>9.5075503385507742E-3</v>
      </c>
      <c r="I51" s="56"/>
      <c r="AJ51" s="39" t="s">
        <v>24</v>
      </c>
      <c r="AK51" s="39" t="s">
        <v>91</v>
      </c>
    </row>
    <row r="52" spans="1:37" s="35" customFormat="1" ht="15.75" hidden="1" customHeight="1">
      <c r="A52" s="39" t="s">
        <v>27</v>
      </c>
      <c r="B52" s="39" t="s">
        <v>92</v>
      </c>
      <c r="C52" s="117">
        <f>+C20/C7</f>
        <v>2.1299999999999999E-2</v>
      </c>
      <c r="D52" s="117">
        <f t="shared" ref="D52:G52" si="22">+D20/D7</f>
        <v>2.2292226629080897E-2</v>
      </c>
      <c r="E52" s="117"/>
      <c r="F52" s="117"/>
      <c r="G52" s="117" t="e">
        <f t="shared" si="22"/>
        <v>#DIV/0!</v>
      </c>
      <c r="H52" s="117">
        <f>+H20/H7</f>
        <v>2.2524781572286032E-2</v>
      </c>
      <c r="I52" s="56"/>
      <c r="AJ52" s="39" t="s">
        <v>27</v>
      </c>
      <c r="AK52" s="39" t="s">
        <v>92</v>
      </c>
    </row>
    <row r="53" spans="1:37" s="35" customFormat="1" ht="15.75" hidden="1" customHeight="1">
      <c r="A53" s="39" t="s">
        <v>30</v>
      </c>
      <c r="B53" s="39" t="s">
        <v>93</v>
      </c>
      <c r="C53" s="117">
        <f>+C24/C7</f>
        <v>-3.1563092942430366E-3</v>
      </c>
      <c r="D53" s="117">
        <f t="shared" ref="D53:G53" si="23">+D24/D7</f>
        <v>1.1785749663644483E-2</v>
      </c>
      <c r="E53" s="117"/>
      <c r="F53" s="117"/>
      <c r="G53" s="117" t="e">
        <f t="shared" si="23"/>
        <v>#DIV/0!</v>
      </c>
      <c r="H53" s="117">
        <f>+H24/H7</f>
        <v>4.4902670281103145E-3</v>
      </c>
      <c r="I53" s="56"/>
      <c r="AJ53" s="39" t="s">
        <v>30</v>
      </c>
      <c r="AK53" s="39" t="s">
        <v>94</v>
      </c>
    </row>
    <row r="54" spans="1:37" s="35" customFormat="1" ht="15.75" hidden="1" customHeight="1">
      <c r="A54" s="39" t="s">
        <v>95</v>
      </c>
      <c r="B54" s="42" t="s">
        <v>96</v>
      </c>
      <c r="C54" s="46">
        <f>+C22/C4</f>
        <v>-2.6316795061458835</v>
      </c>
      <c r="D54" s="46">
        <f t="shared" ref="D54:G54" si="24">+D22/D4</f>
        <v>11.156343397185754</v>
      </c>
      <c r="E54" s="46"/>
      <c r="F54" s="46"/>
      <c r="G54" s="46" t="e">
        <f t="shared" si="24"/>
        <v>#DIV/0!</v>
      </c>
      <c r="H54" s="46">
        <f>+H22/H4</f>
        <v>4.1609856435420589</v>
      </c>
      <c r="I54" s="56"/>
      <c r="AJ54" s="39" t="s">
        <v>95</v>
      </c>
      <c r="AK54" s="42" t="s">
        <v>96</v>
      </c>
    </row>
    <row r="55" spans="1:37" s="35" customFormat="1" ht="15.75" hidden="1" customHeight="1">
      <c r="A55" s="39" t="s">
        <v>97</v>
      </c>
      <c r="B55" s="118" t="s">
        <v>98</v>
      </c>
      <c r="C55" s="46"/>
      <c r="D55" s="46"/>
      <c r="E55" s="46"/>
      <c r="F55" s="46"/>
      <c r="G55" s="46"/>
      <c r="H55" s="46"/>
      <c r="I55" s="56"/>
      <c r="AJ55" s="39"/>
      <c r="AK55" s="42"/>
    </row>
    <row r="56" spans="1:37" s="35" customFormat="1" ht="15.75" hidden="1" customHeight="1">
      <c r="A56" s="39" t="s">
        <v>19</v>
      </c>
      <c r="B56" s="39" t="s">
        <v>99</v>
      </c>
      <c r="C56" s="46">
        <f>C57+C58</f>
        <v>512000</v>
      </c>
      <c r="D56" s="46"/>
      <c r="E56" s="46"/>
      <c r="F56" s="46"/>
      <c r="G56" s="46"/>
      <c r="H56" s="46"/>
      <c r="I56" s="56"/>
    </row>
    <row r="57" spans="1:37" s="35" customFormat="1" ht="15.75" hidden="1" customHeight="1">
      <c r="A57" s="39">
        <v>1.1000000000000001</v>
      </c>
      <c r="B57" s="119" t="s">
        <v>100</v>
      </c>
      <c r="C57" s="46">
        <f>项目投资!B27</f>
        <v>167000</v>
      </c>
      <c r="D57" s="46"/>
      <c r="E57" s="46"/>
      <c r="F57" s="46"/>
      <c r="G57" s="46"/>
      <c r="H57" s="46"/>
      <c r="I57" s="56"/>
    </row>
    <row r="58" spans="1:37" s="35" customFormat="1" ht="15.75" hidden="1" customHeight="1">
      <c r="A58" s="39">
        <v>1.2</v>
      </c>
      <c r="B58" s="39" t="s">
        <v>101</v>
      </c>
      <c r="C58" s="46">
        <f>项目投资!B26</f>
        <v>345000</v>
      </c>
      <c r="D58" s="46"/>
      <c r="E58" s="46"/>
      <c r="F58" s="46"/>
      <c r="G58" s="46"/>
      <c r="H58" s="46"/>
      <c r="I58" s="56"/>
    </row>
    <row r="59" spans="1:37" ht="15.75" hidden="1" customHeight="1">
      <c r="A59" s="106" t="s">
        <v>21</v>
      </c>
      <c r="B59" s="106" t="s">
        <v>102</v>
      </c>
      <c r="C59" s="120">
        <f t="shared" ref="C59:G59" si="25">C60+C61</f>
        <v>99512.785827260232</v>
      </c>
      <c r="D59" s="120">
        <f t="shared" si="25"/>
        <v>195544.31617723181</v>
      </c>
      <c r="E59" s="120"/>
      <c r="F59" s="120"/>
      <c r="G59" s="120" t="e">
        <f t="shared" si="25"/>
        <v>#DIV/0!</v>
      </c>
      <c r="H59" s="120">
        <f t="shared" ref="H59" si="26">H60+H61</f>
        <v>406621.48287333973</v>
      </c>
      <c r="I59" s="56"/>
    </row>
    <row r="60" spans="1:37" ht="15.75" hidden="1" customHeight="1">
      <c r="A60" s="106" t="s">
        <v>67</v>
      </c>
      <c r="B60" s="106" t="s">
        <v>103</v>
      </c>
      <c r="C60" s="120">
        <f t="shared" ref="C60:G60" si="27">C24</f>
        <v>-9737.2141727397684</v>
      </c>
      <c r="D60" s="120">
        <f t="shared" si="27"/>
        <v>86294.316177231813</v>
      </c>
      <c r="E60" s="120"/>
      <c r="F60" s="120"/>
      <c r="G60" s="120" t="e">
        <f t="shared" si="27"/>
        <v>#DIV/0!</v>
      </c>
      <c r="H60" s="120">
        <f t="shared" ref="H60" si="28">H24</f>
        <v>78871.482873339715</v>
      </c>
      <c r="I60" s="56"/>
    </row>
    <row r="61" spans="1:37" ht="15.75" hidden="1" customHeight="1">
      <c r="A61" s="106" t="s">
        <v>24</v>
      </c>
      <c r="B61" s="106" t="s">
        <v>104</v>
      </c>
      <c r="C61" s="120">
        <f>'2023年'!L18</f>
        <v>109250</v>
      </c>
      <c r="D61" s="120">
        <f>'2024年'!L18</f>
        <v>109250</v>
      </c>
      <c r="E61" s="120"/>
      <c r="F61" s="120"/>
      <c r="G61" s="120">
        <f>'2027年'!K18</f>
        <v>109250</v>
      </c>
      <c r="H61" s="120">
        <f>项目投资!I26</f>
        <v>327750</v>
      </c>
      <c r="I61" s="56"/>
    </row>
    <row r="62" spans="1:37" ht="15.75" hidden="1" customHeight="1">
      <c r="A62" s="106" t="s">
        <v>27</v>
      </c>
      <c r="B62" s="106" t="s">
        <v>105</v>
      </c>
      <c r="C62" s="121"/>
      <c r="D62" s="121"/>
      <c r="E62" s="121"/>
      <c r="F62" s="121"/>
      <c r="G62" s="121"/>
      <c r="H62" s="120"/>
      <c r="I62" s="56"/>
    </row>
    <row r="64" spans="1:37">
      <c r="B64"/>
    </row>
  </sheetData>
  <mergeCells count="2">
    <mergeCell ref="A1:H1"/>
    <mergeCell ref="A3:A4"/>
  </mergeCells>
  <phoneticPr fontId="37" type="noConversion"/>
  <pageMargins left="0.31496062992126" right="0.31496062992126" top="0.15748031496063" bottom="0.15748031496063" header="0" footer="0"/>
  <pageSetup paperSize="9" orientation="portrait" horizontalDpi="200" verticalDpi="3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60" customWidth="1"/>
    <col min="2" max="2" width="28.5" style="60" customWidth="1"/>
    <col min="3" max="4" width="9.125" style="60"/>
    <col min="5" max="5" width="13.875" style="60" customWidth="1"/>
    <col min="6" max="12" width="16.125" style="60" customWidth="1"/>
    <col min="13" max="13" width="10.625" style="60" customWidth="1"/>
    <col min="14" max="254" width="9.125" style="60"/>
    <col min="255" max="255" width="8" style="60" customWidth="1"/>
    <col min="256" max="256" width="28.5" style="60" customWidth="1"/>
    <col min="257" max="268" width="9.125" style="60"/>
    <col min="269" max="269" width="10.625" style="60" customWidth="1"/>
    <col min="270" max="510" width="9.125" style="60"/>
    <col min="511" max="511" width="8" style="60" customWidth="1"/>
    <col min="512" max="512" width="28.5" style="60" customWidth="1"/>
    <col min="513" max="524" width="9.125" style="60"/>
    <col min="525" max="525" width="10.625" style="60" customWidth="1"/>
    <col min="526" max="766" width="9.125" style="60"/>
    <col min="767" max="767" width="8" style="60" customWidth="1"/>
    <col min="768" max="768" width="28.5" style="60" customWidth="1"/>
    <col min="769" max="780" width="9.125" style="60"/>
    <col min="781" max="781" width="10.625" style="60" customWidth="1"/>
    <col min="782" max="1022" width="9.125" style="60"/>
    <col min="1023" max="1023" width="8" style="60" customWidth="1"/>
    <col min="1024" max="1024" width="28.5" style="60" customWidth="1"/>
    <col min="1025" max="1036" width="9.125" style="60"/>
    <col min="1037" max="1037" width="10.625" style="60" customWidth="1"/>
    <col min="1038" max="1278" width="9.125" style="60"/>
    <col min="1279" max="1279" width="8" style="60" customWidth="1"/>
    <col min="1280" max="1280" width="28.5" style="60" customWidth="1"/>
    <col min="1281" max="1292" width="9.125" style="60"/>
    <col min="1293" max="1293" width="10.625" style="60" customWidth="1"/>
    <col min="1294" max="1534" width="9.125" style="60"/>
    <col min="1535" max="1535" width="8" style="60" customWidth="1"/>
    <col min="1536" max="1536" width="28.5" style="60" customWidth="1"/>
    <col min="1537" max="1548" width="9.125" style="60"/>
    <col min="1549" max="1549" width="10.625" style="60" customWidth="1"/>
    <col min="1550" max="1790" width="9.125" style="60"/>
    <col min="1791" max="1791" width="8" style="60" customWidth="1"/>
    <col min="1792" max="1792" width="28.5" style="60" customWidth="1"/>
    <col min="1793" max="1804" width="9.125" style="60"/>
    <col min="1805" max="1805" width="10.625" style="60" customWidth="1"/>
    <col min="1806" max="2046" width="9.125" style="60"/>
    <col min="2047" max="2047" width="8" style="60" customWidth="1"/>
    <col min="2048" max="2048" width="28.5" style="60" customWidth="1"/>
    <col min="2049" max="2060" width="9.125" style="60"/>
    <col min="2061" max="2061" width="10.625" style="60" customWidth="1"/>
    <col min="2062" max="2302" width="9.125" style="60"/>
    <col min="2303" max="2303" width="8" style="60" customWidth="1"/>
    <col min="2304" max="2304" width="28.5" style="60" customWidth="1"/>
    <col min="2305" max="2316" width="9.125" style="60"/>
    <col min="2317" max="2317" width="10.625" style="60" customWidth="1"/>
    <col min="2318" max="2558" width="9.125" style="60"/>
    <col min="2559" max="2559" width="8" style="60" customWidth="1"/>
    <col min="2560" max="2560" width="28.5" style="60" customWidth="1"/>
    <col min="2561" max="2572" width="9.125" style="60"/>
    <col min="2573" max="2573" width="10.625" style="60" customWidth="1"/>
    <col min="2574" max="2814" width="9.125" style="60"/>
    <col min="2815" max="2815" width="8" style="60" customWidth="1"/>
    <col min="2816" max="2816" width="28.5" style="60" customWidth="1"/>
    <col min="2817" max="2828" width="9.125" style="60"/>
    <col min="2829" max="2829" width="10.625" style="60" customWidth="1"/>
    <col min="2830" max="3070" width="9.125" style="60"/>
    <col min="3071" max="3071" width="8" style="60" customWidth="1"/>
    <col min="3072" max="3072" width="28.5" style="60" customWidth="1"/>
    <col min="3073" max="3084" width="9.125" style="60"/>
    <col min="3085" max="3085" width="10.625" style="60" customWidth="1"/>
    <col min="3086" max="3326" width="9.125" style="60"/>
    <col min="3327" max="3327" width="8" style="60" customWidth="1"/>
    <col min="3328" max="3328" width="28.5" style="60" customWidth="1"/>
    <col min="3329" max="3340" width="9.125" style="60"/>
    <col min="3341" max="3341" width="10.625" style="60" customWidth="1"/>
    <col min="3342" max="3582" width="9.125" style="60"/>
    <col min="3583" max="3583" width="8" style="60" customWidth="1"/>
    <col min="3584" max="3584" width="28.5" style="60" customWidth="1"/>
    <col min="3585" max="3596" width="9.125" style="60"/>
    <col min="3597" max="3597" width="10.625" style="60" customWidth="1"/>
    <col min="3598" max="3838" width="9.125" style="60"/>
    <col min="3839" max="3839" width="8" style="60" customWidth="1"/>
    <col min="3840" max="3840" width="28.5" style="60" customWidth="1"/>
    <col min="3841" max="3852" width="9.125" style="60"/>
    <col min="3853" max="3853" width="10.625" style="60" customWidth="1"/>
    <col min="3854" max="4094" width="9.125" style="60"/>
    <col min="4095" max="4095" width="8" style="60" customWidth="1"/>
    <col min="4096" max="4096" width="28.5" style="60" customWidth="1"/>
    <col min="4097" max="4108" width="9.125" style="60"/>
    <col min="4109" max="4109" width="10.625" style="60" customWidth="1"/>
    <col min="4110" max="4350" width="9.125" style="60"/>
    <col min="4351" max="4351" width="8" style="60" customWidth="1"/>
    <col min="4352" max="4352" width="28.5" style="60" customWidth="1"/>
    <col min="4353" max="4364" width="9.125" style="60"/>
    <col min="4365" max="4365" width="10.625" style="60" customWidth="1"/>
    <col min="4366" max="4606" width="9.125" style="60"/>
    <col min="4607" max="4607" width="8" style="60" customWidth="1"/>
    <col min="4608" max="4608" width="28.5" style="60" customWidth="1"/>
    <col min="4609" max="4620" width="9.125" style="60"/>
    <col min="4621" max="4621" width="10.625" style="60" customWidth="1"/>
    <col min="4622" max="4862" width="9.125" style="60"/>
    <col min="4863" max="4863" width="8" style="60" customWidth="1"/>
    <col min="4864" max="4864" width="28.5" style="60" customWidth="1"/>
    <col min="4865" max="4876" width="9.125" style="60"/>
    <col min="4877" max="4877" width="10.625" style="60" customWidth="1"/>
    <col min="4878" max="5118" width="9.125" style="60"/>
    <col min="5119" max="5119" width="8" style="60" customWidth="1"/>
    <col min="5120" max="5120" width="28.5" style="60" customWidth="1"/>
    <col min="5121" max="5132" width="9.125" style="60"/>
    <col min="5133" max="5133" width="10.625" style="60" customWidth="1"/>
    <col min="5134" max="5374" width="9.125" style="60"/>
    <col min="5375" max="5375" width="8" style="60" customWidth="1"/>
    <col min="5376" max="5376" width="28.5" style="60" customWidth="1"/>
    <col min="5377" max="5388" width="9.125" style="60"/>
    <col min="5389" max="5389" width="10.625" style="60" customWidth="1"/>
    <col min="5390" max="5630" width="9.125" style="60"/>
    <col min="5631" max="5631" width="8" style="60" customWidth="1"/>
    <col min="5632" max="5632" width="28.5" style="60" customWidth="1"/>
    <col min="5633" max="5644" width="9.125" style="60"/>
    <col min="5645" max="5645" width="10.625" style="60" customWidth="1"/>
    <col min="5646" max="5886" width="9.125" style="60"/>
    <col min="5887" max="5887" width="8" style="60" customWidth="1"/>
    <col min="5888" max="5888" width="28.5" style="60" customWidth="1"/>
    <col min="5889" max="5900" width="9.125" style="60"/>
    <col min="5901" max="5901" width="10.625" style="60" customWidth="1"/>
    <col min="5902" max="6142" width="9.125" style="60"/>
    <col min="6143" max="6143" width="8" style="60" customWidth="1"/>
    <col min="6144" max="6144" width="28.5" style="60" customWidth="1"/>
    <col min="6145" max="6156" width="9.125" style="60"/>
    <col min="6157" max="6157" width="10.625" style="60" customWidth="1"/>
    <col min="6158" max="6398" width="9.125" style="60"/>
    <col min="6399" max="6399" width="8" style="60" customWidth="1"/>
    <col min="6400" max="6400" width="28.5" style="60" customWidth="1"/>
    <col min="6401" max="6412" width="9.125" style="60"/>
    <col min="6413" max="6413" width="10.625" style="60" customWidth="1"/>
    <col min="6414" max="6654" width="9.125" style="60"/>
    <col min="6655" max="6655" width="8" style="60" customWidth="1"/>
    <col min="6656" max="6656" width="28.5" style="60" customWidth="1"/>
    <col min="6657" max="6668" width="9.125" style="60"/>
    <col min="6669" max="6669" width="10.625" style="60" customWidth="1"/>
    <col min="6670" max="6910" width="9.125" style="60"/>
    <col min="6911" max="6911" width="8" style="60" customWidth="1"/>
    <col min="6912" max="6912" width="28.5" style="60" customWidth="1"/>
    <col min="6913" max="6924" width="9.125" style="60"/>
    <col min="6925" max="6925" width="10.625" style="60" customWidth="1"/>
    <col min="6926" max="7166" width="9.125" style="60"/>
    <col min="7167" max="7167" width="8" style="60" customWidth="1"/>
    <col min="7168" max="7168" width="28.5" style="60" customWidth="1"/>
    <col min="7169" max="7180" width="9.125" style="60"/>
    <col min="7181" max="7181" width="10.625" style="60" customWidth="1"/>
    <col min="7182" max="7422" width="9.125" style="60"/>
    <col min="7423" max="7423" width="8" style="60" customWidth="1"/>
    <col min="7424" max="7424" width="28.5" style="60" customWidth="1"/>
    <col min="7425" max="7436" width="9.125" style="60"/>
    <col min="7437" max="7437" width="10.625" style="60" customWidth="1"/>
    <col min="7438" max="7678" width="9.125" style="60"/>
    <col min="7679" max="7679" width="8" style="60" customWidth="1"/>
    <col min="7680" max="7680" width="28.5" style="60" customWidth="1"/>
    <col min="7681" max="7692" width="9.125" style="60"/>
    <col min="7693" max="7693" width="10.625" style="60" customWidth="1"/>
    <col min="7694" max="7934" width="9.125" style="60"/>
    <col min="7935" max="7935" width="8" style="60" customWidth="1"/>
    <col min="7936" max="7936" width="28.5" style="60" customWidth="1"/>
    <col min="7937" max="7948" width="9.125" style="60"/>
    <col min="7949" max="7949" width="10.625" style="60" customWidth="1"/>
    <col min="7950" max="8190" width="9.125" style="60"/>
    <col min="8191" max="8191" width="8" style="60" customWidth="1"/>
    <col min="8192" max="8192" width="28.5" style="60" customWidth="1"/>
    <col min="8193" max="8204" width="9.125" style="60"/>
    <col min="8205" max="8205" width="10.625" style="60" customWidth="1"/>
    <col min="8206" max="8446" width="9.125" style="60"/>
    <col min="8447" max="8447" width="8" style="60" customWidth="1"/>
    <col min="8448" max="8448" width="28.5" style="60" customWidth="1"/>
    <col min="8449" max="8460" width="9.125" style="60"/>
    <col min="8461" max="8461" width="10.625" style="60" customWidth="1"/>
    <col min="8462" max="8702" width="9.125" style="60"/>
    <col min="8703" max="8703" width="8" style="60" customWidth="1"/>
    <col min="8704" max="8704" width="28.5" style="60" customWidth="1"/>
    <col min="8705" max="8716" width="9.125" style="60"/>
    <col min="8717" max="8717" width="10.625" style="60" customWidth="1"/>
    <col min="8718" max="8958" width="9.125" style="60"/>
    <col min="8959" max="8959" width="8" style="60" customWidth="1"/>
    <col min="8960" max="8960" width="28.5" style="60" customWidth="1"/>
    <col min="8961" max="8972" width="9.125" style="60"/>
    <col min="8973" max="8973" width="10.625" style="60" customWidth="1"/>
    <col min="8974" max="9214" width="9.125" style="60"/>
    <col min="9215" max="9215" width="8" style="60" customWidth="1"/>
    <col min="9216" max="9216" width="28.5" style="60" customWidth="1"/>
    <col min="9217" max="9228" width="9.125" style="60"/>
    <col min="9229" max="9229" width="10.625" style="60" customWidth="1"/>
    <col min="9230" max="9470" width="9.125" style="60"/>
    <col min="9471" max="9471" width="8" style="60" customWidth="1"/>
    <col min="9472" max="9472" width="28.5" style="60" customWidth="1"/>
    <col min="9473" max="9484" width="9.125" style="60"/>
    <col min="9485" max="9485" width="10.625" style="60" customWidth="1"/>
    <col min="9486" max="9726" width="9.125" style="60"/>
    <col min="9727" max="9727" width="8" style="60" customWidth="1"/>
    <col min="9728" max="9728" width="28.5" style="60" customWidth="1"/>
    <col min="9729" max="9740" width="9.125" style="60"/>
    <col min="9741" max="9741" width="10.625" style="60" customWidth="1"/>
    <col min="9742" max="9982" width="9.125" style="60"/>
    <col min="9983" max="9983" width="8" style="60" customWidth="1"/>
    <col min="9984" max="9984" width="28.5" style="60" customWidth="1"/>
    <col min="9985" max="9996" width="9.125" style="60"/>
    <col min="9997" max="9997" width="10.625" style="60" customWidth="1"/>
    <col min="9998" max="10238" width="9.125" style="60"/>
    <col min="10239" max="10239" width="8" style="60" customWidth="1"/>
    <col min="10240" max="10240" width="28.5" style="60" customWidth="1"/>
    <col min="10241" max="10252" width="9.125" style="60"/>
    <col min="10253" max="10253" width="10.625" style="60" customWidth="1"/>
    <col min="10254" max="10494" width="9.125" style="60"/>
    <col min="10495" max="10495" width="8" style="60" customWidth="1"/>
    <col min="10496" max="10496" width="28.5" style="60" customWidth="1"/>
    <col min="10497" max="10508" width="9.125" style="60"/>
    <col min="10509" max="10509" width="10.625" style="60" customWidth="1"/>
    <col min="10510" max="10750" width="9.125" style="60"/>
    <col min="10751" max="10751" width="8" style="60" customWidth="1"/>
    <col min="10752" max="10752" width="28.5" style="60" customWidth="1"/>
    <col min="10753" max="10764" width="9.125" style="60"/>
    <col min="10765" max="10765" width="10.625" style="60" customWidth="1"/>
    <col min="10766" max="11006" width="9.125" style="60"/>
    <col min="11007" max="11007" width="8" style="60" customWidth="1"/>
    <col min="11008" max="11008" width="28.5" style="60" customWidth="1"/>
    <col min="11009" max="11020" width="9.125" style="60"/>
    <col min="11021" max="11021" width="10.625" style="60" customWidth="1"/>
    <col min="11022" max="11262" width="9.125" style="60"/>
    <col min="11263" max="11263" width="8" style="60" customWidth="1"/>
    <col min="11264" max="11264" width="28.5" style="60" customWidth="1"/>
    <col min="11265" max="11276" width="9.125" style="60"/>
    <col min="11277" max="11277" width="10.625" style="60" customWidth="1"/>
    <col min="11278" max="11518" width="9.125" style="60"/>
    <col min="11519" max="11519" width="8" style="60" customWidth="1"/>
    <col min="11520" max="11520" width="28.5" style="60" customWidth="1"/>
    <col min="11521" max="11532" width="9.125" style="60"/>
    <col min="11533" max="11533" width="10.625" style="60" customWidth="1"/>
    <col min="11534" max="11774" width="9.125" style="60"/>
    <col min="11775" max="11775" width="8" style="60" customWidth="1"/>
    <col min="11776" max="11776" width="28.5" style="60" customWidth="1"/>
    <col min="11777" max="11788" width="9.125" style="60"/>
    <col min="11789" max="11789" width="10.625" style="60" customWidth="1"/>
    <col min="11790" max="12030" width="9.125" style="60"/>
    <col min="12031" max="12031" width="8" style="60" customWidth="1"/>
    <col min="12032" max="12032" width="28.5" style="60" customWidth="1"/>
    <col min="12033" max="12044" width="9.125" style="60"/>
    <col min="12045" max="12045" width="10.625" style="60" customWidth="1"/>
    <col min="12046" max="12286" width="9.125" style="60"/>
    <col min="12287" max="12287" width="8" style="60" customWidth="1"/>
    <col min="12288" max="12288" width="28.5" style="60" customWidth="1"/>
    <col min="12289" max="12300" width="9.125" style="60"/>
    <col min="12301" max="12301" width="10.625" style="60" customWidth="1"/>
    <col min="12302" max="12542" width="9.125" style="60"/>
    <col min="12543" max="12543" width="8" style="60" customWidth="1"/>
    <col min="12544" max="12544" width="28.5" style="60" customWidth="1"/>
    <col min="12545" max="12556" width="9.125" style="60"/>
    <col min="12557" max="12557" width="10.625" style="60" customWidth="1"/>
    <col min="12558" max="12798" width="9.125" style="60"/>
    <col min="12799" max="12799" width="8" style="60" customWidth="1"/>
    <col min="12800" max="12800" width="28.5" style="60" customWidth="1"/>
    <col min="12801" max="12812" width="9.125" style="60"/>
    <col min="12813" max="12813" width="10.625" style="60" customWidth="1"/>
    <col min="12814" max="13054" width="9.125" style="60"/>
    <col min="13055" max="13055" width="8" style="60" customWidth="1"/>
    <col min="13056" max="13056" width="28.5" style="60" customWidth="1"/>
    <col min="13057" max="13068" width="9.125" style="60"/>
    <col min="13069" max="13069" width="10.625" style="60" customWidth="1"/>
    <col min="13070" max="13310" width="9.125" style="60"/>
    <col min="13311" max="13311" width="8" style="60" customWidth="1"/>
    <col min="13312" max="13312" width="28.5" style="60" customWidth="1"/>
    <col min="13313" max="13324" width="9.125" style="60"/>
    <col min="13325" max="13325" width="10.625" style="60" customWidth="1"/>
    <col min="13326" max="13566" width="9.125" style="60"/>
    <col min="13567" max="13567" width="8" style="60" customWidth="1"/>
    <col min="13568" max="13568" width="28.5" style="60" customWidth="1"/>
    <col min="13569" max="13580" width="9.125" style="60"/>
    <col min="13581" max="13581" width="10.625" style="60" customWidth="1"/>
    <col min="13582" max="13822" width="9.125" style="60"/>
    <col min="13823" max="13823" width="8" style="60" customWidth="1"/>
    <col min="13824" max="13824" width="28.5" style="60" customWidth="1"/>
    <col min="13825" max="13836" width="9.125" style="60"/>
    <col min="13837" max="13837" width="10.625" style="60" customWidth="1"/>
    <col min="13838" max="14078" width="9.125" style="60"/>
    <col min="14079" max="14079" width="8" style="60" customWidth="1"/>
    <col min="14080" max="14080" width="28.5" style="60" customWidth="1"/>
    <col min="14081" max="14092" width="9.125" style="60"/>
    <col min="14093" max="14093" width="10.625" style="60" customWidth="1"/>
    <col min="14094" max="14334" width="9.125" style="60"/>
    <col min="14335" max="14335" width="8" style="60" customWidth="1"/>
    <col min="14336" max="14336" width="28.5" style="60" customWidth="1"/>
    <col min="14337" max="14348" width="9.125" style="60"/>
    <col min="14349" max="14349" width="10.625" style="60" customWidth="1"/>
    <col min="14350" max="14590" width="9.125" style="60"/>
    <col min="14591" max="14591" width="8" style="60" customWidth="1"/>
    <col min="14592" max="14592" width="28.5" style="60" customWidth="1"/>
    <col min="14593" max="14604" width="9.125" style="60"/>
    <col min="14605" max="14605" width="10.625" style="60" customWidth="1"/>
    <col min="14606" max="14846" width="9.125" style="60"/>
    <col min="14847" max="14847" width="8" style="60" customWidth="1"/>
    <col min="14848" max="14848" width="28.5" style="60" customWidth="1"/>
    <col min="14849" max="14860" width="9.125" style="60"/>
    <col min="14861" max="14861" width="10.625" style="60" customWidth="1"/>
    <col min="14862" max="15102" width="9.125" style="60"/>
    <col min="15103" max="15103" width="8" style="60" customWidth="1"/>
    <col min="15104" max="15104" width="28.5" style="60" customWidth="1"/>
    <col min="15105" max="15116" width="9.125" style="60"/>
    <col min="15117" max="15117" width="10.625" style="60" customWidth="1"/>
    <col min="15118" max="15358" width="9.125" style="60"/>
    <col min="15359" max="15359" width="8" style="60" customWidth="1"/>
    <col min="15360" max="15360" width="28.5" style="60" customWidth="1"/>
    <col min="15361" max="15372" width="9.125" style="60"/>
    <col min="15373" max="15373" width="10.625" style="60" customWidth="1"/>
    <col min="15374" max="15614" width="9.125" style="60"/>
    <col min="15615" max="15615" width="8" style="60" customWidth="1"/>
    <col min="15616" max="15616" width="28.5" style="60" customWidth="1"/>
    <col min="15617" max="15628" width="9.125" style="60"/>
    <col min="15629" max="15629" width="10.625" style="60" customWidth="1"/>
    <col min="15630" max="15870" width="9.125" style="60"/>
    <col min="15871" max="15871" width="8" style="60" customWidth="1"/>
    <col min="15872" max="15872" width="28.5" style="60" customWidth="1"/>
    <col min="15873" max="15884" width="9.125" style="60"/>
    <col min="15885" max="15885" width="10.625" style="60" customWidth="1"/>
    <col min="15886" max="16126" width="9.125" style="60"/>
    <col min="16127" max="16127" width="8" style="60" customWidth="1"/>
    <col min="16128" max="16128" width="28.5" style="60" customWidth="1"/>
    <col min="16129" max="16140" width="9.125" style="60"/>
    <col min="16141" max="16141" width="10.625" style="60" customWidth="1"/>
    <col min="16142" max="16384" width="9.125" style="60"/>
  </cols>
  <sheetData>
    <row r="1" spans="1:13" ht="18.75">
      <c r="A1" s="61" t="s">
        <v>106</v>
      </c>
      <c r="B1" s="62"/>
      <c r="C1" s="63"/>
      <c r="D1" s="63"/>
      <c r="E1" s="62"/>
      <c r="F1" s="63"/>
      <c r="G1" s="63"/>
      <c r="H1" s="62"/>
      <c r="I1" s="63"/>
      <c r="J1" s="63"/>
      <c r="K1" s="63"/>
      <c r="L1" s="63"/>
      <c r="M1" s="63"/>
    </row>
    <row r="2" spans="1:13" ht="12">
      <c r="A2" s="60" t="s">
        <v>107</v>
      </c>
      <c r="B2" s="64"/>
    </row>
    <row r="3" spans="1:13" ht="16.899999999999999" customHeight="1">
      <c r="A3" s="65" t="s">
        <v>14</v>
      </c>
      <c r="B3" s="65" t="s">
        <v>108</v>
      </c>
      <c r="C3" s="243" t="s">
        <v>109</v>
      </c>
      <c r="D3" s="243"/>
      <c r="E3" s="243"/>
      <c r="F3" s="67"/>
      <c r="G3" s="68"/>
      <c r="H3" s="69"/>
      <c r="I3" s="69"/>
      <c r="J3" s="69" t="s">
        <v>110</v>
      </c>
      <c r="K3" s="69"/>
      <c r="L3" s="69"/>
      <c r="M3" s="90"/>
    </row>
    <row r="4" spans="1:13" ht="16.149999999999999" customHeight="1">
      <c r="A4" s="70"/>
      <c r="B4" s="70" t="s">
        <v>111</v>
      </c>
      <c r="C4" s="66">
        <v>2017</v>
      </c>
      <c r="D4" s="66">
        <f t="shared" ref="D4:L4" si="0">C4+1</f>
        <v>2018</v>
      </c>
      <c r="E4" s="66">
        <f t="shared" si="0"/>
        <v>2019</v>
      </c>
      <c r="F4" s="66">
        <f t="shared" si="0"/>
        <v>2020</v>
      </c>
      <c r="G4" s="66">
        <f t="shared" si="0"/>
        <v>2021</v>
      </c>
      <c r="H4" s="71">
        <f t="shared" si="0"/>
        <v>2022</v>
      </c>
      <c r="I4" s="71">
        <f t="shared" si="0"/>
        <v>2023</v>
      </c>
      <c r="J4" s="71">
        <f t="shared" si="0"/>
        <v>2024</v>
      </c>
      <c r="K4" s="71">
        <f t="shared" si="0"/>
        <v>2025</v>
      </c>
      <c r="L4" s="71">
        <f t="shared" si="0"/>
        <v>2026</v>
      </c>
      <c r="M4" s="91" t="s">
        <v>112</v>
      </c>
    </row>
    <row r="5" spans="1:13" ht="15.6" customHeight="1">
      <c r="A5" s="72">
        <v>1</v>
      </c>
      <c r="B5" s="73" t="s">
        <v>113</v>
      </c>
      <c r="C5" s="74">
        <f>SUM(C6:C9)</f>
        <v>0</v>
      </c>
      <c r="D5" s="74">
        <f t="shared" ref="D5:L5" si="1">SUM(D6:D9)</f>
        <v>0</v>
      </c>
      <c r="E5" s="74" t="e">
        <f t="shared" si="1"/>
        <v>#REF!</v>
      </c>
      <c r="F5" s="74">
        <f t="shared" si="1"/>
        <v>3085000</v>
      </c>
      <c r="G5" s="74">
        <f t="shared" si="1"/>
        <v>7627000</v>
      </c>
      <c r="H5" s="74">
        <f t="shared" si="1"/>
        <v>0</v>
      </c>
      <c r="I5" s="74" t="e">
        <f t="shared" si="1"/>
        <v>#REF!</v>
      </c>
      <c r="J5" s="74" t="e">
        <f t="shared" si="1"/>
        <v>#REF!</v>
      </c>
      <c r="K5" s="74" t="e">
        <f t="shared" si="1"/>
        <v>#REF!</v>
      </c>
      <c r="L5" s="74">
        <f t="shared" si="1"/>
        <v>18479000</v>
      </c>
      <c r="M5" s="78" t="e">
        <f t="shared" ref="M5:M17" si="2">SUM(C5:L5)</f>
        <v>#REF!</v>
      </c>
    </row>
    <row r="6" spans="1:13" ht="15.6" customHeight="1">
      <c r="A6" s="72">
        <v>1.1000000000000001</v>
      </c>
      <c r="B6" s="75" t="s">
        <v>114</v>
      </c>
      <c r="C6" s="76"/>
      <c r="D6" s="76"/>
      <c r="E6" s="76" t="e">
        <f>损益表!#REF!</f>
        <v>#REF!</v>
      </c>
      <c r="F6" s="76">
        <f>损益表!C5</f>
        <v>3085000</v>
      </c>
      <c r="G6" s="76">
        <f>损益表!D5</f>
        <v>7627000</v>
      </c>
      <c r="H6" s="76">
        <f>损益表!G5</f>
        <v>0</v>
      </c>
      <c r="I6" s="76" t="e">
        <f>损益表!#REF!</f>
        <v>#REF!</v>
      </c>
      <c r="J6" s="76" t="e">
        <f>损益表!#REF!</f>
        <v>#REF!</v>
      </c>
      <c r="K6" s="76" t="e">
        <f>损益表!#REF!</f>
        <v>#REF!</v>
      </c>
      <c r="L6" s="76">
        <f>损益表!H5</f>
        <v>18479000</v>
      </c>
      <c r="M6" s="78" t="e">
        <f t="shared" si="2"/>
        <v>#REF!</v>
      </c>
    </row>
    <row r="7" spans="1:13" ht="15.6" customHeight="1">
      <c r="A7" s="72">
        <v>1.2</v>
      </c>
      <c r="B7" s="75" t="s">
        <v>115</v>
      </c>
      <c r="C7" s="76"/>
      <c r="D7" s="76"/>
      <c r="E7" s="76">
        <f>[1]折、摊!G18</f>
        <v>0</v>
      </c>
      <c r="F7" s="76">
        <f>[1]折、摊!H18</f>
        <v>0</v>
      </c>
      <c r="G7" s="76">
        <f>[1]折、摊!I18</f>
        <v>0</v>
      </c>
      <c r="H7" s="76">
        <f>[1]折、摊!J18</f>
        <v>0</v>
      </c>
      <c r="I7" s="76">
        <f>[1]折、摊!K18</f>
        <v>0</v>
      </c>
      <c r="J7" s="76">
        <f>[1]折、摊!L18</f>
        <v>0</v>
      </c>
      <c r="K7" s="76">
        <f>[1]折、摊!M18</f>
        <v>0</v>
      </c>
      <c r="L7" s="76">
        <f>[1]折、摊!N18</f>
        <v>0</v>
      </c>
      <c r="M7" s="78">
        <f t="shared" si="2"/>
        <v>0</v>
      </c>
    </row>
    <row r="8" spans="1:13" ht="15.6" customHeight="1">
      <c r="A8" s="72">
        <v>1.3</v>
      </c>
      <c r="B8" s="75" t="s">
        <v>116</v>
      </c>
      <c r="C8" s="76" t="s">
        <v>117</v>
      </c>
      <c r="D8" s="76" t="s">
        <v>117</v>
      </c>
      <c r="E8" s="76" t="s">
        <v>117</v>
      </c>
      <c r="F8" s="76" t="s">
        <v>117</v>
      </c>
      <c r="G8" s="76" t="s">
        <v>117</v>
      </c>
      <c r="H8" s="76" t="s">
        <v>117</v>
      </c>
      <c r="I8" s="76" t="s">
        <v>117</v>
      </c>
      <c r="J8" s="76" t="s">
        <v>117</v>
      </c>
      <c r="K8" s="76" t="s">
        <v>117</v>
      </c>
      <c r="L8" s="76"/>
      <c r="M8" s="78">
        <f t="shared" si="2"/>
        <v>0</v>
      </c>
    </row>
    <row r="9" spans="1:13" s="59" customFormat="1" ht="15.6" customHeight="1">
      <c r="A9" s="77">
        <v>1.4</v>
      </c>
      <c r="B9" s="78" t="s">
        <v>118</v>
      </c>
      <c r="C9" s="76" t="s">
        <v>117</v>
      </c>
      <c r="D9" s="76" t="s">
        <v>117</v>
      </c>
      <c r="E9" s="76" t="s">
        <v>117</v>
      </c>
      <c r="F9" s="76" t="s">
        <v>117</v>
      </c>
      <c r="G9" s="76" t="s">
        <v>117</v>
      </c>
      <c r="H9" s="76" t="s">
        <v>117</v>
      </c>
      <c r="I9" s="76" t="s">
        <v>117</v>
      </c>
      <c r="J9" s="76" t="s">
        <v>117</v>
      </c>
      <c r="K9" s="76" t="s">
        <v>117</v>
      </c>
      <c r="L9" s="76" t="s">
        <v>117</v>
      </c>
      <c r="M9" s="78">
        <f t="shared" si="2"/>
        <v>0</v>
      </c>
    </row>
    <row r="10" spans="1:13" ht="15.6" customHeight="1">
      <c r="A10" s="77">
        <v>2</v>
      </c>
      <c r="B10" s="73" t="s">
        <v>119</v>
      </c>
      <c r="C10" s="74">
        <f t="shared" ref="C10:L10" si="3">SUM(C11:C16)</f>
        <v>0</v>
      </c>
      <c r="D10" s="74">
        <f t="shared" si="3"/>
        <v>0</v>
      </c>
      <c r="E10" s="74">
        <f t="shared" si="3"/>
        <v>0</v>
      </c>
      <c r="F10" s="74">
        <f t="shared" si="3"/>
        <v>0</v>
      </c>
      <c r="G10" s="74">
        <f t="shared" si="3"/>
        <v>0</v>
      </c>
      <c r="H10" s="74">
        <f t="shared" si="3"/>
        <v>0</v>
      </c>
      <c r="I10" s="74">
        <f t="shared" si="3"/>
        <v>0</v>
      </c>
      <c r="J10" s="74">
        <f t="shared" si="3"/>
        <v>0</v>
      </c>
      <c r="K10" s="74">
        <f t="shared" si="3"/>
        <v>0</v>
      </c>
      <c r="L10" s="74">
        <f t="shared" si="3"/>
        <v>0</v>
      </c>
      <c r="M10" s="78">
        <f t="shared" si="2"/>
        <v>0</v>
      </c>
    </row>
    <row r="11" spans="1:13" ht="15" customHeight="1">
      <c r="A11" s="72">
        <v>2.1</v>
      </c>
      <c r="B11" s="72" t="s">
        <v>120</v>
      </c>
      <c r="C11" s="76">
        <f>([1]计划!C6-[1]计划!C7)</f>
        <v>0</v>
      </c>
      <c r="D11" s="76">
        <f>([1]计划!D6-[1]计划!D7)</f>
        <v>0</v>
      </c>
      <c r="E11" s="76">
        <f>([1]计划!E6-[1]计划!E7)</f>
        <v>0</v>
      </c>
      <c r="F11" s="76">
        <f>([1]计划!F6-[1]计划!F7)</f>
        <v>0</v>
      </c>
      <c r="G11" s="76">
        <f>([1]计划!G6-[1]计划!G7)</f>
        <v>0</v>
      </c>
      <c r="H11" s="76">
        <f>([1]计划!H6-[1]计划!H7)</f>
        <v>0</v>
      </c>
      <c r="I11" s="76">
        <f>([1]计划!I6-[1]计划!I7)</f>
        <v>0</v>
      </c>
      <c r="J11" s="76">
        <f>([1]计划!J6-[1]计划!J7)</f>
        <v>0</v>
      </c>
      <c r="K11" s="76">
        <f>([1]计划!K6-[1]计划!K7)</f>
        <v>0</v>
      </c>
      <c r="L11" s="76">
        <f>([1]计划!L6-[1]计划!L7)</f>
        <v>0</v>
      </c>
      <c r="M11" s="78">
        <f t="shared" si="2"/>
        <v>0</v>
      </c>
    </row>
    <row r="12" spans="1:13" s="59" customFormat="1" ht="15" customHeight="1">
      <c r="A12" s="72">
        <v>2.2000000000000002</v>
      </c>
      <c r="B12" s="78" t="s">
        <v>121</v>
      </c>
      <c r="C12" s="76">
        <f>[1]计划!C8</f>
        <v>0</v>
      </c>
      <c r="D12" s="76">
        <f>[1]计划!D8</f>
        <v>0</v>
      </c>
      <c r="E12" s="76">
        <f>[1]计划!E8</f>
        <v>0</v>
      </c>
      <c r="F12" s="76">
        <f>[1]计划!F8</f>
        <v>0</v>
      </c>
      <c r="G12" s="76">
        <f>[1]计划!G8</f>
        <v>0</v>
      </c>
      <c r="H12" s="76">
        <f>[1]计划!H8</f>
        <v>0</v>
      </c>
      <c r="I12" s="76">
        <f>[1]计划!I8</f>
        <v>0</v>
      </c>
      <c r="J12" s="76">
        <f>[1]计划!J8</f>
        <v>0</v>
      </c>
      <c r="K12" s="76">
        <f>[1]计划!K8</f>
        <v>0</v>
      </c>
      <c r="L12" s="76">
        <f>[1]计划!L8</f>
        <v>0</v>
      </c>
      <c r="M12" s="78">
        <f t="shared" si="2"/>
        <v>0</v>
      </c>
    </row>
    <row r="13" spans="1:13" ht="15" customHeight="1">
      <c r="A13" s="72">
        <v>2.2999999999999998</v>
      </c>
      <c r="B13" s="75" t="s">
        <v>122</v>
      </c>
      <c r="C13" s="76">
        <f>[1]总成本!C22</f>
        <v>0</v>
      </c>
      <c r="D13" s="76">
        <f>[1]总成本!D22</f>
        <v>0</v>
      </c>
      <c r="E13" s="76">
        <f>[1]总成本!E22</f>
        <v>0</v>
      </c>
      <c r="F13" s="76">
        <f>[1]总成本!F22</f>
        <v>0</v>
      </c>
      <c r="G13" s="76">
        <f>[1]总成本!G22</f>
        <v>0</v>
      </c>
      <c r="H13" s="76">
        <f>[1]总成本!H22</f>
        <v>0</v>
      </c>
      <c r="I13" s="76">
        <f>[1]总成本!I22</f>
        <v>0</v>
      </c>
      <c r="J13" s="76">
        <f>[1]总成本!J22</f>
        <v>0</v>
      </c>
      <c r="K13" s="76">
        <f>[1]总成本!K22</f>
        <v>0</v>
      </c>
      <c r="L13" s="76">
        <f>[1]总成本!L22</f>
        <v>0</v>
      </c>
      <c r="M13" s="78">
        <f t="shared" si="2"/>
        <v>0</v>
      </c>
    </row>
    <row r="14" spans="1:13" ht="15" customHeight="1">
      <c r="A14" s="72">
        <v>2.4</v>
      </c>
      <c r="B14" s="75" t="s">
        <v>123</v>
      </c>
      <c r="C14" s="76">
        <f>[1]价格!D15</f>
        <v>0</v>
      </c>
      <c r="D14" s="76">
        <f>[1]价格!E15</f>
        <v>0</v>
      </c>
      <c r="E14" s="76">
        <f>[1]价格!F15</f>
        <v>0</v>
      </c>
      <c r="F14" s="76">
        <f>[1]价格!G15</f>
        <v>0</v>
      </c>
      <c r="G14" s="76">
        <f>[1]价格!H15</f>
        <v>0</v>
      </c>
      <c r="H14" s="76">
        <f>[1]价格!I15</f>
        <v>0</v>
      </c>
      <c r="I14" s="76">
        <f>[1]价格!J15</f>
        <v>0</v>
      </c>
      <c r="J14" s="76">
        <f>[1]价格!K15</f>
        <v>0</v>
      </c>
      <c r="K14" s="76">
        <f>[1]价格!L15</f>
        <v>0</v>
      </c>
      <c r="L14" s="76">
        <f>[1]价格!M15</f>
        <v>0</v>
      </c>
      <c r="M14" s="78">
        <f t="shared" si="2"/>
        <v>0</v>
      </c>
    </row>
    <row r="15" spans="1:13" ht="15" customHeight="1">
      <c r="A15" s="72">
        <v>2.5</v>
      </c>
      <c r="B15" s="75" t="s">
        <v>54</v>
      </c>
      <c r="C15" s="76">
        <f>[1]利润!C13</f>
        <v>0</v>
      </c>
      <c r="D15" s="76">
        <f>[1]利润!D13</f>
        <v>0</v>
      </c>
      <c r="E15" s="76">
        <f>[1]利润!E13</f>
        <v>0</v>
      </c>
      <c r="F15" s="76">
        <f>[1]利润!F13</f>
        <v>0</v>
      </c>
      <c r="G15" s="76">
        <f>[1]利润!G13</f>
        <v>0</v>
      </c>
      <c r="H15" s="76">
        <f>[1]利润!H13</f>
        <v>0</v>
      </c>
      <c r="I15" s="76">
        <f>[1]利润!I13</f>
        <v>0</v>
      </c>
      <c r="J15" s="76">
        <f>[1]利润!J13</f>
        <v>0</v>
      </c>
      <c r="K15" s="76">
        <f>[1]利润!K13</f>
        <v>0</v>
      </c>
      <c r="L15" s="76">
        <f>[1]利润!L13</f>
        <v>0</v>
      </c>
      <c r="M15" s="78">
        <f t="shared" si="2"/>
        <v>0</v>
      </c>
    </row>
    <row r="16" spans="1:13" ht="15" customHeight="1">
      <c r="A16" s="72">
        <v>2.6</v>
      </c>
      <c r="B16" s="75" t="s">
        <v>124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8">
        <f t="shared" si="2"/>
        <v>0</v>
      </c>
    </row>
    <row r="17" spans="1:18" ht="12">
      <c r="A17" s="72">
        <v>3</v>
      </c>
      <c r="B17" s="73" t="s">
        <v>125</v>
      </c>
      <c r="C17" s="74">
        <f t="shared" ref="C17:L17" si="4">C5-C10</f>
        <v>0</v>
      </c>
      <c r="D17" s="74">
        <f t="shared" si="4"/>
        <v>0</v>
      </c>
      <c r="E17" s="74" t="e">
        <f t="shared" si="4"/>
        <v>#REF!</v>
      </c>
      <c r="F17" s="74">
        <f t="shared" si="4"/>
        <v>3085000</v>
      </c>
      <c r="G17" s="74">
        <f t="shared" si="4"/>
        <v>7627000</v>
      </c>
      <c r="H17" s="74">
        <f t="shared" si="4"/>
        <v>0</v>
      </c>
      <c r="I17" s="74" t="e">
        <f t="shared" si="4"/>
        <v>#REF!</v>
      </c>
      <c r="J17" s="74" t="e">
        <f t="shared" si="4"/>
        <v>#REF!</v>
      </c>
      <c r="K17" s="74" t="e">
        <f t="shared" si="4"/>
        <v>#REF!</v>
      </c>
      <c r="L17" s="74">
        <f t="shared" si="4"/>
        <v>18479000</v>
      </c>
      <c r="M17" s="78" t="e">
        <f t="shared" si="2"/>
        <v>#REF!</v>
      </c>
    </row>
    <row r="18" spans="1:18" ht="12">
      <c r="A18" s="79">
        <v>4</v>
      </c>
      <c r="B18" s="75" t="s">
        <v>126</v>
      </c>
      <c r="C18" s="76">
        <f>C17</f>
        <v>0</v>
      </c>
      <c r="D18" s="76">
        <f t="shared" ref="D18:L18" si="5">C18+D17</f>
        <v>0</v>
      </c>
      <c r="E18" s="76" t="e">
        <f t="shared" si="5"/>
        <v>#REF!</v>
      </c>
      <c r="F18" s="76" t="e">
        <f t="shared" si="5"/>
        <v>#REF!</v>
      </c>
      <c r="G18" s="76" t="e">
        <f t="shared" si="5"/>
        <v>#REF!</v>
      </c>
      <c r="H18" s="76" t="e">
        <f t="shared" si="5"/>
        <v>#REF!</v>
      </c>
      <c r="I18" s="76" t="e">
        <f t="shared" si="5"/>
        <v>#REF!</v>
      </c>
      <c r="J18" s="76" t="e">
        <f t="shared" si="5"/>
        <v>#REF!</v>
      </c>
      <c r="K18" s="76" t="e">
        <f t="shared" si="5"/>
        <v>#REF!</v>
      </c>
      <c r="L18" s="76" t="e">
        <f t="shared" si="5"/>
        <v>#REF!</v>
      </c>
      <c r="M18" s="75" t="s">
        <v>117</v>
      </c>
    </row>
    <row r="19" spans="1:18" s="59" customFormat="1" ht="12">
      <c r="A19" s="79">
        <v>5</v>
      </c>
      <c r="B19" s="75" t="s">
        <v>127</v>
      </c>
      <c r="C19" s="76">
        <f t="shared" ref="C19:L19" si="6">C17+C15</f>
        <v>0</v>
      </c>
      <c r="D19" s="76">
        <f t="shared" si="6"/>
        <v>0</v>
      </c>
      <c r="E19" s="76" t="e">
        <f t="shared" si="6"/>
        <v>#REF!</v>
      </c>
      <c r="F19" s="76">
        <f t="shared" si="6"/>
        <v>3085000</v>
      </c>
      <c r="G19" s="76">
        <f t="shared" si="6"/>
        <v>7627000</v>
      </c>
      <c r="H19" s="76">
        <f t="shared" si="6"/>
        <v>0</v>
      </c>
      <c r="I19" s="76" t="e">
        <f t="shared" si="6"/>
        <v>#REF!</v>
      </c>
      <c r="J19" s="76" t="e">
        <f t="shared" si="6"/>
        <v>#REF!</v>
      </c>
      <c r="K19" s="76" t="e">
        <f t="shared" si="6"/>
        <v>#REF!</v>
      </c>
      <c r="L19" s="76">
        <f t="shared" si="6"/>
        <v>18479000</v>
      </c>
      <c r="M19" s="78" t="e">
        <f>SUM(C19:L19)</f>
        <v>#REF!</v>
      </c>
    </row>
    <row r="20" spans="1:18" s="59" customFormat="1" ht="12">
      <c r="A20" s="72">
        <v>6</v>
      </c>
      <c r="B20" s="75" t="s">
        <v>128</v>
      </c>
      <c r="C20" s="76">
        <f>C19</f>
        <v>0</v>
      </c>
      <c r="D20" s="76">
        <f t="shared" ref="D20:L20" si="7">C20+D19</f>
        <v>0</v>
      </c>
      <c r="E20" s="76" t="e">
        <f t="shared" si="7"/>
        <v>#REF!</v>
      </c>
      <c r="F20" s="76" t="e">
        <f t="shared" si="7"/>
        <v>#REF!</v>
      </c>
      <c r="G20" s="76" t="e">
        <f t="shared" si="7"/>
        <v>#REF!</v>
      </c>
      <c r="H20" s="76" t="e">
        <f t="shared" si="7"/>
        <v>#REF!</v>
      </c>
      <c r="I20" s="76" t="e">
        <f t="shared" si="7"/>
        <v>#REF!</v>
      </c>
      <c r="J20" s="76" t="e">
        <f t="shared" si="7"/>
        <v>#REF!</v>
      </c>
      <c r="K20" s="76" t="e">
        <f t="shared" si="7"/>
        <v>#REF!</v>
      </c>
      <c r="L20" s="76" t="e">
        <f t="shared" si="7"/>
        <v>#REF!</v>
      </c>
      <c r="M20" s="75" t="s">
        <v>117</v>
      </c>
    </row>
    <row r="21" spans="1:18" ht="12">
      <c r="A21" s="80"/>
      <c r="B21" s="81" t="s">
        <v>129</v>
      </c>
      <c r="C21" s="81"/>
      <c r="D21" s="81"/>
      <c r="E21" s="81" t="s">
        <v>130</v>
      </c>
      <c r="F21" s="81"/>
      <c r="G21" s="81"/>
      <c r="H21" s="81"/>
      <c r="I21" s="81" t="s">
        <v>131</v>
      </c>
      <c r="J21" s="81"/>
      <c r="K21" s="81"/>
      <c r="L21" s="81"/>
      <c r="M21" s="92"/>
    </row>
    <row r="22" spans="1:18" ht="12">
      <c r="A22" s="82"/>
      <c r="B22" s="83" t="s">
        <v>132</v>
      </c>
      <c r="C22" s="83"/>
      <c r="D22" s="84" t="s">
        <v>133</v>
      </c>
      <c r="E22" s="85" t="e">
        <f>IRR(C17:L17,0.15)</f>
        <v>#VALUE!</v>
      </c>
      <c r="F22" s="83"/>
      <c r="G22" s="83"/>
      <c r="H22" s="83"/>
      <c r="I22" s="85" t="e">
        <f>IRR(C19:L19,0.15)</f>
        <v>#VALUE!</v>
      </c>
      <c r="J22" s="83"/>
      <c r="K22" s="83"/>
      <c r="L22" s="83"/>
      <c r="M22" s="93"/>
    </row>
    <row r="23" spans="1:18" ht="12">
      <c r="A23" s="82"/>
      <c r="B23" s="83" t="s">
        <v>134</v>
      </c>
      <c r="C23" s="83"/>
      <c r="D23" s="83"/>
      <c r="E23" s="86" t="e">
        <f>NPV(0.12,C17:L17)</f>
        <v>#REF!</v>
      </c>
      <c r="F23" s="83"/>
      <c r="G23" s="83"/>
      <c r="H23" s="83"/>
      <c r="I23" s="86" t="e">
        <f>NPV(0.12,C19:L19)</f>
        <v>#REF!</v>
      </c>
      <c r="J23" s="83"/>
      <c r="K23" s="83"/>
      <c r="L23" s="83"/>
      <c r="M23" s="93"/>
      <c r="R23" s="60">
        <f>30.9-29.82</f>
        <v>1.0799999999999983</v>
      </c>
    </row>
    <row r="24" spans="1:18" ht="12">
      <c r="A24" s="87"/>
      <c r="B24" s="88" t="s">
        <v>135</v>
      </c>
      <c r="C24" s="88"/>
      <c r="D24" s="88"/>
      <c r="E24" s="89" t="e">
        <f>6-H18/I17</f>
        <v>#REF!</v>
      </c>
      <c r="F24" s="88"/>
      <c r="G24" s="88"/>
      <c r="H24" s="88"/>
      <c r="I24" s="89" t="e">
        <f>6-H20/I19</f>
        <v>#REF!</v>
      </c>
      <c r="J24" s="88"/>
      <c r="K24" s="88"/>
      <c r="L24" s="88"/>
      <c r="M24" s="94"/>
    </row>
  </sheetData>
  <mergeCells count="1">
    <mergeCell ref="C3:E3"/>
  </mergeCells>
  <phoneticPr fontId="3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E5" sqref="E5"/>
    </sheetView>
  </sheetViews>
  <sheetFormatPr defaultColWidth="9" defaultRowHeight="16.5"/>
  <cols>
    <col min="1" max="1" width="5.125" style="35" customWidth="1"/>
    <col min="2" max="2" width="17.5" style="35" customWidth="1"/>
    <col min="3" max="11" width="13.25" style="36" customWidth="1"/>
    <col min="12" max="12" width="18.75" style="36" customWidth="1"/>
    <col min="13" max="13" width="12.375" style="35" customWidth="1"/>
    <col min="14" max="14" width="10.125" style="35" customWidth="1"/>
    <col min="15" max="21" width="9" style="35" customWidth="1"/>
    <col min="22" max="35" width="9" style="35"/>
    <col min="36" max="36" width="4.375" style="35" customWidth="1"/>
    <col min="37" max="37" width="13.875" style="35" customWidth="1"/>
    <col min="38" max="16384" width="9" style="35"/>
  </cols>
  <sheetData>
    <row r="1" spans="1:38">
      <c r="A1" s="244" t="s">
        <v>136</v>
      </c>
      <c r="B1" s="244"/>
      <c r="C1" s="248" t="s">
        <v>236</v>
      </c>
      <c r="D1" s="249"/>
      <c r="E1" s="249"/>
      <c r="F1" s="249"/>
      <c r="G1" s="249"/>
      <c r="H1" s="249"/>
      <c r="I1" s="249"/>
      <c r="J1" s="249"/>
      <c r="K1" s="249"/>
      <c r="L1" s="250"/>
    </row>
    <row r="2" spans="1:38">
      <c r="A2" s="244" t="s">
        <v>137</v>
      </c>
      <c r="B2" s="244"/>
      <c r="C2" s="251" t="s">
        <v>321</v>
      </c>
      <c r="D2" s="251"/>
      <c r="E2" s="251"/>
      <c r="F2" s="251"/>
      <c r="G2" s="251"/>
      <c r="H2" s="251"/>
      <c r="I2" s="251"/>
      <c r="J2" s="251"/>
      <c r="K2" s="251"/>
      <c r="L2" s="251"/>
    </row>
    <row r="3" spans="1:38" ht="42.75">
      <c r="A3" s="244" t="s">
        <v>138</v>
      </c>
      <c r="B3" s="244"/>
      <c r="C3" s="146" t="str">
        <f>销量!C5</f>
        <v>副驾座椅（NX）</v>
      </c>
      <c r="D3" s="146" t="str">
        <f>销量!D5</f>
        <v>副驾座椅（NX/通风面料）</v>
      </c>
      <c r="E3" s="146" t="str">
        <f>销量!E5</f>
        <v>中间座椅总成 （NX）</v>
      </c>
      <c r="F3" s="146" t="str">
        <f>销量!F5</f>
        <v>驾驶员座椅总成 （NX/阻尼可调/通风加热）</v>
      </c>
      <c r="G3" s="146" t="str">
        <f>销量!G5</f>
        <v>驾驶员座椅总成 （NX/阻尼可调）</v>
      </c>
      <c r="H3" s="146" t="str">
        <f>销量!H5</f>
        <v>驾驶员座椅总成 （NX）</v>
      </c>
      <c r="I3" s="146" t="str">
        <f>销量!I5</f>
        <v>中间座椅总成 （NX/安全带未系报警）</v>
      </c>
      <c r="J3" s="146" t="str">
        <f>销量!J5</f>
        <v>副驾座椅（NX/安全带未系报警）</v>
      </c>
      <c r="K3" s="146" t="str">
        <f>销量!K5</f>
        <v>副驾座椅（NX/通风面料/安全带未系报警）</v>
      </c>
      <c r="L3" s="245" t="s">
        <v>15</v>
      </c>
    </row>
    <row r="4" spans="1:38">
      <c r="A4" s="244" t="s">
        <v>139</v>
      </c>
      <c r="B4" s="244"/>
      <c r="C4" s="146" t="str">
        <f>销量!C6</f>
        <v>LZ161751100440</v>
      </c>
      <c r="D4" s="146" t="str">
        <f>销量!D6</f>
        <v>LZ161751100450</v>
      </c>
      <c r="E4" s="146" t="str">
        <f>销量!E6</f>
        <v>LZ161751100460</v>
      </c>
      <c r="F4" s="146" t="str">
        <f>销量!F6</f>
        <v>LZ161751100430</v>
      </c>
      <c r="G4" s="146" t="str">
        <f>销量!G6</f>
        <v>LZ161751100420</v>
      </c>
      <c r="H4" s="146" t="str">
        <f>销量!H6</f>
        <v>LZ161751100410</v>
      </c>
      <c r="I4" s="146" t="str">
        <f>销量!I6</f>
        <v>LZ161751100465</v>
      </c>
      <c r="J4" s="146" t="str">
        <f>销量!J6</f>
        <v>LZ161751100445</v>
      </c>
      <c r="K4" s="146" t="str">
        <f>销量!K6</f>
        <v>LZ161751100455</v>
      </c>
      <c r="L4" s="246"/>
    </row>
    <row r="5" spans="1:38">
      <c r="A5" s="244" t="s">
        <v>140</v>
      </c>
      <c r="B5" s="244"/>
      <c r="C5" s="38"/>
      <c r="D5" s="38"/>
      <c r="E5" s="38"/>
      <c r="F5" s="38"/>
      <c r="G5" s="38"/>
      <c r="H5" s="38"/>
      <c r="I5" s="38"/>
      <c r="J5" s="38"/>
      <c r="K5" s="38"/>
      <c r="L5" s="247"/>
      <c r="AL5" s="35" t="s">
        <v>16</v>
      </c>
    </row>
    <row r="6" spans="1:38" ht="17.25">
      <c r="A6" s="39" t="s">
        <v>14</v>
      </c>
      <c r="B6" s="40" t="s">
        <v>141</v>
      </c>
      <c r="C6" s="12">
        <f>销量!C9</f>
        <v>1000</v>
      </c>
      <c r="D6" s="12">
        <f>销量!D9</f>
        <v>200</v>
      </c>
      <c r="E6" s="12">
        <f>销量!E9</f>
        <v>500</v>
      </c>
      <c r="F6" s="12">
        <f>销量!F9</f>
        <v>200</v>
      </c>
      <c r="G6" s="12">
        <f>销量!G9</f>
        <v>300</v>
      </c>
      <c r="H6" s="12">
        <f>销量!H9</f>
        <v>1000</v>
      </c>
      <c r="I6" s="12">
        <f>销量!I9</f>
        <v>200</v>
      </c>
      <c r="J6" s="12">
        <f>销量!J9</f>
        <v>200</v>
      </c>
      <c r="K6" s="12">
        <f>销量!K9</f>
        <v>100</v>
      </c>
      <c r="L6" s="41">
        <f t="shared" ref="L6:L15" si="0">SUM(C6:K6)</f>
        <v>3700</v>
      </c>
      <c r="AJ6" s="39" t="s">
        <v>14</v>
      </c>
      <c r="AK6" s="40" t="s">
        <v>3</v>
      </c>
      <c r="AL6" s="35" t="s">
        <v>17</v>
      </c>
    </row>
    <row r="7" spans="1:38">
      <c r="A7" s="37">
        <v>1</v>
      </c>
      <c r="B7" s="40" t="s">
        <v>18</v>
      </c>
      <c r="C7" s="41">
        <f>C6*销量!C8</f>
        <v>470000</v>
      </c>
      <c r="D7" s="41">
        <f>D6*销量!D8</f>
        <v>94000</v>
      </c>
      <c r="E7" s="41">
        <f>E6*销量!E8</f>
        <v>175000</v>
      </c>
      <c r="F7" s="41">
        <f>F6*销量!F8</f>
        <v>410000</v>
      </c>
      <c r="G7" s="41">
        <f>G6*销量!G8</f>
        <v>465000</v>
      </c>
      <c r="H7" s="41">
        <f>H6*销量!H8</f>
        <v>1260000</v>
      </c>
      <c r="I7" s="41">
        <f>I6*销量!I8</f>
        <v>70000</v>
      </c>
      <c r="J7" s="41">
        <f>J6*销量!J8</f>
        <v>94000</v>
      </c>
      <c r="K7" s="41">
        <f>K6*销量!K8</f>
        <v>47000</v>
      </c>
      <c r="L7" s="41">
        <f t="shared" si="0"/>
        <v>3085000</v>
      </c>
      <c r="M7" s="36"/>
      <c r="AJ7" s="39" t="s">
        <v>19</v>
      </c>
      <c r="AK7" s="40" t="s">
        <v>18</v>
      </c>
      <c r="AL7" s="35" t="s">
        <v>17</v>
      </c>
    </row>
    <row r="8" spans="1:38">
      <c r="A8" s="37">
        <v>2</v>
      </c>
      <c r="B8" s="37" t="s">
        <v>20</v>
      </c>
      <c r="C8" s="41"/>
      <c r="D8" s="41"/>
      <c r="E8" s="41"/>
      <c r="F8" s="41"/>
      <c r="G8" s="41"/>
      <c r="H8" s="41"/>
      <c r="I8" s="41"/>
      <c r="J8" s="41"/>
      <c r="K8" s="41"/>
      <c r="L8" s="41">
        <f t="shared" si="0"/>
        <v>0</v>
      </c>
      <c r="M8" s="56"/>
      <c r="AJ8" s="39" t="s">
        <v>21</v>
      </c>
      <c r="AK8" s="37" t="s">
        <v>22</v>
      </c>
      <c r="AL8" s="35" t="s">
        <v>17</v>
      </c>
    </row>
    <row r="9" spans="1:38">
      <c r="A9" s="37">
        <v>3</v>
      </c>
      <c r="B9" s="40" t="s">
        <v>23</v>
      </c>
      <c r="C9" s="41">
        <f>+C7-C8</f>
        <v>470000</v>
      </c>
      <c r="D9" s="41">
        <f t="shared" ref="D9:K9" si="1">+D7-D8</f>
        <v>94000</v>
      </c>
      <c r="E9" s="41">
        <f t="shared" si="1"/>
        <v>175000</v>
      </c>
      <c r="F9" s="41">
        <f t="shared" si="1"/>
        <v>410000</v>
      </c>
      <c r="G9" s="41">
        <f t="shared" si="1"/>
        <v>465000</v>
      </c>
      <c r="H9" s="41">
        <f t="shared" si="1"/>
        <v>1260000</v>
      </c>
      <c r="I9" s="41">
        <f t="shared" si="1"/>
        <v>70000</v>
      </c>
      <c r="J9" s="41">
        <f t="shared" ref="J9" si="2">+J7-J8</f>
        <v>94000</v>
      </c>
      <c r="K9" s="41">
        <f t="shared" si="1"/>
        <v>47000</v>
      </c>
      <c r="L9" s="41">
        <f t="shared" si="0"/>
        <v>3085000</v>
      </c>
      <c r="AJ9" s="39" t="s">
        <v>24</v>
      </c>
      <c r="AK9" s="40" t="s">
        <v>23</v>
      </c>
      <c r="AL9" s="35" t="s">
        <v>25</v>
      </c>
    </row>
    <row r="10" spans="1:38">
      <c r="A10" s="37">
        <v>4</v>
      </c>
      <c r="B10" s="39" t="s">
        <v>26</v>
      </c>
      <c r="C10" s="41">
        <f>C6*C33</f>
        <v>399949.08779579785</v>
      </c>
      <c r="D10" s="41">
        <f>D6*D33</f>
        <v>80513.717559159573</v>
      </c>
      <c r="E10" s="41">
        <f t="shared" ref="E10:K10" si="3">E6*E33</f>
        <v>88473.217622123891</v>
      </c>
      <c r="F10" s="41">
        <f t="shared" si="3"/>
        <v>303872.41990047769</v>
      </c>
      <c r="G10" s="41">
        <f t="shared" si="3"/>
        <v>332124.43482381426</v>
      </c>
      <c r="H10" s="41">
        <f t="shared" si="3"/>
        <v>867164.32053876482</v>
      </c>
      <c r="I10" s="41">
        <f t="shared" si="3"/>
        <v>39349.287048849561</v>
      </c>
      <c r="J10" s="41">
        <f t="shared" ref="J10" si="4">J6*J33</f>
        <v>83489.017559159562</v>
      </c>
      <c r="K10" s="41">
        <f t="shared" si="3"/>
        <v>42006.458779579785</v>
      </c>
      <c r="L10" s="41">
        <f t="shared" si="0"/>
        <v>2236941.9616277274</v>
      </c>
      <c r="AJ10" s="39" t="s">
        <v>27</v>
      </c>
      <c r="AK10" s="39" t="s">
        <v>26</v>
      </c>
      <c r="AL10" s="35" t="s">
        <v>28</v>
      </c>
    </row>
    <row r="11" spans="1:38">
      <c r="A11" s="37">
        <v>5</v>
      </c>
      <c r="B11" s="39" t="s">
        <v>29</v>
      </c>
      <c r="C11" s="41">
        <f>+C6*C36</f>
        <v>26423.393595054014</v>
      </c>
      <c r="D11" s="41">
        <f t="shared" ref="D11:I11" si="5">+D6*D36</f>
        <v>5284.6787190108034</v>
      </c>
      <c r="E11" s="41">
        <f t="shared" si="5"/>
        <v>9838.4976151796873</v>
      </c>
      <c r="F11" s="41">
        <f t="shared" si="5"/>
        <v>23050.194412706693</v>
      </c>
      <c r="G11" s="41">
        <f t="shared" si="5"/>
        <v>26142.29366319174</v>
      </c>
      <c r="H11" s="41">
        <f t="shared" si="5"/>
        <v>70837.182829293743</v>
      </c>
      <c r="I11" s="41">
        <f t="shared" si="5"/>
        <v>3935.3990460718746</v>
      </c>
      <c r="J11" s="41">
        <f t="shared" ref="J11:K11" si="6">+J6*J36</f>
        <v>5284.6787190108034</v>
      </c>
      <c r="K11" s="41">
        <f t="shared" si="6"/>
        <v>2642.3393595054017</v>
      </c>
      <c r="L11" s="41">
        <f t="shared" si="0"/>
        <v>173438.65795902474</v>
      </c>
      <c r="AJ11" s="39" t="s">
        <v>30</v>
      </c>
      <c r="AK11" s="39" t="s">
        <v>29</v>
      </c>
    </row>
    <row r="12" spans="1:38">
      <c r="A12" s="37">
        <v>6</v>
      </c>
      <c r="B12" s="39" t="s">
        <v>31</v>
      </c>
      <c r="C12" s="41">
        <f>+C6*C37</f>
        <v>7085.7151125060036</v>
      </c>
      <c r="D12" s="41">
        <f t="shared" ref="D12:I12" si="7">+D6*D37</f>
        <v>1417.1430225012009</v>
      </c>
      <c r="E12" s="41">
        <f t="shared" si="7"/>
        <v>2638.2981801884057</v>
      </c>
      <c r="F12" s="41">
        <f t="shared" si="7"/>
        <v>6181.1557364414075</v>
      </c>
      <c r="G12" s="41">
        <f t="shared" si="7"/>
        <v>7010.3351645006214</v>
      </c>
      <c r="H12" s="41">
        <f t="shared" si="7"/>
        <v>18995.746897356523</v>
      </c>
      <c r="I12" s="41">
        <f t="shared" si="7"/>
        <v>1055.3192720753623</v>
      </c>
      <c r="J12" s="41">
        <f t="shared" ref="J12:K12" si="8">+J6*J37</f>
        <v>1417.1430225012009</v>
      </c>
      <c r="K12" s="41">
        <f t="shared" si="8"/>
        <v>708.57151125060045</v>
      </c>
      <c r="L12" s="41">
        <f t="shared" si="0"/>
        <v>46509.42791932133</v>
      </c>
      <c r="AJ12" s="39" t="s">
        <v>32</v>
      </c>
      <c r="AK12" s="39" t="s">
        <v>31</v>
      </c>
    </row>
    <row r="13" spans="1:38">
      <c r="A13" s="37">
        <v>7</v>
      </c>
      <c r="B13" s="39" t="s">
        <v>33</v>
      </c>
      <c r="C13" s="41">
        <f>+C6*C38</f>
        <v>18799.999999999996</v>
      </c>
      <c r="D13" s="41">
        <f t="shared" ref="D13:I13" si="9">+D6*D38</f>
        <v>3759.9999999999995</v>
      </c>
      <c r="E13" s="41">
        <f t="shared" si="9"/>
        <v>6999.9999999999991</v>
      </c>
      <c r="F13" s="41">
        <f t="shared" si="9"/>
        <v>16399.999999999996</v>
      </c>
      <c r="G13" s="41">
        <f t="shared" si="9"/>
        <v>18599.999999999996</v>
      </c>
      <c r="H13" s="41">
        <f t="shared" si="9"/>
        <v>50399.999999999993</v>
      </c>
      <c r="I13" s="41">
        <f t="shared" si="9"/>
        <v>2799.9999999999995</v>
      </c>
      <c r="J13" s="41">
        <f t="shared" ref="J13:K13" si="10">+J6*J38</f>
        <v>3759.9999999999995</v>
      </c>
      <c r="K13" s="41">
        <f t="shared" si="10"/>
        <v>1879.9999999999998</v>
      </c>
      <c r="L13" s="41">
        <f t="shared" si="0"/>
        <v>123399.99999999997</v>
      </c>
      <c r="AJ13" s="39" t="s">
        <v>34</v>
      </c>
      <c r="AK13" s="39" t="s">
        <v>33</v>
      </c>
      <c r="AL13" s="35" t="s">
        <v>17</v>
      </c>
    </row>
    <row r="14" spans="1:38">
      <c r="A14" s="37">
        <v>8</v>
      </c>
      <c r="B14" s="42" t="s">
        <v>35</v>
      </c>
      <c r="C14" s="41">
        <f>SUM(C11:C13)</f>
        <v>52309.108707560008</v>
      </c>
      <c r="D14" s="41">
        <f t="shared" ref="D14:I14" si="11">SUM(D11:D13)</f>
        <v>10461.821741512003</v>
      </c>
      <c r="E14" s="41">
        <f t="shared" si="11"/>
        <v>19476.795795368093</v>
      </c>
      <c r="F14" s="41">
        <f t="shared" si="11"/>
        <v>45631.3501491481</v>
      </c>
      <c r="G14" s="41">
        <f t="shared" si="11"/>
        <v>51752.628827692359</v>
      </c>
      <c r="H14" s="41">
        <f t="shared" si="11"/>
        <v>140232.92972665027</v>
      </c>
      <c r="I14" s="41">
        <f t="shared" si="11"/>
        <v>7790.7183181472374</v>
      </c>
      <c r="J14" s="41">
        <f t="shared" ref="J14:K14" si="12">SUM(J11:J13)</f>
        <v>10461.821741512003</v>
      </c>
      <c r="K14" s="41">
        <f t="shared" si="12"/>
        <v>5230.9108707560017</v>
      </c>
      <c r="L14" s="41">
        <f t="shared" si="0"/>
        <v>343348.08587834606</v>
      </c>
      <c r="AJ14" s="39" t="s">
        <v>36</v>
      </c>
      <c r="AK14" s="42" t="s">
        <v>35</v>
      </c>
    </row>
    <row r="15" spans="1:38">
      <c r="A15" s="37">
        <v>9</v>
      </c>
      <c r="B15" s="42" t="s">
        <v>37</v>
      </c>
      <c r="C15" s="41">
        <f>+C9-C10-C14</f>
        <v>17741.80349664214</v>
      </c>
      <c r="D15" s="41">
        <f t="shared" ref="D15:K15" si="13">+D9-D10-D14</f>
        <v>3024.4606993284233</v>
      </c>
      <c r="E15" s="41">
        <f t="shared" si="13"/>
        <v>67049.98658250802</v>
      </c>
      <c r="F15" s="41">
        <f t="shared" si="13"/>
        <v>60496.229950374211</v>
      </c>
      <c r="G15" s="41">
        <f t="shared" si="13"/>
        <v>81122.936348493386</v>
      </c>
      <c r="H15" s="41">
        <f t="shared" si="13"/>
        <v>252602.74973458491</v>
      </c>
      <c r="I15" s="41">
        <f t="shared" si="13"/>
        <v>22859.994633003203</v>
      </c>
      <c r="J15" s="41">
        <f t="shared" ref="J15" si="14">+J9-J10-J14</f>
        <v>49.16069932843493</v>
      </c>
      <c r="K15" s="41">
        <f t="shared" si="13"/>
        <v>-237.3696503357869</v>
      </c>
      <c r="L15" s="41">
        <f t="shared" si="0"/>
        <v>504709.95249392686</v>
      </c>
      <c r="AJ15" s="39" t="s">
        <v>38</v>
      </c>
      <c r="AK15" s="42" t="s">
        <v>37</v>
      </c>
    </row>
    <row r="16" spans="1:38">
      <c r="A16" s="37">
        <v>10</v>
      </c>
      <c r="B16" s="39" t="s">
        <v>39</v>
      </c>
      <c r="C16" s="43">
        <f>+C15/C9</f>
        <v>3.7748518077962E-2</v>
      </c>
      <c r="D16" s="43">
        <f t="shared" ref="D16:K16" si="15">+D15/D9</f>
        <v>3.2175113822642799E-2</v>
      </c>
      <c r="E16" s="43">
        <f t="shared" si="15"/>
        <v>0.38314278047147438</v>
      </c>
      <c r="F16" s="43">
        <f t="shared" si="15"/>
        <v>0.14755178036676636</v>
      </c>
      <c r="G16" s="43">
        <f t="shared" si="15"/>
        <v>0.17445792763116857</v>
      </c>
      <c r="H16" s="43">
        <f t="shared" si="15"/>
        <v>0.20047837280522612</v>
      </c>
      <c r="I16" s="43">
        <f t="shared" si="15"/>
        <v>0.32657135190004577</v>
      </c>
      <c r="J16" s="43">
        <f t="shared" ref="J16" si="16">+J15/J9</f>
        <v>5.2298616306845666E-4</v>
      </c>
      <c r="K16" s="43">
        <f t="shared" si="15"/>
        <v>-5.0504180922507852E-3</v>
      </c>
      <c r="L16" s="43">
        <f t="shared" ref="L16" si="17">+L15/L9</f>
        <v>0.1636012811973831</v>
      </c>
      <c r="AJ16" s="39" t="s">
        <v>40</v>
      </c>
      <c r="AK16" s="39" t="s">
        <v>39</v>
      </c>
    </row>
    <row r="17" spans="1:38">
      <c r="A17" s="37">
        <v>11</v>
      </c>
      <c r="B17" s="39" t="s">
        <v>41</v>
      </c>
      <c r="C17" s="41">
        <f>C6*C43+C18</f>
        <v>50677.027027027027</v>
      </c>
      <c r="D17" s="41">
        <f t="shared" ref="D17:K17" si="18">D6*D43+D18</f>
        <v>10135.405405405407</v>
      </c>
      <c r="E17" s="41">
        <f t="shared" si="18"/>
        <v>22638.513513513513</v>
      </c>
      <c r="F17" s="41">
        <f t="shared" si="18"/>
        <v>24355.405405405407</v>
      </c>
      <c r="G17" s="41">
        <f t="shared" si="18"/>
        <v>29783.108108108107</v>
      </c>
      <c r="H17" s="41">
        <f t="shared" si="18"/>
        <v>86227.027027027012</v>
      </c>
      <c r="I17" s="41">
        <f t="shared" si="18"/>
        <v>9055.4054054054068</v>
      </c>
      <c r="J17" s="41">
        <f t="shared" ref="J17" si="19">J6*J43+J18</f>
        <v>10135.405405405407</v>
      </c>
      <c r="K17" s="41">
        <f t="shared" si="18"/>
        <v>5067.7027027027034</v>
      </c>
      <c r="L17" s="41">
        <f>SUM(C17:K17)</f>
        <v>248075</v>
      </c>
      <c r="AJ17" s="39" t="s">
        <v>42</v>
      </c>
      <c r="AK17" s="39" t="s">
        <v>41</v>
      </c>
    </row>
    <row r="18" spans="1:38" s="33" customFormat="1">
      <c r="A18" s="37">
        <v>12</v>
      </c>
      <c r="B18" s="44" t="s">
        <v>142</v>
      </c>
      <c r="C18" s="45">
        <f>$L$18/$L$6*C6</f>
        <v>29527.027027027027</v>
      </c>
      <c r="D18" s="45">
        <f t="shared" ref="D18:K18" si="20">$L$18/$L$6*D6</f>
        <v>5905.4054054054059</v>
      </c>
      <c r="E18" s="45">
        <f t="shared" si="20"/>
        <v>14763.513513513513</v>
      </c>
      <c r="F18" s="45">
        <f t="shared" si="20"/>
        <v>5905.4054054054059</v>
      </c>
      <c r="G18" s="45">
        <f t="shared" si="20"/>
        <v>8858.1081081081084</v>
      </c>
      <c r="H18" s="45">
        <f t="shared" si="20"/>
        <v>29527.027027027027</v>
      </c>
      <c r="I18" s="45">
        <f t="shared" si="20"/>
        <v>5905.4054054054059</v>
      </c>
      <c r="J18" s="45">
        <f t="shared" ref="J18" si="21">$L$18/$L$6*J6</f>
        <v>5905.4054054054059</v>
      </c>
      <c r="K18" s="45">
        <f t="shared" si="20"/>
        <v>2952.7027027027029</v>
      </c>
      <c r="L18" s="45">
        <f>项目投资!D26</f>
        <v>109250</v>
      </c>
      <c r="M18" s="153" t="s">
        <v>143</v>
      </c>
      <c r="N18" s="153"/>
      <c r="O18" s="35"/>
    </row>
    <row r="19" spans="1:38">
      <c r="A19" s="37">
        <v>13</v>
      </c>
      <c r="B19" s="39" t="s">
        <v>43</v>
      </c>
      <c r="C19" s="41">
        <f>C6*C44</f>
        <v>3290</v>
      </c>
      <c r="D19" s="41">
        <f t="shared" ref="D19:K19" si="22">D6*D44</f>
        <v>658</v>
      </c>
      <c r="E19" s="41">
        <f t="shared" si="22"/>
        <v>1225</v>
      </c>
      <c r="F19" s="41">
        <f t="shared" si="22"/>
        <v>2870</v>
      </c>
      <c r="G19" s="41">
        <f t="shared" si="22"/>
        <v>3255</v>
      </c>
      <c r="H19" s="41">
        <f t="shared" si="22"/>
        <v>8820</v>
      </c>
      <c r="I19" s="41">
        <f t="shared" si="22"/>
        <v>490.00000000000006</v>
      </c>
      <c r="J19" s="41">
        <f t="shared" ref="J19" si="23">J6*J44</f>
        <v>658</v>
      </c>
      <c r="K19" s="41">
        <f t="shared" si="22"/>
        <v>329</v>
      </c>
      <c r="L19" s="41">
        <f>SUM(C19:K19)</f>
        <v>21595</v>
      </c>
      <c r="AJ19" s="39" t="s">
        <v>44</v>
      </c>
      <c r="AK19" s="39" t="s">
        <v>43</v>
      </c>
      <c r="AL19" s="35" t="s">
        <v>17</v>
      </c>
    </row>
    <row r="20" spans="1:38">
      <c r="A20" s="37">
        <v>14</v>
      </c>
      <c r="B20" s="39" t="s">
        <v>45</v>
      </c>
      <c r="C20" s="41">
        <f>C6*C45</f>
        <v>18800</v>
      </c>
      <c r="D20" s="41">
        <f t="shared" ref="D20:K20" si="24">D6*D45</f>
        <v>3760</v>
      </c>
      <c r="E20" s="41">
        <f t="shared" si="24"/>
        <v>7000</v>
      </c>
      <c r="F20" s="41">
        <f t="shared" si="24"/>
        <v>16400</v>
      </c>
      <c r="G20" s="41">
        <f t="shared" si="24"/>
        <v>18600</v>
      </c>
      <c r="H20" s="41">
        <f t="shared" si="24"/>
        <v>50400</v>
      </c>
      <c r="I20" s="41">
        <f t="shared" si="24"/>
        <v>2800</v>
      </c>
      <c r="J20" s="41">
        <f t="shared" ref="J20" si="25">J6*J45</f>
        <v>3760</v>
      </c>
      <c r="K20" s="41">
        <f t="shared" si="24"/>
        <v>1880</v>
      </c>
      <c r="L20" s="41">
        <f>SUM(C20:K20)</f>
        <v>123400</v>
      </c>
      <c r="AJ20" s="39" t="s">
        <v>46</v>
      </c>
      <c r="AK20" s="39" t="s">
        <v>45</v>
      </c>
    </row>
    <row r="21" spans="1:38">
      <c r="A21" s="37">
        <v>15</v>
      </c>
      <c r="B21" s="39" t="s">
        <v>47</v>
      </c>
      <c r="C21" s="46">
        <f>$L$21/$L$6*C6</f>
        <v>15045.045045045044</v>
      </c>
      <c r="D21" s="46">
        <f t="shared" ref="D21:K21" si="26">$L$21/$L$6*D6</f>
        <v>3009.0090090090089</v>
      </c>
      <c r="E21" s="46">
        <f t="shared" si="26"/>
        <v>7522.5225225225222</v>
      </c>
      <c r="F21" s="46">
        <f t="shared" si="26"/>
        <v>3009.0090090090089</v>
      </c>
      <c r="G21" s="46">
        <f t="shared" si="26"/>
        <v>4513.5135135135133</v>
      </c>
      <c r="H21" s="46">
        <f t="shared" si="26"/>
        <v>15045.045045045044</v>
      </c>
      <c r="I21" s="46">
        <f t="shared" si="26"/>
        <v>3009.0090090090089</v>
      </c>
      <c r="J21" s="46">
        <f t="shared" ref="J21" si="27">$L$21/$L$6*J6</f>
        <v>3009.0090090090089</v>
      </c>
      <c r="K21" s="46">
        <f t="shared" si="26"/>
        <v>1504.5045045045044</v>
      </c>
      <c r="L21" s="41">
        <f>项目投资!D27</f>
        <v>55666.666666666664</v>
      </c>
      <c r="AJ21" s="39"/>
      <c r="AK21" s="39"/>
    </row>
    <row r="22" spans="1:38">
      <c r="A22" s="37">
        <v>16</v>
      </c>
      <c r="B22" s="39" t="s">
        <v>48</v>
      </c>
      <c r="C22" s="41">
        <f>C6*C47</f>
        <v>10011</v>
      </c>
      <c r="D22" s="41">
        <f t="shared" ref="D22:K22" si="28">D6*D47</f>
        <v>2002.1999999999998</v>
      </c>
      <c r="E22" s="41">
        <f t="shared" si="28"/>
        <v>3727.5</v>
      </c>
      <c r="F22" s="41">
        <f t="shared" si="28"/>
        <v>8733</v>
      </c>
      <c r="G22" s="41">
        <f t="shared" si="28"/>
        <v>9904.5</v>
      </c>
      <c r="H22" s="41">
        <f t="shared" si="28"/>
        <v>26838</v>
      </c>
      <c r="I22" s="41">
        <f t="shared" si="28"/>
        <v>1491</v>
      </c>
      <c r="J22" s="41">
        <f t="shared" ref="J22" si="29">J6*J47</f>
        <v>2002.1999999999998</v>
      </c>
      <c r="K22" s="41">
        <f t="shared" si="28"/>
        <v>1001.0999999999999</v>
      </c>
      <c r="L22" s="41">
        <f>SUM(C22:K22)</f>
        <v>65710.5</v>
      </c>
      <c r="AJ22" s="39" t="s">
        <v>49</v>
      </c>
      <c r="AK22" s="39" t="s">
        <v>48</v>
      </c>
    </row>
    <row r="23" spans="1:38">
      <c r="A23" s="37">
        <v>17</v>
      </c>
      <c r="B23" s="42" t="s">
        <v>50</v>
      </c>
      <c r="C23" s="46">
        <f>+C22+C21+C20+C19+C17</f>
        <v>97823.072072072071</v>
      </c>
      <c r="D23" s="46">
        <f t="shared" ref="D23:K23" si="30">+D22+D21+D20+D19+D17</f>
        <v>19564.614414414416</v>
      </c>
      <c r="E23" s="46">
        <f t="shared" si="30"/>
        <v>42113.536036036036</v>
      </c>
      <c r="F23" s="46">
        <f t="shared" si="30"/>
        <v>55367.414414414416</v>
      </c>
      <c r="G23" s="46">
        <f t="shared" si="30"/>
        <v>66056.121621621627</v>
      </c>
      <c r="H23" s="46">
        <f t="shared" si="30"/>
        <v>187330.07207207207</v>
      </c>
      <c r="I23" s="46">
        <f t="shared" si="30"/>
        <v>16845.414414414416</v>
      </c>
      <c r="J23" s="46">
        <f t="shared" ref="J23" si="31">+J22+J21+J20+J19+J17</f>
        <v>19564.614414414416</v>
      </c>
      <c r="K23" s="46">
        <f t="shared" si="30"/>
        <v>9782.3072072072082</v>
      </c>
      <c r="L23" s="46">
        <f t="shared" ref="L23" si="32">+L22+L21+L20+L19+L17</f>
        <v>514447.16666666663</v>
      </c>
      <c r="AJ23" s="39" t="s">
        <v>51</v>
      </c>
      <c r="AK23" s="42" t="s">
        <v>50</v>
      </c>
    </row>
    <row r="24" spans="1:38">
      <c r="A24" s="37">
        <v>18</v>
      </c>
      <c r="B24" s="47" t="s">
        <v>52</v>
      </c>
      <c r="C24" s="46">
        <f>+C15-C23</f>
        <v>-80081.268575429931</v>
      </c>
      <c r="D24" s="46">
        <f t="shared" ref="D24:K24" si="33">+D15-D23</f>
        <v>-16540.153715085995</v>
      </c>
      <c r="E24" s="46">
        <f t="shared" si="33"/>
        <v>24936.450546471984</v>
      </c>
      <c r="F24" s="46">
        <f t="shared" si="33"/>
        <v>5128.8155359597949</v>
      </c>
      <c r="G24" s="46">
        <f t="shared" si="33"/>
        <v>15066.814726871758</v>
      </c>
      <c r="H24" s="46">
        <f t="shared" si="33"/>
        <v>65272.67766251284</v>
      </c>
      <c r="I24" s="46">
        <f t="shared" si="33"/>
        <v>6014.5802185887878</v>
      </c>
      <c r="J24" s="46">
        <f t="shared" ref="J24" si="34">+J15-J23</f>
        <v>-19515.453715085983</v>
      </c>
      <c r="K24" s="46">
        <f t="shared" si="33"/>
        <v>-10019.676857542996</v>
      </c>
      <c r="L24" s="46">
        <f t="shared" ref="L24" si="35">+L15-L23</f>
        <v>-9737.2141727397684</v>
      </c>
      <c r="N24" s="58"/>
      <c r="AJ24" s="39" t="s">
        <v>53</v>
      </c>
      <c r="AK24" s="39" t="s">
        <v>52</v>
      </c>
    </row>
    <row r="25" spans="1:38">
      <c r="A25" s="37">
        <v>19</v>
      </c>
      <c r="B25" s="39" t="s">
        <v>232</v>
      </c>
      <c r="C25" s="46">
        <f>IF(C24&lt;0,0,C24*0.15)</f>
        <v>0</v>
      </c>
      <c r="D25" s="46">
        <f t="shared" ref="D25:K25" si="36">IF(D24&lt;0,0,D24*0.15)</f>
        <v>0</v>
      </c>
      <c r="E25" s="46">
        <f t="shared" si="36"/>
        <v>3740.4675819707973</v>
      </c>
      <c r="F25" s="46">
        <f t="shared" si="36"/>
        <v>769.3223303939692</v>
      </c>
      <c r="G25" s="46">
        <f t="shared" si="36"/>
        <v>2260.0222090307639</v>
      </c>
      <c r="H25" s="46">
        <f t="shared" si="36"/>
        <v>9790.901649376925</v>
      </c>
      <c r="I25" s="46">
        <f t="shared" si="36"/>
        <v>902.18703278831811</v>
      </c>
      <c r="J25" s="46">
        <f t="shared" ref="J25" si="37">IF(J24&lt;0,0,J24*0.15)</f>
        <v>0</v>
      </c>
      <c r="K25" s="46">
        <f t="shared" si="36"/>
        <v>0</v>
      </c>
      <c r="L25" s="46">
        <f>IF(L24&lt;0,0,L24*0.15)</f>
        <v>0</v>
      </c>
      <c r="M25" s="54"/>
      <c r="N25" s="54"/>
      <c r="O25" s="54"/>
      <c r="AJ25" s="39" t="s">
        <v>55</v>
      </c>
      <c r="AK25" s="39" t="s">
        <v>54</v>
      </c>
    </row>
    <row r="26" spans="1:38">
      <c r="A26" s="37">
        <v>20</v>
      </c>
      <c r="B26" s="39" t="s">
        <v>56</v>
      </c>
      <c r="C26" s="46">
        <f t="shared" ref="C26" si="38">C24-C25</f>
        <v>-80081.268575429931</v>
      </c>
      <c r="D26" s="46">
        <f t="shared" ref="D26:K26" si="39">D24-D25</f>
        <v>-16540.153715085995</v>
      </c>
      <c r="E26" s="46">
        <f t="shared" si="39"/>
        <v>21195.982964501185</v>
      </c>
      <c r="F26" s="46">
        <f t="shared" si="39"/>
        <v>4359.4932055658255</v>
      </c>
      <c r="G26" s="46">
        <f t="shared" si="39"/>
        <v>12806.792517840995</v>
      </c>
      <c r="H26" s="46">
        <f t="shared" si="39"/>
        <v>55481.776013135917</v>
      </c>
      <c r="I26" s="46">
        <f t="shared" si="39"/>
        <v>5112.3931858004698</v>
      </c>
      <c r="J26" s="46">
        <f t="shared" ref="J26" si="40">J24-J25</f>
        <v>-19515.453715085983</v>
      </c>
      <c r="K26" s="46">
        <f t="shared" si="39"/>
        <v>-10019.676857542996</v>
      </c>
      <c r="L26" s="41">
        <f>L24-L25</f>
        <v>-9737.2141727397684</v>
      </c>
      <c r="M26" s="54"/>
      <c r="N26" s="54"/>
      <c r="O26" s="54"/>
      <c r="AJ26" s="39" t="s">
        <v>57</v>
      </c>
      <c r="AK26" s="39" t="s">
        <v>56</v>
      </c>
    </row>
    <row r="27" spans="1:38">
      <c r="A27" s="37">
        <v>21</v>
      </c>
      <c r="B27" s="39" t="s">
        <v>60</v>
      </c>
      <c r="C27" s="48">
        <f t="shared" ref="C27:L27" si="41">C26/C7</f>
        <v>-0.17038567782006367</v>
      </c>
      <c r="D27" s="48">
        <f t="shared" ref="D27:K27" si="42">D26/D7</f>
        <v>-0.17595908207538291</v>
      </c>
      <c r="E27" s="48">
        <f t="shared" si="42"/>
        <v>0.12111990265429248</v>
      </c>
      <c r="F27" s="48">
        <f t="shared" si="42"/>
        <v>1.0632910257477623E-2</v>
      </c>
      <c r="G27" s="48">
        <f t="shared" si="42"/>
        <v>2.7541489285679559E-2</v>
      </c>
      <c r="H27" s="48">
        <f t="shared" si="42"/>
        <v>4.4033155565980885E-2</v>
      </c>
      <c r="I27" s="48">
        <f t="shared" si="42"/>
        <v>7.303418836857814E-2</v>
      </c>
      <c r="J27" s="48">
        <f t="shared" ref="J27" si="43">J26/J7</f>
        <v>-0.20761120973495728</v>
      </c>
      <c r="K27" s="48">
        <f t="shared" si="42"/>
        <v>-0.21318461399027652</v>
      </c>
      <c r="L27" s="48">
        <f t="shared" si="41"/>
        <v>-3.1563092942430366E-3</v>
      </c>
      <c r="M27" s="54"/>
      <c r="N27" s="54"/>
      <c r="O27" s="54"/>
      <c r="AJ27" s="39" t="s">
        <v>59</v>
      </c>
      <c r="AK27" s="39" t="s">
        <v>60</v>
      </c>
    </row>
    <row r="28" spans="1:38">
      <c r="M28" s="54"/>
      <c r="N28" s="54"/>
      <c r="O28" s="54"/>
    </row>
    <row r="29" spans="1:38">
      <c r="A29" s="35" t="s">
        <v>61</v>
      </c>
      <c r="L29" s="36" t="s">
        <v>144</v>
      </c>
      <c r="M29" s="54"/>
      <c r="N29" s="54"/>
      <c r="O29" s="54"/>
      <c r="AJ29" s="35" t="s">
        <v>61</v>
      </c>
    </row>
    <row r="30" spans="1:38">
      <c r="A30" s="39" t="s">
        <v>62</v>
      </c>
      <c r="B30" s="42" t="s">
        <v>63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54"/>
      <c r="N30" s="54"/>
      <c r="O30" s="54"/>
      <c r="Q30" s="54"/>
      <c r="AJ30" s="39" t="s">
        <v>64</v>
      </c>
      <c r="AK30" s="42" t="s">
        <v>63</v>
      </c>
    </row>
    <row r="31" spans="1:38">
      <c r="A31" s="49">
        <v>1</v>
      </c>
      <c r="B31" s="44" t="s">
        <v>65</v>
      </c>
      <c r="C31" s="50">
        <f>销量!C8</f>
        <v>470</v>
      </c>
      <c r="D31" s="50">
        <f>销量!D8</f>
        <v>470</v>
      </c>
      <c r="E31" s="50">
        <f>销量!E8</f>
        <v>350</v>
      </c>
      <c r="F31" s="50">
        <f>销量!F8</f>
        <v>2050</v>
      </c>
      <c r="G31" s="50">
        <f>销量!G8</f>
        <v>1550</v>
      </c>
      <c r="H31" s="50">
        <f>销量!H8</f>
        <v>1260</v>
      </c>
      <c r="I31" s="50">
        <f>销量!I8</f>
        <v>350</v>
      </c>
      <c r="J31" s="50">
        <f>销量!I8</f>
        <v>350</v>
      </c>
      <c r="K31" s="50">
        <f>销量!J8</f>
        <v>470</v>
      </c>
      <c r="L31" s="46"/>
      <c r="M31" s="54"/>
      <c r="N31" s="54"/>
      <c r="O31" s="54"/>
      <c r="Q31" s="54"/>
      <c r="AJ31" s="39" t="s">
        <v>19</v>
      </c>
      <c r="AK31" s="39" t="s">
        <v>65</v>
      </c>
    </row>
    <row r="32" spans="1:38">
      <c r="A32" s="49">
        <v>2</v>
      </c>
      <c r="B32" s="39" t="s">
        <v>145</v>
      </c>
      <c r="C32" s="41">
        <f>C31*1</f>
        <v>470</v>
      </c>
      <c r="D32" s="41">
        <f t="shared" ref="D32:K32" si="44">D31*1</f>
        <v>470</v>
      </c>
      <c r="E32" s="41">
        <f t="shared" si="44"/>
        <v>350</v>
      </c>
      <c r="F32" s="41">
        <f t="shared" si="44"/>
        <v>2050</v>
      </c>
      <c r="G32" s="41">
        <f t="shared" si="44"/>
        <v>1550</v>
      </c>
      <c r="H32" s="41">
        <f t="shared" si="44"/>
        <v>1260</v>
      </c>
      <c r="I32" s="41">
        <f t="shared" si="44"/>
        <v>350</v>
      </c>
      <c r="J32" s="41">
        <f t="shared" ref="J32" si="45">J31*1</f>
        <v>350</v>
      </c>
      <c r="K32" s="41">
        <f t="shared" si="44"/>
        <v>470</v>
      </c>
      <c r="L32" s="46"/>
      <c r="M32" s="54"/>
      <c r="N32" s="54"/>
      <c r="O32" s="54"/>
      <c r="P32" s="54"/>
      <c r="Q32" s="54"/>
      <c r="R32" s="54"/>
      <c r="S32" s="54"/>
      <c r="AJ32" s="39"/>
      <c r="AK32" s="39"/>
    </row>
    <row r="33" spans="1:37">
      <c r="A33" s="49">
        <v>3</v>
      </c>
      <c r="B33" s="44" t="s">
        <v>66</v>
      </c>
      <c r="C33" s="180">
        <f>材料成本!E20</f>
        <v>399.94908779579782</v>
      </c>
      <c r="D33" s="180">
        <f>材料成本!E21</f>
        <v>402.56858779579784</v>
      </c>
      <c r="E33" s="180">
        <f>材料成本!E22</f>
        <v>176.94643524424779</v>
      </c>
      <c r="F33" s="180">
        <f>材料成本!E23</f>
        <v>1519.3620995023884</v>
      </c>
      <c r="G33" s="180">
        <f>材料成本!E24</f>
        <v>1107.0814494127142</v>
      </c>
      <c r="H33" s="180">
        <f>材料成本!E25</f>
        <v>867.16432053876485</v>
      </c>
      <c r="I33" s="180">
        <f>材料成本!E26</f>
        <v>196.74643524424781</v>
      </c>
      <c r="J33" s="180">
        <f>材料成本!E27</f>
        <v>417.4450877957978</v>
      </c>
      <c r="K33" s="180">
        <f>材料成本!E28</f>
        <v>420.06458779579782</v>
      </c>
      <c r="L33" s="46"/>
      <c r="N33" s="54"/>
      <c r="O33" s="54"/>
      <c r="P33" s="54"/>
      <c r="Q33" s="54"/>
      <c r="R33" s="54"/>
      <c r="S33" s="54"/>
      <c r="AJ33" s="39" t="s">
        <v>21</v>
      </c>
      <c r="AK33" s="39" t="s">
        <v>66</v>
      </c>
    </row>
    <row r="34" spans="1:37" ht="17.25" customHeight="1">
      <c r="A34" s="49">
        <v>4</v>
      </c>
      <c r="B34" s="39" t="s">
        <v>68</v>
      </c>
      <c r="C34" s="51">
        <f>C32-C33</f>
        <v>70.050912204202177</v>
      </c>
      <c r="D34" s="51">
        <f t="shared" ref="D34:K34" si="46">D32-D33</f>
        <v>67.431412204202161</v>
      </c>
      <c r="E34" s="51">
        <f t="shared" si="46"/>
        <v>173.05356475575221</v>
      </c>
      <c r="F34" s="51">
        <f t="shared" si="46"/>
        <v>530.63790049761155</v>
      </c>
      <c r="G34" s="51">
        <f t="shared" si="46"/>
        <v>442.91855058728584</v>
      </c>
      <c r="H34" s="51">
        <f t="shared" si="46"/>
        <v>392.83567946123515</v>
      </c>
      <c r="I34" s="51">
        <f t="shared" si="46"/>
        <v>153.25356475575219</v>
      </c>
      <c r="J34" s="51">
        <f t="shared" ref="J34" si="47">J32-J33</f>
        <v>-67.445087795797804</v>
      </c>
      <c r="K34" s="51">
        <f t="shared" si="46"/>
        <v>49.93541220420218</v>
      </c>
      <c r="L34" s="46"/>
      <c r="N34" s="54"/>
      <c r="O34" s="54"/>
      <c r="P34" s="54"/>
      <c r="Q34" s="54"/>
      <c r="R34" s="54"/>
      <c r="S34" s="54"/>
      <c r="AJ34" s="39" t="s">
        <v>67</v>
      </c>
      <c r="AK34" s="39" t="s">
        <v>68</v>
      </c>
    </row>
    <row r="35" spans="1:37">
      <c r="A35" s="39" t="s">
        <v>64</v>
      </c>
      <c r="B35" s="42" t="s">
        <v>8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54"/>
      <c r="N35" s="54"/>
      <c r="O35" s="54"/>
      <c r="P35" s="54"/>
      <c r="Q35" s="54"/>
      <c r="R35" s="54"/>
      <c r="S35" s="54"/>
      <c r="T35" s="54"/>
      <c r="U35" s="54"/>
      <c r="AJ35" s="39" t="s">
        <v>70</v>
      </c>
      <c r="AK35" s="42" t="s">
        <v>8</v>
      </c>
    </row>
    <row r="36" spans="1:37">
      <c r="A36" s="49">
        <v>1</v>
      </c>
      <c r="B36" s="39" t="s">
        <v>71</v>
      </c>
      <c r="C36" s="45">
        <f>标准成本!D4</f>
        <v>26.423393595054016</v>
      </c>
      <c r="D36" s="45">
        <f>标准成本!D18</f>
        <v>26.423393595054016</v>
      </c>
      <c r="E36" s="45">
        <f>标准成本!D32</f>
        <v>19.676995230359374</v>
      </c>
      <c r="F36" s="45">
        <f>标准成本!D45</f>
        <v>115.25097206353347</v>
      </c>
      <c r="G36" s="45">
        <f>标准成本!D58</f>
        <v>87.140978877305798</v>
      </c>
      <c r="H36" s="45">
        <f>标准成本!D71</f>
        <v>70.837182829293738</v>
      </c>
      <c r="I36" s="45">
        <f>标准成本!D84</f>
        <v>19.676995230359374</v>
      </c>
      <c r="J36" s="45">
        <f>标准成本!D97</f>
        <v>26.423393595054016</v>
      </c>
      <c r="K36" s="45">
        <f>标准成本!D97</f>
        <v>26.423393595054016</v>
      </c>
      <c r="L36" s="50"/>
      <c r="M36" s="54"/>
      <c r="N36" s="54"/>
      <c r="O36" s="54"/>
      <c r="P36" s="54"/>
      <c r="Q36" s="54"/>
      <c r="R36" s="54"/>
      <c r="S36" s="54"/>
      <c r="T36" s="54"/>
      <c r="U36" s="54"/>
      <c r="AJ36" s="39" t="s">
        <v>67</v>
      </c>
      <c r="AK36" s="39" t="s">
        <v>71</v>
      </c>
    </row>
    <row r="37" spans="1:37">
      <c r="A37" s="49">
        <v>2</v>
      </c>
      <c r="B37" s="39" t="s">
        <v>72</v>
      </c>
      <c r="C37" s="45">
        <f>标准成本!D6</f>
        <v>7.0857151125060041</v>
      </c>
      <c r="D37" s="45">
        <f>标准成本!D20</f>
        <v>7.0857151125060041</v>
      </c>
      <c r="E37" s="45">
        <f>标准成本!D34</f>
        <v>5.2765963603768116</v>
      </c>
      <c r="F37" s="45">
        <f>标准成本!D47</f>
        <v>30.905778682207039</v>
      </c>
      <c r="G37" s="45">
        <f>标准成本!D60</f>
        <v>23.367783881668739</v>
      </c>
      <c r="H37" s="45">
        <f>标准成本!D73</f>
        <v>18.995746897356522</v>
      </c>
      <c r="I37" s="45">
        <f>标准成本!D86</f>
        <v>5.2765963603768116</v>
      </c>
      <c r="J37" s="45">
        <f>标准成本!D99</f>
        <v>7.0857151125060041</v>
      </c>
      <c r="K37" s="45">
        <f>标准成本!D99</f>
        <v>7.0857151125060041</v>
      </c>
      <c r="L37" s="50"/>
      <c r="M37" s="54"/>
      <c r="N37" s="54"/>
      <c r="O37" s="54"/>
      <c r="P37" s="54"/>
      <c r="Q37" s="54"/>
      <c r="R37" s="54"/>
      <c r="S37" s="54"/>
      <c r="T37" s="54"/>
      <c r="U37" s="54"/>
      <c r="AJ37" s="39" t="s">
        <v>24</v>
      </c>
      <c r="AK37" s="39" t="s">
        <v>72</v>
      </c>
    </row>
    <row r="38" spans="1:37">
      <c r="A38" s="49">
        <v>3</v>
      </c>
      <c r="B38" s="39" t="s">
        <v>73</v>
      </c>
      <c r="C38" s="45">
        <f>标准成本!D10</f>
        <v>18.799999999999997</v>
      </c>
      <c r="D38" s="45">
        <f>标准成本!D24</f>
        <v>18.799999999999997</v>
      </c>
      <c r="E38" s="45">
        <f>标准成本!D38</f>
        <v>13.999999999999998</v>
      </c>
      <c r="F38" s="45">
        <f>标准成本!D51</f>
        <v>81.999999999999986</v>
      </c>
      <c r="G38" s="45">
        <f>标准成本!D64</f>
        <v>61.999999999999993</v>
      </c>
      <c r="H38" s="45">
        <f>标准成本!D77</f>
        <v>50.399999999999991</v>
      </c>
      <c r="I38" s="45">
        <f>标准成本!D90</f>
        <v>13.999999999999998</v>
      </c>
      <c r="J38" s="45">
        <f>标准成本!D103</f>
        <v>18.799999999999997</v>
      </c>
      <c r="K38" s="45">
        <f>标准成本!D103</f>
        <v>18.799999999999997</v>
      </c>
      <c r="L38" s="50"/>
      <c r="M38" s="54"/>
      <c r="N38" s="54"/>
      <c r="O38" s="54"/>
      <c r="P38" s="54"/>
      <c r="Q38" s="54"/>
      <c r="R38" s="54"/>
      <c r="S38" s="54"/>
      <c r="T38" s="54"/>
      <c r="U38" s="54"/>
      <c r="AJ38" s="39" t="s">
        <v>30</v>
      </c>
      <c r="AK38" s="39" t="s">
        <v>73</v>
      </c>
    </row>
    <row r="39" spans="1:37">
      <c r="A39" s="39" t="s">
        <v>70</v>
      </c>
      <c r="B39" s="42" t="s">
        <v>75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AJ39" s="39" t="s">
        <v>74</v>
      </c>
      <c r="AK39" s="42" t="s">
        <v>75</v>
      </c>
    </row>
    <row r="40" spans="1:37">
      <c r="A40" s="49">
        <v>1</v>
      </c>
      <c r="B40" s="39" t="s">
        <v>76</v>
      </c>
      <c r="C40" s="46">
        <f>C34-C36-C37-C38</f>
        <v>17.741803496642163</v>
      </c>
      <c r="D40" s="46">
        <f t="shared" ref="D40:K40" si="48">D34-D36-D37-D38</f>
        <v>15.122303496642147</v>
      </c>
      <c r="E40" s="46">
        <f t="shared" si="48"/>
        <v>134.09997316501602</v>
      </c>
      <c r="F40" s="46">
        <f t="shared" si="48"/>
        <v>302.48114975187104</v>
      </c>
      <c r="G40" s="46">
        <f t="shared" si="48"/>
        <v>270.40978782831132</v>
      </c>
      <c r="H40" s="46">
        <f t="shared" si="48"/>
        <v>252.6027497345849</v>
      </c>
      <c r="I40" s="46">
        <f t="shared" si="48"/>
        <v>114.29997316501601</v>
      </c>
      <c r="J40" s="46">
        <f t="shared" ref="J40" si="49">J34-J36-J37-J38</f>
        <v>-119.75419650335783</v>
      </c>
      <c r="K40" s="46">
        <f t="shared" si="48"/>
        <v>-2.3736965033578379</v>
      </c>
      <c r="L40" s="46"/>
      <c r="AJ40" s="39" t="s">
        <v>19</v>
      </c>
      <c r="AK40" s="39" t="s">
        <v>76</v>
      </c>
    </row>
    <row r="41" spans="1:37">
      <c r="A41" s="49">
        <v>2</v>
      </c>
      <c r="B41" s="39" t="s">
        <v>77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AJ41" s="39" t="s">
        <v>21</v>
      </c>
      <c r="AK41" s="39" t="s">
        <v>77</v>
      </c>
    </row>
    <row r="42" spans="1:37">
      <c r="A42" s="39" t="s">
        <v>74</v>
      </c>
      <c r="B42" s="42" t="s">
        <v>79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AJ42" s="39" t="s">
        <v>78</v>
      </c>
      <c r="AK42" s="42" t="s">
        <v>79</v>
      </c>
    </row>
    <row r="43" spans="1:37">
      <c r="A43" s="49">
        <v>1</v>
      </c>
      <c r="B43" s="47" t="s">
        <v>80</v>
      </c>
      <c r="C43" s="45">
        <f>标准成本!D5</f>
        <v>21.15</v>
      </c>
      <c r="D43" s="45">
        <f>标准成本!D19</f>
        <v>21.15</v>
      </c>
      <c r="E43" s="45">
        <f>标准成本!D33</f>
        <v>15.75</v>
      </c>
      <c r="F43" s="45">
        <f>标准成本!D46</f>
        <v>92.25</v>
      </c>
      <c r="G43" s="45">
        <f>标准成本!D59</f>
        <v>69.75</v>
      </c>
      <c r="H43" s="45">
        <f>标准成本!D72</f>
        <v>56.699999999999996</v>
      </c>
      <c r="I43" s="45">
        <f>标准成本!D85</f>
        <v>15.75</v>
      </c>
      <c r="J43" s="45">
        <f>标准成本!D98</f>
        <v>21.15</v>
      </c>
      <c r="K43" s="45">
        <f>标准成本!D98</f>
        <v>21.15</v>
      </c>
      <c r="L43" s="46"/>
      <c r="AJ43" s="39" t="s">
        <v>19</v>
      </c>
      <c r="AK43" s="39" t="s">
        <v>80</v>
      </c>
    </row>
    <row r="44" spans="1:37">
      <c r="A44" s="49">
        <v>2</v>
      </c>
      <c r="B44" s="47" t="s">
        <v>81</v>
      </c>
      <c r="C44" s="45">
        <f>标准成本!D9</f>
        <v>3.29</v>
      </c>
      <c r="D44" s="45">
        <f>标准成本!D23</f>
        <v>3.29</v>
      </c>
      <c r="E44" s="45">
        <f>标准成本!D37</f>
        <v>2.4500000000000002</v>
      </c>
      <c r="F44" s="45">
        <f>标准成本!D50</f>
        <v>14.35</v>
      </c>
      <c r="G44" s="45">
        <f>标准成本!D63</f>
        <v>10.85</v>
      </c>
      <c r="H44" s="45">
        <f>标准成本!D76</f>
        <v>8.82</v>
      </c>
      <c r="I44" s="45">
        <f>标准成本!D89</f>
        <v>2.4500000000000002</v>
      </c>
      <c r="J44" s="45">
        <f>标准成本!D102</f>
        <v>3.29</v>
      </c>
      <c r="K44" s="45">
        <f>标准成本!D102</f>
        <v>3.29</v>
      </c>
      <c r="L44" s="46"/>
      <c r="AJ44" s="39" t="s">
        <v>21</v>
      </c>
      <c r="AK44" s="39" t="s">
        <v>81</v>
      </c>
    </row>
    <row r="45" spans="1:37">
      <c r="A45" s="49">
        <v>3</v>
      </c>
      <c r="B45" s="47" t="s">
        <v>82</v>
      </c>
      <c r="C45" s="45">
        <f>标准成本!D8</f>
        <v>18.8</v>
      </c>
      <c r="D45" s="45">
        <f>标准成本!D22</f>
        <v>18.8</v>
      </c>
      <c r="E45" s="45">
        <f>标准成本!D36</f>
        <v>14</v>
      </c>
      <c r="F45" s="45">
        <f>标准成本!D49</f>
        <v>82</v>
      </c>
      <c r="G45" s="45">
        <f>标准成本!D62</f>
        <v>62</v>
      </c>
      <c r="H45" s="45">
        <f>标准成本!D75</f>
        <v>50.4</v>
      </c>
      <c r="I45" s="45">
        <f>标准成本!D88</f>
        <v>14</v>
      </c>
      <c r="J45" s="45">
        <f>标准成本!D101</f>
        <v>18.8</v>
      </c>
      <c r="K45" s="45">
        <f>标准成本!D101</f>
        <v>18.8</v>
      </c>
      <c r="L45" s="46"/>
      <c r="AJ45" s="39" t="s">
        <v>67</v>
      </c>
      <c r="AK45" s="39" t="s">
        <v>82</v>
      </c>
    </row>
    <row r="46" spans="1:37" s="34" customFormat="1">
      <c r="A46" s="49">
        <v>4</v>
      </c>
      <c r="B46" s="47" t="s">
        <v>83</v>
      </c>
      <c r="C46" s="52">
        <f>C21/C6</f>
        <v>15.045045045045045</v>
      </c>
      <c r="D46" s="52">
        <f t="shared" ref="D46:K46" si="50">D21/D6</f>
        <v>15.045045045045045</v>
      </c>
      <c r="E46" s="52">
        <f t="shared" si="50"/>
        <v>15.045045045045045</v>
      </c>
      <c r="F46" s="52">
        <f t="shared" si="50"/>
        <v>15.045045045045045</v>
      </c>
      <c r="G46" s="52">
        <f t="shared" si="50"/>
        <v>15.045045045045045</v>
      </c>
      <c r="H46" s="52">
        <f t="shared" si="50"/>
        <v>15.045045045045045</v>
      </c>
      <c r="I46" s="52">
        <f t="shared" si="50"/>
        <v>15.045045045045045</v>
      </c>
      <c r="J46" s="52">
        <f t="shared" ref="J46" si="51">J21/J6</f>
        <v>15.045045045045045</v>
      </c>
      <c r="K46" s="52">
        <f t="shared" si="50"/>
        <v>15.045045045045045</v>
      </c>
      <c r="L46" s="52"/>
      <c r="AJ46" s="47" t="s">
        <v>27</v>
      </c>
      <c r="AK46" s="47" t="s">
        <v>85</v>
      </c>
    </row>
    <row r="47" spans="1:37" s="34" customFormat="1">
      <c r="A47" s="49">
        <v>5</v>
      </c>
      <c r="B47" s="47" t="s">
        <v>85</v>
      </c>
      <c r="C47" s="45">
        <f>标准成本!D11</f>
        <v>10.010999999999999</v>
      </c>
      <c r="D47" s="45">
        <f>标准成本!D25</f>
        <v>10.010999999999999</v>
      </c>
      <c r="E47" s="45">
        <f>标准成本!D39</f>
        <v>7.4550000000000001</v>
      </c>
      <c r="F47" s="45">
        <f>标准成本!D52</f>
        <v>43.664999999999999</v>
      </c>
      <c r="G47" s="45">
        <f>标准成本!D65</f>
        <v>33.015000000000001</v>
      </c>
      <c r="H47" s="45">
        <f>标准成本!D78</f>
        <v>26.838000000000001</v>
      </c>
      <c r="I47" s="45">
        <f>标准成本!D91</f>
        <v>7.4550000000000001</v>
      </c>
      <c r="J47" s="45">
        <f>标准成本!D104</f>
        <v>10.010999999999999</v>
      </c>
      <c r="K47" s="45">
        <f>标准成本!D104</f>
        <v>10.010999999999999</v>
      </c>
      <c r="L47" s="52"/>
      <c r="AJ47" s="47" t="s">
        <v>27</v>
      </c>
      <c r="AK47" s="47" t="s">
        <v>85</v>
      </c>
    </row>
    <row r="48" spans="1:37">
      <c r="A48" s="39" t="s">
        <v>78</v>
      </c>
      <c r="B48" s="42" t="s">
        <v>96</v>
      </c>
      <c r="C48" s="46">
        <f>C40-C43-C44-C45-C47-C46</f>
        <v>-50.554241548402878</v>
      </c>
      <c r="D48" s="46">
        <f t="shared" ref="D48:K48" si="52">D40-D43-D44-D45-D47-D46</f>
        <v>-53.173741548402894</v>
      </c>
      <c r="E48" s="46">
        <f t="shared" si="52"/>
        <v>79.39992811997098</v>
      </c>
      <c r="F48" s="46">
        <f t="shared" si="52"/>
        <v>55.171104706826014</v>
      </c>
      <c r="G48" s="46">
        <f t="shared" si="52"/>
        <v>79.749742783266285</v>
      </c>
      <c r="H48" s="46">
        <f t="shared" si="52"/>
        <v>94.79970468953988</v>
      </c>
      <c r="I48" s="46">
        <f t="shared" si="52"/>
        <v>59.599928119970969</v>
      </c>
      <c r="J48" s="46">
        <f t="shared" ref="J48" si="53">J40-J43-J44-J45-J47-J46</f>
        <v>-188.05024154840288</v>
      </c>
      <c r="K48" s="46">
        <f t="shared" si="52"/>
        <v>-70.669741548402882</v>
      </c>
      <c r="L48" s="46"/>
      <c r="AJ48" s="39" t="s">
        <v>95</v>
      </c>
      <c r="AK48" s="42" t="s">
        <v>96</v>
      </c>
    </row>
    <row r="51" spans="2:17">
      <c r="C51" s="53"/>
      <c r="D51" s="53"/>
      <c r="E51" s="53"/>
      <c r="F51" s="53"/>
      <c r="G51" s="53"/>
      <c r="H51" s="53"/>
      <c r="I51" s="53"/>
      <c r="J51" s="53"/>
      <c r="K51" s="53"/>
    </row>
    <row r="54" spans="2:17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4"/>
      <c r="N54" s="54"/>
      <c r="O54" s="54"/>
      <c r="P54" s="54"/>
      <c r="Q54" s="54"/>
    </row>
    <row r="55" spans="2:17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4"/>
      <c r="N55" s="54"/>
      <c r="O55" s="54"/>
      <c r="P55" s="54"/>
      <c r="Q55" s="54"/>
    </row>
    <row r="56" spans="2:17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4"/>
      <c r="N56" s="54"/>
      <c r="O56" s="54"/>
      <c r="P56" s="54"/>
      <c r="Q56" s="54"/>
    </row>
    <row r="57" spans="2:17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4"/>
      <c r="N57" s="54"/>
      <c r="O57" s="54"/>
      <c r="P57" s="54"/>
      <c r="Q57" s="54"/>
    </row>
    <row r="58" spans="2:17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4"/>
      <c r="N58" s="54"/>
      <c r="O58" s="54"/>
      <c r="P58" s="54"/>
      <c r="Q58" s="54"/>
    </row>
    <row r="59" spans="2:17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4"/>
      <c r="N59" s="54"/>
      <c r="O59" s="54"/>
      <c r="P59" s="54"/>
      <c r="Q59" s="54"/>
    </row>
    <row r="60" spans="2:17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4"/>
      <c r="N60" s="54"/>
      <c r="O60" s="54"/>
      <c r="P60" s="54"/>
      <c r="Q60" s="54"/>
    </row>
    <row r="61" spans="2:17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4"/>
      <c r="N61" s="54"/>
      <c r="O61" s="54"/>
      <c r="P61" s="54"/>
      <c r="Q61" s="54"/>
    </row>
    <row r="62" spans="2:17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4"/>
      <c r="N62" s="54"/>
      <c r="O62" s="54"/>
      <c r="P62" s="54"/>
      <c r="Q62" s="54"/>
    </row>
    <row r="63" spans="2:17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4"/>
      <c r="N63" s="54"/>
      <c r="O63" s="54"/>
      <c r="P63" s="54"/>
      <c r="Q63" s="54"/>
    </row>
    <row r="64" spans="2:17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4"/>
      <c r="N64" s="54"/>
      <c r="O64" s="54"/>
      <c r="P64" s="54"/>
      <c r="Q64" s="54"/>
    </row>
    <row r="65" spans="2:17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4"/>
      <c r="N65" s="54"/>
      <c r="O65" s="54"/>
      <c r="P65" s="54"/>
      <c r="Q65" s="54"/>
    </row>
    <row r="66" spans="2:17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4"/>
      <c r="N66" s="54"/>
      <c r="O66" s="54"/>
      <c r="P66" s="54"/>
      <c r="Q66" s="54"/>
    </row>
    <row r="67" spans="2:17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4"/>
    </row>
    <row r="68" spans="2:17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4"/>
    </row>
    <row r="69" spans="2:17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4"/>
    </row>
    <row r="70" spans="2:17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4"/>
    </row>
    <row r="71" spans="2:17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4"/>
    </row>
    <row r="72" spans="2:17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4"/>
    </row>
    <row r="73" spans="2:17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4"/>
    </row>
    <row r="74" spans="2:17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4"/>
    </row>
  </sheetData>
  <mergeCells count="8">
    <mergeCell ref="A4:B4"/>
    <mergeCell ref="A5:B5"/>
    <mergeCell ref="L3:L5"/>
    <mergeCell ref="A1:B1"/>
    <mergeCell ref="C1:L1"/>
    <mergeCell ref="A2:B2"/>
    <mergeCell ref="C2:L2"/>
    <mergeCell ref="A3:B3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4"/>
  <sheetViews>
    <sheetView workbookViewId="0">
      <pane xSplit="2" ySplit="7" topLeftCell="C29" activePane="bottomRight" state="frozen"/>
      <selection pane="topRight"/>
      <selection pane="bottomLeft"/>
      <selection pane="bottomRight" activeCell="C33" sqref="C33:K33"/>
    </sheetView>
  </sheetViews>
  <sheetFormatPr defaultColWidth="9" defaultRowHeight="16.5"/>
  <cols>
    <col min="1" max="1" width="5.125" style="35" customWidth="1"/>
    <col min="2" max="2" width="17.5" style="35" customWidth="1"/>
    <col min="3" max="11" width="13.25" style="36" customWidth="1"/>
    <col min="12" max="12" width="18.75" style="36" customWidth="1"/>
    <col min="13" max="13" width="12.375" style="35" customWidth="1"/>
    <col min="14" max="14" width="10.125" style="35" customWidth="1"/>
    <col min="15" max="21" width="9" style="35" customWidth="1"/>
    <col min="22" max="38" width="9" style="35"/>
    <col min="39" max="39" width="4.375" style="35" customWidth="1"/>
    <col min="40" max="40" width="13.875" style="35" customWidth="1"/>
    <col min="41" max="16384" width="9" style="35"/>
  </cols>
  <sheetData>
    <row r="1" spans="1:41">
      <c r="A1" s="244" t="s">
        <v>136</v>
      </c>
      <c r="B1" s="244"/>
      <c r="C1" s="248" t="s">
        <v>235</v>
      </c>
      <c r="D1" s="249"/>
      <c r="E1" s="249"/>
      <c r="F1" s="249"/>
      <c r="G1" s="249"/>
      <c r="H1" s="249"/>
      <c r="I1" s="249"/>
      <c r="J1" s="249"/>
      <c r="K1" s="249"/>
      <c r="L1" s="250"/>
    </row>
    <row r="2" spans="1:41">
      <c r="A2" s="244" t="s">
        <v>137</v>
      </c>
      <c r="B2" s="244"/>
      <c r="C2" s="251" t="str">
        <f>'2023年'!C2:L2</f>
        <v>中国重汽集团</v>
      </c>
      <c r="D2" s="251"/>
      <c r="E2" s="251"/>
      <c r="F2" s="251"/>
      <c r="G2" s="251"/>
      <c r="H2" s="251"/>
      <c r="I2" s="251"/>
      <c r="J2" s="251"/>
      <c r="K2" s="251"/>
      <c r="L2" s="251"/>
    </row>
    <row r="3" spans="1:41" ht="42.75">
      <c r="A3" s="244" t="s">
        <v>138</v>
      </c>
      <c r="B3" s="244"/>
      <c r="C3" s="146" t="str">
        <f>'2023年'!C3</f>
        <v>副驾座椅（NX）</v>
      </c>
      <c r="D3" s="146" t="str">
        <f>'2023年'!D3</f>
        <v>副驾座椅（NX/通风面料）</v>
      </c>
      <c r="E3" s="146" t="str">
        <f>'2023年'!E3</f>
        <v>中间座椅总成 （NX）</v>
      </c>
      <c r="F3" s="146" t="str">
        <f>'2023年'!F3</f>
        <v>驾驶员座椅总成 （NX/阻尼可调/通风加热）</v>
      </c>
      <c r="G3" s="146" t="str">
        <f>'2023年'!G3</f>
        <v>驾驶员座椅总成 （NX/阻尼可调）</v>
      </c>
      <c r="H3" s="146" t="str">
        <f>'2023年'!H3</f>
        <v>驾驶员座椅总成 （NX）</v>
      </c>
      <c r="I3" s="146" t="str">
        <f>'2023年'!I3</f>
        <v>中间座椅总成 （NX/安全带未系报警）</v>
      </c>
      <c r="J3" s="146" t="str">
        <f>'2023年'!J3</f>
        <v>副驾座椅（NX/安全带未系报警）</v>
      </c>
      <c r="K3" s="146" t="str">
        <f>'2023年'!K3</f>
        <v>副驾座椅（NX/通风面料/安全带未系报警）</v>
      </c>
      <c r="L3" s="245" t="s">
        <v>15</v>
      </c>
    </row>
    <row r="4" spans="1:41">
      <c r="A4" s="244" t="s">
        <v>139</v>
      </c>
      <c r="B4" s="244"/>
      <c r="C4" s="146" t="str">
        <f>'2023年'!C4</f>
        <v>LZ161751100440</v>
      </c>
      <c r="D4" s="146" t="str">
        <f>'2023年'!D4</f>
        <v>LZ161751100450</v>
      </c>
      <c r="E4" s="146" t="str">
        <f>'2023年'!E4</f>
        <v>LZ161751100460</v>
      </c>
      <c r="F4" s="146" t="str">
        <f>'2023年'!F4</f>
        <v>LZ161751100430</v>
      </c>
      <c r="G4" s="146" t="str">
        <f>'2023年'!G4</f>
        <v>LZ161751100420</v>
      </c>
      <c r="H4" s="146" t="str">
        <f>'2023年'!H4</f>
        <v>LZ161751100410</v>
      </c>
      <c r="I4" s="146" t="str">
        <f>'2023年'!I4</f>
        <v>LZ161751100465</v>
      </c>
      <c r="J4" s="146" t="str">
        <f>'2023年'!J4</f>
        <v>LZ161751100445</v>
      </c>
      <c r="K4" s="146" t="str">
        <f>'2023年'!K4</f>
        <v>LZ161751100455</v>
      </c>
      <c r="L4" s="246"/>
    </row>
    <row r="5" spans="1:41">
      <c r="A5" s="244" t="s">
        <v>140</v>
      </c>
      <c r="B5" s="244"/>
      <c r="C5" s="38"/>
      <c r="D5" s="38"/>
      <c r="E5" s="38"/>
      <c r="F5" s="38"/>
      <c r="G5" s="38"/>
      <c r="H5" s="38"/>
      <c r="I5" s="38"/>
      <c r="J5" s="38"/>
      <c r="K5" s="38"/>
      <c r="L5" s="247"/>
      <c r="AO5" s="35" t="s">
        <v>16</v>
      </c>
    </row>
    <row r="6" spans="1:41" ht="17.25">
      <c r="A6" s="39" t="s">
        <v>14</v>
      </c>
      <c r="B6" s="40" t="s">
        <v>141</v>
      </c>
      <c r="C6" s="12">
        <f>销量!C10</f>
        <v>2500</v>
      </c>
      <c r="D6" s="12">
        <f>销量!D10</f>
        <v>500</v>
      </c>
      <c r="E6" s="12">
        <f>销量!E10</f>
        <v>1000</v>
      </c>
      <c r="F6" s="12">
        <f>销量!F10</f>
        <v>300</v>
      </c>
      <c r="G6" s="12">
        <f>销量!G10</f>
        <v>500</v>
      </c>
      <c r="H6" s="12">
        <f>销量!H10</f>
        <v>3200</v>
      </c>
      <c r="I6" s="12">
        <f>销量!I10</f>
        <v>300</v>
      </c>
      <c r="J6" s="12">
        <f>销量!I10</f>
        <v>300</v>
      </c>
      <c r="K6" s="12">
        <f>销量!J10</f>
        <v>500</v>
      </c>
      <c r="L6" s="41">
        <f t="shared" ref="L6:L15" si="0">SUM(C6:K6)</f>
        <v>9100</v>
      </c>
      <c r="W6" s="40" t="s">
        <v>3</v>
      </c>
      <c r="AM6" s="39" t="s">
        <v>14</v>
      </c>
      <c r="AN6" s="40" t="s">
        <v>3</v>
      </c>
      <c r="AO6" s="35" t="s">
        <v>17</v>
      </c>
    </row>
    <row r="7" spans="1:41">
      <c r="A7" s="145">
        <v>1</v>
      </c>
      <c r="B7" s="40" t="s">
        <v>18</v>
      </c>
      <c r="C7" s="41">
        <f>C6*销量!C8</f>
        <v>1175000</v>
      </c>
      <c r="D7" s="41">
        <f>D6*销量!D8</f>
        <v>235000</v>
      </c>
      <c r="E7" s="41">
        <f>E6*销量!E8</f>
        <v>350000</v>
      </c>
      <c r="F7" s="41">
        <f>F6*销量!F8</f>
        <v>615000</v>
      </c>
      <c r="G7" s="41">
        <f>G6*销量!G8</f>
        <v>775000</v>
      </c>
      <c r="H7" s="41">
        <f>H6*销量!H8</f>
        <v>4032000</v>
      </c>
      <c r="I7" s="41">
        <f>I6*销量!I8</f>
        <v>105000</v>
      </c>
      <c r="J7" s="41">
        <f>J6*销量!I8</f>
        <v>105000</v>
      </c>
      <c r="K7" s="41">
        <f>K6*销量!J8</f>
        <v>235000</v>
      </c>
      <c r="L7" s="41">
        <f>SUM(C7:K7)</f>
        <v>7627000</v>
      </c>
      <c r="M7" s="36"/>
      <c r="W7" s="40" t="s">
        <v>18</v>
      </c>
      <c r="AM7" s="39" t="s">
        <v>19</v>
      </c>
      <c r="AN7" s="40" t="s">
        <v>18</v>
      </c>
      <c r="AO7" s="35" t="s">
        <v>17</v>
      </c>
    </row>
    <row r="8" spans="1:41">
      <c r="A8" s="145">
        <v>2</v>
      </c>
      <c r="B8" s="145" t="s">
        <v>20</v>
      </c>
      <c r="C8" s="41">
        <f>C7*(1-销量!$O$7)</f>
        <v>47000.000000000044</v>
      </c>
      <c r="D8" s="41">
        <f>D7*(1-销量!$O$7)</f>
        <v>9400.0000000000091</v>
      </c>
      <c r="E8" s="41">
        <f>E7*(1-销量!$O$7)</f>
        <v>14000.000000000013</v>
      </c>
      <c r="F8" s="41">
        <f>F7*(1-销量!$O$7)</f>
        <v>24600.000000000022</v>
      </c>
      <c r="G8" s="41">
        <f>G7*(1-销量!$O$7)</f>
        <v>31000.000000000029</v>
      </c>
      <c r="H8" s="41">
        <f>H7*(1-销量!$O$7)</f>
        <v>161280.00000000015</v>
      </c>
      <c r="I8" s="41">
        <f>I7*(1-销量!$O$7)</f>
        <v>4200.0000000000036</v>
      </c>
      <c r="J8" s="41">
        <f>J7*(1-销量!$O$7)</f>
        <v>4200.0000000000036</v>
      </c>
      <c r="K8" s="41">
        <f>K7*(1-销量!$O$7)</f>
        <v>9400.0000000000091</v>
      </c>
      <c r="L8" s="41">
        <f t="shared" si="0"/>
        <v>305080.00000000023</v>
      </c>
      <c r="M8" s="56"/>
      <c r="W8" s="145" t="s">
        <v>22</v>
      </c>
      <c r="AM8" s="39" t="s">
        <v>21</v>
      </c>
      <c r="AN8" s="145" t="s">
        <v>22</v>
      </c>
      <c r="AO8" s="35" t="s">
        <v>17</v>
      </c>
    </row>
    <row r="9" spans="1:41">
      <c r="A9" s="145">
        <v>3</v>
      </c>
      <c r="B9" s="40" t="s">
        <v>23</v>
      </c>
      <c r="C9" s="41">
        <f>+C7-C8</f>
        <v>1128000</v>
      </c>
      <c r="D9" s="41">
        <f t="shared" ref="D9:K9" si="1">+D7-D8</f>
        <v>225600</v>
      </c>
      <c r="E9" s="41">
        <f t="shared" si="1"/>
        <v>336000</v>
      </c>
      <c r="F9" s="41">
        <f t="shared" si="1"/>
        <v>590400</v>
      </c>
      <c r="G9" s="41">
        <f t="shared" si="1"/>
        <v>744000</v>
      </c>
      <c r="H9" s="41">
        <f t="shared" si="1"/>
        <v>3870720</v>
      </c>
      <c r="I9" s="41">
        <f t="shared" si="1"/>
        <v>100800</v>
      </c>
      <c r="J9" s="41">
        <f t="shared" ref="J9" si="2">+J7-J8</f>
        <v>100800</v>
      </c>
      <c r="K9" s="41">
        <f t="shared" si="1"/>
        <v>225600</v>
      </c>
      <c r="L9" s="41">
        <f t="shared" si="0"/>
        <v>7321920</v>
      </c>
      <c r="W9" s="40" t="s">
        <v>23</v>
      </c>
      <c r="AM9" s="39" t="s">
        <v>24</v>
      </c>
      <c r="AN9" s="40" t="s">
        <v>23</v>
      </c>
      <c r="AO9" s="35" t="s">
        <v>25</v>
      </c>
    </row>
    <row r="10" spans="1:41">
      <c r="A10" s="145">
        <v>4</v>
      </c>
      <c r="B10" s="39" t="s">
        <v>26</v>
      </c>
      <c r="C10" s="41">
        <f>C6*C33</f>
        <v>959877.81070991477</v>
      </c>
      <c r="D10" s="41">
        <f t="shared" ref="D10:K10" si="3">D6*D33</f>
        <v>193232.92214198294</v>
      </c>
      <c r="E10" s="41">
        <f t="shared" si="3"/>
        <v>169868.57783447788</v>
      </c>
      <c r="F10" s="41">
        <f t="shared" si="3"/>
        <v>437576.28465668787</v>
      </c>
      <c r="G10" s="41">
        <f t="shared" si="3"/>
        <v>531399.09571810276</v>
      </c>
      <c r="H10" s="41">
        <f t="shared" si="3"/>
        <v>2663928.7926950855</v>
      </c>
      <c r="I10" s="41">
        <f t="shared" si="3"/>
        <v>56662.973350343367</v>
      </c>
      <c r="J10" s="41">
        <f t="shared" ref="J10" si="4">J6*J33</f>
        <v>120224.18528518977</v>
      </c>
      <c r="K10" s="41">
        <f t="shared" si="3"/>
        <v>201631.00214198296</v>
      </c>
      <c r="L10" s="41">
        <f t="shared" si="0"/>
        <v>5334401.6445337683</v>
      </c>
      <c r="W10" s="39" t="s">
        <v>26</v>
      </c>
      <c r="AM10" s="39" t="s">
        <v>27</v>
      </c>
      <c r="AN10" s="39" t="s">
        <v>26</v>
      </c>
      <c r="AO10" s="35" t="s">
        <v>28</v>
      </c>
    </row>
    <row r="11" spans="1:41">
      <c r="A11" s="145">
        <v>5</v>
      </c>
      <c r="B11" s="39" t="s">
        <v>29</v>
      </c>
      <c r="C11" s="41">
        <f>+C6*C36</f>
        <v>66058.483987635045</v>
      </c>
      <c r="D11" s="41">
        <f t="shared" ref="D11:K11" si="5">+D6*D36</f>
        <v>13211.696797527007</v>
      </c>
      <c r="E11" s="41">
        <f t="shared" si="5"/>
        <v>19676.995230359375</v>
      </c>
      <c r="F11" s="41">
        <f t="shared" si="5"/>
        <v>34575.291619060037</v>
      </c>
      <c r="G11" s="41">
        <f t="shared" si="5"/>
        <v>43570.489438652898</v>
      </c>
      <c r="H11" s="41">
        <f t="shared" si="5"/>
        <v>226678.98505373998</v>
      </c>
      <c r="I11" s="41">
        <f t="shared" si="5"/>
        <v>5903.0985691078122</v>
      </c>
      <c r="J11" s="41">
        <f t="shared" ref="J11" si="6">+J6*J36</f>
        <v>7927.0180785162047</v>
      </c>
      <c r="K11" s="41">
        <f t="shared" si="5"/>
        <v>13211.696797527007</v>
      </c>
      <c r="L11" s="41">
        <f t="shared" si="0"/>
        <v>430813.75557212537</v>
      </c>
      <c r="W11" s="39" t="s">
        <v>29</v>
      </c>
      <c r="AM11" s="39" t="s">
        <v>30</v>
      </c>
      <c r="AN11" s="39" t="s">
        <v>29</v>
      </c>
    </row>
    <row r="12" spans="1:41">
      <c r="A12" s="145">
        <v>6</v>
      </c>
      <c r="B12" s="39" t="s">
        <v>31</v>
      </c>
      <c r="C12" s="41">
        <f>+C6*C37</f>
        <v>17714.287781265011</v>
      </c>
      <c r="D12" s="41">
        <f t="shared" ref="D12:K12" si="7">+D6*D37</f>
        <v>3542.8575562530018</v>
      </c>
      <c r="E12" s="41">
        <f t="shared" si="7"/>
        <v>5276.5963603768114</v>
      </c>
      <c r="F12" s="41">
        <f t="shared" si="7"/>
        <v>9271.7336046621112</v>
      </c>
      <c r="G12" s="41">
        <f t="shared" si="7"/>
        <v>11683.89194083437</v>
      </c>
      <c r="H12" s="41">
        <f t="shared" si="7"/>
        <v>60786.390071540867</v>
      </c>
      <c r="I12" s="41">
        <f t="shared" si="7"/>
        <v>1582.9789081130434</v>
      </c>
      <c r="J12" s="41">
        <f t="shared" ref="J12" si="8">+J6*J37</f>
        <v>2125.7145337518014</v>
      </c>
      <c r="K12" s="41">
        <f t="shared" si="7"/>
        <v>3542.8575562530018</v>
      </c>
      <c r="L12" s="41">
        <f t="shared" si="0"/>
        <v>115527.30831305003</v>
      </c>
      <c r="W12" s="39" t="s">
        <v>31</v>
      </c>
      <c r="AM12" s="39" t="s">
        <v>32</v>
      </c>
      <c r="AN12" s="39" t="s">
        <v>31</v>
      </c>
    </row>
    <row r="13" spans="1:41">
      <c r="A13" s="145">
        <v>7</v>
      </c>
      <c r="B13" s="39" t="s">
        <v>33</v>
      </c>
      <c r="C13" s="41">
        <f>+C6*C38</f>
        <v>46999.999999999993</v>
      </c>
      <c r="D13" s="41">
        <f t="shared" ref="D13:K13" si="9">+D6*D38</f>
        <v>9399.9999999999982</v>
      </c>
      <c r="E13" s="41">
        <f t="shared" si="9"/>
        <v>13999.999999999998</v>
      </c>
      <c r="F13" s="41">
        <f t="shared" si="9"/>
        <v>24599.999999999996</v>
      </c>
      <c r="G13" s="41">
        <f t="shared" si="9"/>
        <v>30999.999999999996</v>
      </c>
      <c r="H13" s="41">
        <f t="shared" si="9"/>
        <v>161279.99999999997</v>
      </c>
      <c r="I13" s="41">
        <f t="shared" si="9"/>
        <v>4199.9999999999991</v>
      </c>
      <c r="J13" s="41">
        <f t="shared" ref="J13" si="10">+J6*J38</f>
        <v>5639.9999999999991</v>
      </c>
      <c r="K13" s="41">
        <f t="shared" si="9"/>
        <v>9399.9999999999982</v>
      </c>
      <c r="L13" s="41">
        <f t="shared" si="0"/>
        <v>306519.99999999994</v>
      </c>
      <c r="W13" s="39" t="s">
        <v>33</v>
      </c>
      <c r="AM13" s="39" t="s">
        <v>34</v>
      </c>
      <c r="AN13" s="39" t="s">
        <v>33</v>
      </c>
      <c r="AO13" s="35" t="s">
        <v>17</v>
      </c>
    </row>
    <row r="14" spans="1:41">
      <c r="A14" s="145">
        <v>8</v>
      </c>
      <c r="B14" s="42" t="s">
        <v>35</v>
      </c>
      <c r="C14" s="41">
        <f>SUM(C11:C13)</f>
        <v>130772.77176890004</v>
      </c>
      <c r="D14" s="41">
        <f t="shared" ref="D14:K14" si="11">SUM(D11:D13)</f>
        <v>26154.554353780004</v>
      </c>
      <c r="E14" s="41">
        <f t="shared" si="11"/>
        <v>38953.591590736185</v>
      </c>
      <c r="F14" s="41">
        <f t="shared" si="11"/>
        <v>68447.025223722143</v>
      </c>
      <c r="G14" s="41">
        <f t="shared" si="11"/>
        <v>86254.381379487269</v>
      </c>
      <c r="H14" s="41">
        <f t="shared" si="11"/>
        <v>448745.37512528081</v>
      </c>
      <c r="I14" s="41">
        <f t="shared" si="11"/>
        <v>11686.077477220853</v>
      </c>
      <c r="J14" s="41">
        <f t="shared" ref="J14" si="12">SUM(J11:J13)</f>
        <v>15692.732612268006</v>
      </c>
      <c r="K14" s="41">
        <f t="shared" si="11"/>
        <v>26154.554353780004</v>
      </c>
      <c r="L14" s="41">
        <f t="shared" si="0"/>
        <v>852861.06388517539</v>
      </c>
      <c r="W14" s="42" t="s">
        <v>35</v>
      </c>
      <c r="AM14" s="39" t="s">
        <v>36</v>
      </c>
      <c r="AN14" s="42" t="s">
        <v>35</v>
      </c>
    </row>
    <row r="15" spans="1:41">
      <c r="A15" s="145">
        <v>9</v>
      </c>
      <c r="B15" s="42" t="s">
        <v>37</v>
      </c>
      <c r="C15" s="41">
        <f>+C9-C10-C14</f>
        <v>37349.417521185183</v>
      </c>
      <c r="D15" s="41">
        <f t="shared" ref="D15:K15" si="13">+D9-D10-D14</f>
        <v>6212.523504237055</v>
      </c>
      <c r="E15" s="41">
        <f t="shared" si="13"/>
        <v>127177.83057478594</v>
      </c>
      <c r="F15" s="41">
        <f t="shared" si="13"/>
        <v>84376.690119589985</v>
      </c>
      <c r="G15" s="41">
        <f t="shared" si="13"/>
        <v>126346.52290240997</v>
      </c>
      <c r="H15" s="41">
        <f t="shared" si="13"/>
        <v>758045.83217963367</v>
      </c>
      <c r="I15" s="41">
        <f t="shared" si="13"/>
        <v>32450.949172435779</v>
      </c>
      <c r="J15" s="41">
        <f t="shared" ref="J15" si="14">+J9-J10-J14</f>
        <v>-35116.917897457781</v>
      </c>
      <c r="K15" s="41">
        <f t="shared" si="13"/>
        <v>-2185.5564957629613</v>
      </c>
      <c r="L15" s="41">
        <f t="shared" si="0"/>
        <v>1134657.291581057</v>
      </c>
      <c r="W15" s="42" t="s">
        <v>37</v>
      </c>
      <c r="AM15" s="39" t="s">
        <v>38</v>
      </c>
      <c r="AN15" s="42" t="s">
        <v>37</v>
      </c>
    </row>
    <row r="16" spans="1:41">
      <c r="A16" s="145">
        <v>10</v>
      </c>
      <c r="B16" s="39" t="s">
        <v>39</v>
      </c>
      <c r="C16" s="43">
        <f>+C15/C9</f>
        <v>3.3111185745731547E-2</v>
      </c>
      <c r="D16" s="43">
        <f t="shared" ref="D16:K16" si="15">+D15/D9</f>
        <v>2.7537781490412479E-2</v>
      </c>
      <c r="E16" s="43">
        <f t="shared" si="15"/>
        <v>0.37850544813924386</v>
      </c>
      <c r="F16" s="43">
        <f t="shared" si="15"/>
        <v>0.14291444803453587</v>
      </c>
      <c r="G16" s="43">
        <f t="shared" si="15"/>
        <v>0.16982059529893814</v>
      </c>
      <c r="H16" s="43">
        <f t="shared" si="15"/>
        <v>0.19584104047299564</v>
      </c>
      <c r="I16" s="43">
        <f t="shared" si="15"/>
        <v>0.32193401956781525</v>
      </c>
      <c r="J16" s="43">
        <f t="shared" ref="J16" si="16">+J15/J9</f>
        <v>-0.34838212199858909</v>
      </c>
      <c r="K16" s="43">
        <f t="shared" si="15"/>
        <v>-9.6877504244812108E-3</v>
      </c>
      <c r="L16" s="43">
        <f t="shared" ref="L16" si="17">+L15/L9</f>
        <v>0.15496717958965095</v>
      </c>
      <c r="W16" s="39" t="s">
        <v>39</v>
      </c>
      <c r="AM16" s="39" t="s">
        <v>40</v>
      </c>
      <c r="AN16" s="39" t="s">
        <v>39</v>
      </c>
    </row>
    <row r="17" spans="1:41">
      <c r="A17" s="145">
        <v>11</v>
      </c>
      <c r="B17" s="39" t="s">
        <v>41</v>
      </c>
      <c r="C17" s="41">
        <f>C6*C43+C18</f>
        <v>82888.736263736268</v>
      </c>
      <c r="D17" s="41">
        <f t="shared" ref="D17:K17" si="18">D6*D43+D18</f>
        <v>16577.747252747253</v>
      </c>
      <c r="E17" s="41">
        <f t="shared" si="18"/>
        <v>27755.494505494506</v>
      </c>
      <c r="F17" s="41">
        <f t="shared" si="18"/>
        <v>31276.648351648353</v>
      </c>
      <c r="G17" s="41">
        <f t="shared" si="18"/>
        <v>40877.747252747256</v>
      </c>
      <c r="H17" s="41">
        <f t="shared" si="18"/>
        <v>219857.58241758242</v>
      </c>
      <c r="I17" s="41">
        <f t="shared" si="18"/>
        <v>8326.6483516483513</v>
      </c>
      <c r="J17" s="41">
        <f t="shared" ref="J17" si="19">J6*J43+J18</f>
        <v>9946.6483516483513</v>
      </c>
      <c r="K17" s="41">
        <f t="shared" si="18"/>
        <v>16577.747252747253</v>
      </c>
      <c r="L17" s="41">
        <f>SUM(C17:K17)</f>
        <v>454085.00000000006</v>
      </c>
      <c r="M17" s="56"/>
      <c r="W17" s="39" t="s">
        <v>41</v>
      </c>
      <c r="AM17" s="39" t="s">
        <v>42</v>
      </c>
      <c r="AN17" s="39" t="s">
        <v>41</v>
      </c>
    </row>
    <row r="18" spans="1:41" s="33" customFormat="1">
      <c r="A18" s="145">
        <v>12</v>
      </c>
      <c r="B18" s="44" t="s">
        <v>142</v>
      </c>
      <c r="C18" s="45">
        <f>$L$18/$L$6*C6</f>
        <v>30013.736263736264</v>
      </c>
      <c r="D18" s="45">
        <f t="shared" ref="D18:K18" si="20">$L$18/$L$6*D6</f>
        <v>6002.7472527472528</v>
      </c>
      <c r="E18" s="45">
        <f t="shared" si="20"/>
        <v>12005.494505494506</v>
      </c>
      <c r="F18" s="45">
        <f t="shared" si="20"/>
        <v>3601.6483516483518</v>
      </c>
      <c r="G18" s="45">
        <f t="shared" si="20"/>
        <v>6002.7472527472528</v>
      </c>
      <c r="H18" s="45">
        <f t="shared" si="20"/>
        <v>38417.582417582416</v>
      </c>
      <c r="I18" s="45">
        <f t="shared" si="20"/>
        <v>3601.6483516483518</v>
      </c>
      <c r="J18" s="45">
        <f t="shared" ref="J18" si="21">$L$18/$L$6*J6</f>
        <v>3601.6483516483518</v>
      </c>
      <c r="K18" s="45">
        <f t="shared" si="20"/>
        <v>6002.7472527472528</v>
      </c>
      <c r="L18" s="45">
        <f>项目投资!D26</f>
        <v>109250</v>
      </c>
      <c r="M18" s="57" t="s">
        <v>143</v>
      </c>
      <c r="N18" s="57"/>
      <c r="O18" s="57"/>
    </row>
    <row r="19" spans="1:41">
      <c r="A19" s="145">
        <v>13</v>
      </c>
      <c r="B19" s="39" t="s">
        <v>43</v>
      </c>
      <c r="C19" s="41">
        <f>C6*C44</f>
        <v>8225</v>
      </c>
      <c r="D19" s="41">
        <f t="shared" ref="D19:K19" si="22">D6*D44</f>
        <v>1645</v>
      </c>
      <c r="E19" s="41">
        <f t="shared" si="22"/>
        <v>2450</v>
      </c>
      <c r="F19" s="41">
        <f t="shared" si="22"/>
        <v>4305</v>
      </c>
      <c r="G19" s="41">
        <f t="shared" si="22"/>
        <v>5425</v>
      </c>
      <c r="H19" s="41">
        <f t="shared" si="22"/>
        <v>28224</v>
      </c>
      <c r="I19" s="41">
        <f t="shared" si="22"/>
        <v>735</v>
      </c>
      <c r="J19" s="41">
        <f t="shared" ref="J19" si="23">J6*J44</f>
        <v>987</v>
      </c>
      <c r="K19" s="41">
        <f t="shared" si="22"/>
        <v>1645</v>
      </c>
      <c r="L19" s="41">
        <f>SUM(C19:K19)</f>
        <v>53641</v>
      </c>
      <c r="M19" s="33"/>
      <c r="W19" s="39" t="s">
        <v>43</v>
      </c>
      <c r="AM19" s="39" t="s">
        <v>44</v>
      </c>
      <c r="AN19" s="39" t="s">
        <v>43</v>
      </c>
      <c r="AO19" s="35" t="s">
        <v>17</v>
      </c>
    </row>
    <row r="20" spans="1:41">
      <c r="A20" s="145">
        <v>14</v>
      </c>
      <c r="B20" s="39" t="s">
        <v>45</v>
      </c>
      <c r="C20" s="41">
        <f>C6*C45</f>
        <v>47000</v>
      </c>
      <c r="D20" s="41">
        <f t="shared" ref="D20:K20" si="24">D6*D45</f>
        <v>9400</v>
      </c>
      <c r="E20" s="41">
        <f t="shared" si="24"/>
        <v>14000</v>
      </c>
      <c r="F20" s="41">
        <f t="shared" si="24"/>
        <v>24600</v>
      </c>
      <c r="G20" s="41">
        <f t="shared" si="24"/>
        <v>31000</v>
      </c>
      <c r="H20" s="41">
        <f t="shared" si="24"/>
        <v>161280</v>
      </c>
      <c r="I20" s="41">
        <f t="shared" si="24"/>
        <v>4200</v>
      </c>
      <c r="J20" s="41">
        <f t="shared" ref="J20" si="25">J6*J45</f>
        <v>5640</v>
      </c>
      <c r="K20" s="41">
        <f t="shared" si="24"/>
        <v>9400</v>
      </c>
      <c r="L20" s="41">
        <f>SUM(C20:K20)</f>
        <v>306520</v>
      </c>
      <c r="W20" s="39" t="s">
        <v>45</v>
      </c>
      <c r="AM20" s="39" t="s">
        <v>46</v>
      </c>
      <c r="AN20" s="39" t="s">
        <v>45</v>
      </c>
    </row>
    <row r="21" spans="1:41">
      <c r="A21" s="145">
        <v>15</v>
      </c>
      <c r="B21" s="39" t="s">
        <v>47</v>
      </c>
      <c r="C21" s="46">
        <f>$L$21/$L$6*C6</f>
        <v>15293.040293040292</v>
      </c>
      <c r="D21" s="46">
        <f t="shared" ref="D21:K21" si="26">$L$21/$L$6*D6</f>
        <v>3058.6080586080584</v>
      </c>
      <c r="E21" s="46">
        <f t="shared" si="26"/>
        <v>6117.2161172161168</v>
      </c>
      <c r="F21" s="46">
        <f t="shared" si="26"/>
        <v>1835.164835164835</v>
      </c>
      <c r="G21" s="46">
        <f t="shared" si="26"/>
        <v>3058.6080586080584</v>
      </c>
      <c r="H21" s="46">
        <f t="shared" si="26"/>
        <v>19575.091575091574</v>
      </c>
      <c r="I21" s="46">
        <f t="shared" si="26"/>
        <v>1835.164835164835</v>
      </c>
      <c r="J21" s="46">
        <f t="shared" ref="J21" si="27">$L$21/$L$6*J6</f>
        <v>1835.164835164835</v>
      </c>
      <c r="K21" s="46">
        <f t="shared" si="26"/>
        <v>3058.6080586080584</v>
      </c>
      <c r="L21" s="41">
        <f>项目投资!E27</f>
        <v>55666.666666666664</v>
      </c>
      <c r="W21" s="39" t="s">
        <v>47</v>
      </c>
      <c r="AM21" s="39"/>
      <c r="AN21" s="39"/>
    </row>
    <row r="22" spans="1:41">
      <c r="A22" s="145">
        <v>16</v>
      </c>
      <c r="B22" s="39" t="s">
        <v>48</v>
      </c>
      <c r="C22" s="41">
        <f>C6*C47</f>
        <v>25027.499999999996</v>
      </c>
      <c r="D22" s="41">
        <f t="shared" ref="D22:K22" si="28">D6*D47</f>
        <v>5005.5</v>
      </c>
      <c r="E22" s="41">
        <f t="shared" si="28"/>
        <v>7455</v>
      </c>
      <c r="F22" s="41">
        <f t="shared" si="28"/>
        <v>13099.5</v>
      </c>
      <c r="G22" s="41">
        <f t="shared" si="28"/>
        <v>16507.5</v>
      </c>
      <c r="H22" s="41">
        <f t="shared" si="28"/>
        <v>85881.600000000006</v>
      </c>
      <c r="I22" s="41">
        <f t="shared" si="28"/>
        <v>2236.5</v>
      </c>
      <c r="J22" s="41">
        <f t="shared" ref="J22" si="29">J6*J47</f>
        <v>3003.2999999999997</v>
      </c>
      <c r="K22" s="41">
        <f t="shared" si="28"/>
        <v>5005.5</v>
      </c>
      <c r="L22" s="41">
        <f>SUM(C22:K22)</f>
        <v>163221.9</v>
      </c>
      <c r="W22" s="39" t="s">
        <v>48</v>
      </c>
      <c r="AM22" s="39" t="s">
        <v>49</v>
      </c>
      <c r="AN22" s="39" t="s">
        <v>48</v>
      </c>
    </row>
    <row r="23" spans="1:41">
      <c r="A23" s="145">
        <v>17</v>
      </c>
      <c r="B23" s="42" t="s">
        <v>50</v>
      </c>
      <c r="C23" s="46">
        <f>+C22+C21+C20+C19+C17</f>
        <v>178434.27655677655</v>
      </c>
      <c r="D23" s="46">
        <f t="shared" ref="D23:K23" si="30">+D22+D21+D20+D19+D17</f>
        <v>35686.855311355306</v>
      </c>
      <c r="E23" s="46">
        <f t="shared" si="30"/>
        <v>57777.710622710627</v>
      </c>
      <c r="F23" s="46">
        <f t="shared" si="30"/>
        <v>75116.31318681319</v>
      </c>
      <c r="G23" s="46">
        <f t="shared" si="30"/>
        <v>96868.855311355321</v>
      </c>
      <c r="H23" s="46">
        <f t="shared" si="30"/>
        <v>514818.27399267396</v>
      </c>
      <c r="I23" s="46">
        <f t="shared" si="30"/>
        <v>17333.313186813186</v>
      </c>
      <c r="J23" s="46">
        <f t="shared" ref="J23" si="31">+J22+J21+J20+J19+J17</f>
        <v>21412.113186813185</v>
      </c>
      <c r="K23" s="46">
        <f t="shared" si="30"/>
        <v>35686.855311355306</v>
      </c>
      <c r="L23" s="46">
        <f t="shared" ref="L23" si="32">+L22+L21+L20+L19+L17</f>
        <v>1033134.5666666667</v>
      </c>
      <c r="W23" s="42" t="s">
        <v>50</v>
      </c>
      <c r="AM23" s="39" t="s">
        <v>51</v>
      </c>
      <c r="AN23" s="42" t="s">
        <v>50</v>
      </c>
    </row>
    <row r="24" spans="1:41">
      <c r="A24" s="145">
        <v>18</v>
      </c>
      <c r="B24" s="47" t="s">
        <v>52</v>
      </c>
      <c r="C24" s="46">
        <f>+C15-C23</f>
        <v>-141084.85903559136</v>
      </c>
      <c r="D24" s="46">
        <f t="shared" ref="D24:K24" si="33">+D15-D23</f>
        <v>-29474.331807118251</v>
      </c>
      <c r="E24" s="46">
        <f t="shared" si="33"/>
        <v>69400.119952075314</v>
      </c>
      <c r="F24" s="46">
        <f t="shared" si="33"/>
        <v>9260.376932776795</v>
      </c>
      <c r="G24" s="46">
        <f t="shared" si="33"/>
        <v>29477.667591054647</v>
      </c>
      <c r="H24" s="46">
        <f t="shared" si="33"/>
        <v>243227.55818695971</v>
      </c>
      <c r="I24" s="46">
        <f t="shared" si="33"/>
        <v>15117.635985622594</v>
      </c>
      <c r="J24" s="46">
        <f t="shared" ref="J24" si="34">+J15-J23</f>
        <v>-56529.031084270966</v>
      </c>
      <c r="K24" s="46">
        <f t="shared" si="33"/>
        <v>-37872.411807118267</v>
      </c>
      <c r="L24" s="46">
        <f t="shared" ref="L24" si="35">+L15-L23</f>
        <v>101522.72491439036</v>
      </c>
      <c r="N24" s="58"/>
      <c r="W24" s="39" t="s">
        <v>52</v>
      </c>
      <c r="AM24" s="39" t="s">
        <v>53</v>
      </c>
      <c r="AN24" s="39" t="s">
        <v>52</v>
      </c>
    </row>
    <row r="25" spans="1:41">
      <c r="A25" s="145">
        <v>19</v>
      </c>
      <c r="B25" s="39" t="s">
        <v>231</v>
      </c>
      <c r="C25" s="46">
        <f>IF(C24&lt;0,0,C24*0.15)</f>
        <v>0</v>
      </c>
      <c r="D25" s="46">
        <f t="shared" ref="D25:K25" si="36">IF(D24&lt;0,0,D24*0.15)</f>
        <v>0</v>
      </c>
      <c r="E25" s="46">
        <f t="shared" si="36"/>
        <v>10410.017992811298</v>
      </c>
      <c r="F25" s="46">
        <f t="shared" si="36"/>
        <v>1389.0565399165191</v>
      </c>
      <c r="G25" s="46">
        <f t="shared" si="36"/>
        <v>4421.6501386581967</v>
      </c>
      <c r="H25" s="46">
        <f t="shared" si="36"/>
        <v>36484.133728043955</v>
      </c>
      <c r="I25" s="46">
        <f t="shared" si="36"/>
        <v>2267.6453978433888</v>
      </c>
      <c r="J25" s="46">
        <f t="shared" ref="J25" si="37">IF(J24&lt;0,0,J24*0.15)</f>
        <v>0</v>
      </c>
      <c r="K25" s="46">
        <f t="shared" si="36"/>
        <v>0</v>
      </c>
      <c r="L25" s="46">
        <f>IF(L24&lt;0,0,L24*0.15)</f>
        <v>15228.408737158554</v>
      </c>
      <c r="M25" s="54"/>
      <c r="N25" s="54"/>
      <c r="O25" s="54"/>
      <c r="W25" s="39" t="s">
        <v>54</v>
      </c>
      <c r="AM25" s="39" t="s">
        <v>55</v>
      </c>
      <c r="AN25" s="39" t="s">
        <v>54</v>
      </c>
    </row>
    <row r="26" spans="1:41">
      <c r="A26" s="145">
        <v>20</v>
      </c>
      <c r="B26" s="39" t="s">
        <v>56</v>
      </c>
      <c r="C26" s="46">
        <f t="shared" ref="C26" si="38">C24-C25</f>
        <v>-141084.85903559136</v>
      </c>
      <c r="D26" s="46">
        <f t="shared" ref="D26:K26" si="39">D24-D25</f>
        <v>-29474.331807118251</v>
      </c>
      <c r="E26" s="46">
        <f t="shared" si="39"/>
        <v>58990.101959264015</v>
      </c>
      <c r="F26" s="46">
        <f t="shared" si="39"/>
        <v>7871.3203928602761</v>
      </c>
      <c r="G26" s="46">
        <f t="shared" si="39"/>
        <v>25056.017452396452</v>
      </c>
      <c r="H26" s="46">
        <f t="shared" si="39"/>
        <v>206743.42445891575</v>
      </c>
      <c r="I26" s="46">
        <f t="shared" si="39"/>
        <v>12849.990587779204</v>
      </c>
      <c r="J26" s="46">
        <f t="shared" ref="J26" si="40">J24-J25</f>
        <v>-56529.031084270966</v>
      </c>
      <c r="K26" s="46">
        <f t="shared" si="39"/>
        <v>-37872.411807118267</v>
      </c>
      <c r="L26" s="41">
        <f>L24-L25</f>
        <v>86294.316177231813</v>
      </c>
      <c r="M26" s="54"/>
      <c r="N26" s="54"/>
      <c r="O26" s="54"/>
      <c r="W26" s="39" t="s">
        <v>56</v>
      </c>
      <c r="AM26" s="39" t="s">
        <v>57</v>
      </c>
      <c r="AN26" s="39" t="s">
        <v>56</v>
      </c>
    </row>
    <row r="27" spans="1:41">
      <c r="A27" s="145">
        <v>21</v>
      </c>
      <c r="B27" s="39" t="s">
        <v>60</v>
      </c>
      <c r="C27" s="48">
        <f t="shared" ref="C27:L27" si="41">C26/C7</f>
        <v>-0.12007222045582244</v>
      </c>
      <c r="D27" s="48">
        <f t="shared" ref="D27:K27" si="42">D26/D7</f>
        <v>-0.12542268854092872</v>
      </c>
      <c r="E27" s="48">
        <f t="shared" si="42"/>
        <v>0.16854314845504004</v>
      </c>
      <c r="F27" s="48">
        <f t="shared" si="42"/>
        <v>1.2798894947740287E-2</v>
      </c>
      <c r="G27" s="48">
        <f t="shared" si="42"/>
        <v>3.2330345099866389E-2</v>
      </c>
      <c r="H27" s="48">
        <f t="shared" si="42"/>
        <v>5.1275650907469182E-2</v>
      </c>
      <c r="I27" s="48">
        <f t="shared" si="42"/>
        <v>0.12238086274075433</v>
      </c>
      <c r="J27" s="48">
        <f t="shared" ref="J27" si="43">J26/J7</f>
        <v>-0.53837172461210447</v>
      </c>
      <c r="K27" s="48">
        <f t="shared" si="42"/>
        <v>-0.16115919917922666</v>
      </c>
      <c r="L27" s="48">
        <f t="shared" si="41"/>
        <v>1.1314319677098703E-2</v>
      </c>
      <c r="M27" s="54"/>
      <c r="N27" s="54"/>
      <c r="O27" s="54"/>
      <c r="W27" s="39" t="s">
        <v>60</v>
      </c>
      <c r="AM27" s="39" t="s">
        <v>59</v>
      </c>
      <c r="AN27" s="39" t="s">
        <v>60</v>
      </c>
    </row>
    <row r="28" spans="1:41">
      <c r="M28" s="54"/>
      <c r="N28" s="54"/>
      <c r="O28" s="54"/>
      <c r="W28" s="39"/>
    </row>
    <row r="29" spans="1:41">
      <c r="A29" s="35" t="s">
        <v>61</v>
      </c>
      <c r="L29" s="36" t="s">
        <v>144</v>
      </c>
      <c r="M29" s="54"/>
      <c r="N29" s="54"/>
      <c r="O29" s="54"/>
      <c r="W29" s="39"/>
      <c r="AM29" s="35" t="s">
        <v>61</v>
      </c>
    </row>
    <row r="30" spans="1:41">
      <c r="A30" s="39" t="s">
        <v>62</v>
      </c>
      <c r="B30" s="42" t="s">
        <v>63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54"/>
      <c r="N30" s="54"/>
      <c r="O30" s="54"/>
      <c r="Q30" s="54"/>
      <c r="W30" s="42" t="s">
        <v>63</v>
      </c>
      <c r="AM30" s="39" t="s">
        <v>64</v>
      </c>
      <c r="AN30" s="42" t="s">
        <v>63</v>
      </c>
    </row>
    <row r="31" spans="1:41">
      <c r="A31" s="145">
        <v>1</v>
      </c>
      <c r="B31" s="44" t="s">
        <v>65</v>
      </c>
      <c r="C31" s="50">
        <f>'2023年'!C31</f>
        <v>470</v>
      </c>
      <c r="D31" s="50">
        <f>'2023年'!D31</f>
        <v>470</v>
      </c>
      <c r="E31" s="50">
        <f>'2023年'!E31</f>
        <v>350</v>
      </c>
      <c r="F31" s="50">
        <f>'2023年'!F31</f>
        <v>2050</v>
      </c>
      <c r="G31" s="50">
        <f>'2023年'!G31</f>
        <v>1550</v>
      </c>
      <c r="H31" s="50">
        <f>'2023年'!H31</f>
        <v>1260</v>
      </c>
      <c r="I31" s="50">
        <f>'2023年'!I31</f>
        <v>350</v>
      </c>
      <c r="J31" s="50">
        <f>'2023年'!J31</f>
        <v>350</v>
      </c>
      <c r="K31" s="50">
        <f>'2023年'!K31</f>
        <v>470</v>
      </c>
      <c r="L31" s="46"/>
      <c r="M31" s="54"/>
      <c r="N31" s="54"/>
      <c r="O31" s="54"/>
      <c r="Q31" s="54"/>
      <c r="W31" s="39" t="s">
        <v>65</v>
      </c>
      <c r="AM31" s="39" t="s">
        <v>19</v>
      </c>
      <c r="AN31" s="39" t="s">
        <v>65</v>
      </c>
    </row>
    <row r="32" spans="1:41">
      <c r="A32" s="145">
        <v>2</v>
      </c>
      <c r="B32" s="39" t="s">
        <v>145</v>
      </c>
      <c r="C32" s="41">
        <f>C9/C6</f>
        <v>451.2</v>
      </c>
      <c r="D32" s="41">
        <f t="shared" ref="D32:K32" si="44">D9/D6</f>
        <v>451.2</v>
      </c>
      <c r="E32" s="41">
        <f t="shared" si="44"/>
        <v>336</v>
      </c>
      <c r="F32" s="41">
        <f t="shared" si="44"/>
        <v>1968</v>
      </c>
      <c r="G32" s="41">
        <f t="shared" si="44"/>
        <v>1488</v>
      </c>
      <c r="H32" s="41">
        <f t="shared" si="44"/>
        <v>1209.5999999999999</v>
      </c>
      <c r="I32" s="41">
        <f t="shared" si="44"/>
        <v>336</v>
      </c>
      <c r="J32" s="41">
        <f t="shared" ref="J32" si="45">J9/J6</f>
        <v>336</v>
      </c>
      <c r="K32" s="41">
        <f t="shared" si="44"/>
        <v>451.2</v>
      </c>
      <c r="L32" s="46"/>
      <c r="M32" s="54"/>
      <c r="N32" s="54"/>
      <c r="O32" s="54"/>
      <c r="P32" s="54"/>
      <c r="Q32" s="54"/>
      <c r="R32" s="54"/>
      <c r="S32" s="54"/>
      <c r="AM32" s="39"/>
      <c r="AN32" s="39"/>
    </row>
    <row r="33" spans="1:40">
      <c r="A33" s="145">
        <v>3</v>
      </c>
      <c r="B33" s="44" t="s">
        <v>66</v>
      </c>
      <c r="C33" s="154">
        <f>'2023年'!C33*0.96</f>
        <v>383.9511242839659</v>
      </c>
      <c r="D33" s="154">
        <f>'2023年'!D33*0.96</f>
        <v>386.46584428396591</v>
      </c>
      <c r="E33" s="154">
        <f>'2023年'!E33*0.96</f>
        <v>169.86857783447789</v>
      </c>
      <c r="F33" s="154">
        <f>'2023年'!F33*0.96</f>
        <v>1458.5876155222929</v>
      </c>
      <c r="G33" s="154">
        <f>'2023年'!G33*0.96</f>
        <v>1062.7981914362056</v>
      </c>
      <c r="H33" s="154">
        <f>'2023年'!H33*0.96</f>
        <v>832.47774771721424</v>
      </c>
      <c r="I33" s="154">
        <f>'2023年'!I33*0.96</f>
        <v>188.8765778344779</v>
      </c>
      <c r="J33" s="154">
        <f>'2023年'!J33*0.96</f>
        <v>400.74728428396588</v>
      </c>
      <c r="K33" s="154">
        <f>'2023年'!K33*0.96</f>
        <v>403.26200428396589</v>
      </c>
      <c r="L33" s="46"/>
      <c r="N33" s="54"/>
      <c r="O33" s="54"/>
      <c r="P33" s="54"/>
      <c r="Q33" s="54"/>
      <c r="R33" s="54"/>
      <c r="S33" s="54"/>
      <c r="W33" s="39" t="s">
        <v>66</v>
      </c>
      <c r="AM33" s="39" t="s">
        <v>21</v>
      </c>
      <c r="AN33" s="39" t="s">
        <v>66</v>
      </c>
    </row>
    <row r="34" spans="1:40" ht="17.25" customHeight="1">
      <c r="A34" s="145">
        <v>4</v>
      </c>
      <c r="B34" s="39" t="s">
        <v>68</v>
      </c>
      <c r="C34" s="51">
        <f>C32-C33</f>
        <v>67.248875716034092</v>
      </c>
      <c r="D34" s="51">
        <f t="shared" ref="D34:K34" si="46">D32-D33</f>
        <v>64.734155716034081</v>
      </c>
      <c r="E34" s="51">
        <f t="shared" si="46"/>
        <v>166.13142216552211</v>
      </c>
      <c r="F34" s="51">
        <f t="shared" si="46"/>
        <v>509.41238447770706</v>
      </c>
      <c r="G34" s="51">
        <f t="shared" si="46"/>
        <v>425.20180856379443</v>
      </c>
      <c r="H34" s="51">
        <f t="shared" si="46"/>
        <v>377.12225228278567</v>
      </c>
      <c r="I34" s="51">
        <f t="shared" si="46"/>
        <v>147.1234221655221</v>
      </c>
      <c r="J34" s="51">
        <f t="shared" ref="J34" si="47">J32-J33</f>
        <v>-64.747284283965882</v>
      </c>
      <c r="K34" s="51">
        <f t="shared" si="46"/>
        <v>47.937995716034095</v>
      </c>
      <c r="L34" s="46"/>
      <c r="N34" s="54"/>
      <c r="O34" s="54"/>
      <c r="P34" s="54"/>
      <c r="Q34" s="54"/>
      <c r="R34" s="54"/>
      <c r="S34" s="54"/>
      <c r="W34" s="39" t="s">
        <v>68</v>
      </c>
      <c r="AM34" s="39" t="s">
        <v>67</v>
      </c>
      <c r="AN34" s="39" t="s">
        <v>68</v>
      </c>
    </row>
    <row r="35" spans="1:40">
      <c r="A35" s="39" t="s">
        <v>64</v>
      </c>
      <c r="B35" s="42" t="s">
        <v>8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42" t="s">
        <v>8</v>
      </c>
      <c r="AM35" s="39" t="s">
        <v>70</v>
      </c>
      <c r="AN35" s="42" t="s">
        <v>8</v>
      </c>
    </row>
    <row r="36" spans="1:40">
      <c r="A36" s="145">
        <v>1</v>
      </c>
      <c r="B36" s="39" t="s">
        <v>71</v>
      </c>
      <c r="C36" s="45">
        <f>'2023年'!C36</f>
        <v>26.423393595054016</v>
      </c>
      <c r="D36" s="45">
        <f>'2023年'!D36</f>
        <v>26.423393595054016</v>
      </c>
      <c r="E36" s="45">
        <f>'2023年'!E36</f>
        <v>19.676995230359374</v>
      </c>
      <c r="F36" s="45">
        <f>'2023年'!F36</f>
        <v>115.25097206353347</v>
      </c>
      <c r="G36" s="45">
        <f>'2023年'!G36</f>
        <v>87.140978877305798</v>
      </c>
      <c r="H36" s="45">
        <f>'2023年'!H36</f>
        <v>70.837182829293738</v>
      </c>
      <c r="I36" s="45">
        <f>'2023年'!I36</f>
        <v>19.676995230359374</v>
      </c>
      <c r="J36" s="45">
        <f>'2023年'!J36</f>
        <v>26.423393595054016</v>
      </c>
      <c r="K36" s="45">
        <f>'2023年'!K36</f>
        <v>26.423393595054016</v>
      </c>
      <c r="L36" s="50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39" t="s">
        <v>71</v>
      </c>
      <c r="AM36" s="39" t="s">
        <v>67</v>
      </c>
      <c r="AN36" s="39" t="s">
        <v>71</v>
      </c>
    </row>
    <row r="37" spans="1:40">
      <c r="A37" s="145">
        <v>2</v>
      </c>
      <c r="B37" s="39" t="s">
        <v>72</v>
      </c>
      <c r="C37" s="45">
        <f>'2023年'!C37</f>
        <v>7.0857151125060041</v>
      </c>
      <c r="D37" s="45">
        <f>'2023年'!D37</f>
        <v>7.0857151125060041</v>
      </c>
      <c r="E37" s="45">
        <f>'2023年'!E37</f>
        <v>5.2765963603768116</v>
      </c>
      <c r="F37" s="45">
        <f>'2023年'!F37</f>
        <v>30.905778682207039</v>
      </c>
      <c r="G37" s="45">
        <f>'2023年'!G37</f>
        <v>23.367783881668739</v>
      </c>
      <c r="H37" s="45">
        <f>'2023年'!H37</f>
        <v>18.995746897356522</v>
      </c>
      <c r="I37" s="45">
        <f>'2023年'!I37</f>
        <v>5.2765963603768116</v>
      </c>
      <c r="J37" s="45">
        <f>'2023年'!J37</f>
        <v>7.0857151125060041</v>
      </c>
      <c r="K37" s="45">
        <f>'2023年'!K37</f>
        <v>7.0857151125060041</v>
      </c>
      <c r="L37" s="50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39" t="s">
        <v>72</v>
      </c>
      <c r="AM37" s="39" t="s">
        <v>24</v>
      </c>
      <c r="AN37" s="39" t="s">
        <v>72</v>
      </c>
    </row>
    <row r="38" spans="1:40">
      <c r="A38" s="145">
        <v>3</v>
      </c>
      <c r="B38" s="39" t="s">
        <v>73</v>
      </c>
      <c r="C38" s="45">
        <f>'2023年'!C38</f>
        <v>18.799999999999997</v>
      </c>
      <c r="D38" s="45">
        <f>'2023年'!D38</f>
        <v>18.799999999999997</v>
      </c>
      <c r="E38" s="45">
        <f>'2023年'!E38</f>
        <v>13.999999999999998</v>
      </c>
      <c r="F38" s="45">
        <f>'2023年'!F38</f>
        <v>81.999999999999986</v>
      </c>
      <c r="G38" s="45">
        <f>'2023年'!G38</f>
        <v>61.999999999999993</v>
      </c>
      <c r="H38" s="45">
        <f>'2023年'!H38</f>
        <v>50.399999999999991</v>
      </c>
      <c r="I38" s="45">
        <f>'2023年'!I38</f>
        <v>13.999999999999998</v>
      </c>
      <c r="J38" s="45">
        <f>'2023年'!J38</f>
        <v>18.799999999999997</v>
      </c>
      <c r="K38" s="45">
        <f>'2023年'!K38</f>
        <v>18.799999999999997</v>
      </c>
      <c r="L38" s="50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39" t="s">
        <v>73</v>
      </c>
      <c r="AM38" s="39" t="s">
        <v>30</v>
      </c>
      <c r="AN38" s="39" t="s">
        <v>73</v>
      </c>
    </row>
    <row r="39" spans="1:40">
      <c r="A39" s="39" t="s">
        <v>70</v>
      </c>
      <c r="B39" s="42" t="s">
        <v>75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W39" s="42" t="s">
        <v>75</v>
      </c>
      <c r="AM39" s="39" t="s">
        <v>74</v>
      </c>
      <c r="AN39" s="42" t="s">
        <v>75</v>
      </c>
    </row>
    <row r="40" spans="1:40">
      <c r="A40" s="145">
        <v>1</v>
      </c>
      <c r="B40" s="39" t="s">
        <v>76</v>
      </c>
      <c r="C40" s="46">
        <f>C34-C36-C37-C38</f>
        <v>14.939767008474078</v>
      </c>
      <c r="D40" s="46">
        <f t="shared" ref="D40:K40" si="48">D34-D36-D37-D38</f>
        <v>12.425047008474063</v>
      </c>
      <c r="E40" s="46">
        <f t="shared" si="48"/>
        <v>127.17783057478593</v>
      </c>
      <c r="F40" s="46">
        <f t="shared" si="48"/>
        <v>281.25563373196655</v>
      </c>
      <c r="G40" s="46">
        <f t="shared" si="48"/>
        <v>252.69304580481992</v>
      </c>
      <c r="H40" s="46">
        <f t="shared" si="48"/>
        <v>236.88932255613543</v>
      </c>
      <c r="I40" s="46">
        <f t="shared" si="48"/>
        <v>108.16983057478591</v>
      </c>
      <c r="J40" s="46">
        <f t="shared" ref="J40" si="49">J34-J36-J37-J38</f>
        <v>-117.05639299152591</v>
      </c>
      <c r="K40" s="46">
        <f t="shared" si="48"/>
        <v>-4.3711129915259228</v>
      </c>
      <c r="L40" s="46"/>
      <c r="W40" s="39" t="s">
        <v>76</v>
      </c>
      <c r="AM40" s="39" t="s">
        <v>19</v>
      </c>
      <c r="AN40" s="39" t="s">
        <v>76</v>
      </c>
    </row>
    <row r="41" spans="1:40">
      <c r="A41" s="145">
        <v>2</v>
      </c>
      <c r="B41" s="39" t="s">
        <v>77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W41" s="39" t="s">
        <v>77</v>
      </c>
      <c r="AM41" s="39" t="s">
        <v>21</v>
      </c>
      <c r="AN41" s="39" t="s">
        <v>77</v>
      </c>
    </row>
    <row r="42" spans="1:40">
      <c r="A42" s="39" t="s">
        <v>74</v>
      </c>
      <c r="B42" s="42" t="s">
        <v>79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W42" s="42" t="s">
        <v>79</v>
      </c>
      <c r="AM42" s="39" t="s">
        <v>78</v>
      </c>
      <c r="AN42" s="42" t="s">
        <v>79</v>
      </c>
    </row>
    <row r="43" spans="1:40">
      <c r="A43" s="145">
        <v>1</v>
      </c>
      <c r="B43" s="47" t="s">
        <v>80</v>
      </c>
      <c r="C43" s="45">
        <f>'2023年'!C43</f>
        <v>21.15</v>
      </c>
      <c r="D43" s="45">
        <f>'2023年'!D43</f>
        <v>21.15</v>
      </c>
      <c r="E43" s="45">
        <f>'2023年'!E43</f>
        <v>15.75</v>
      </c>
      <c r="F43" s="45">
        <f>'2023年'!F43</f>
        <v>92.25</v>
      </c>
      <c r="G43" s="45">
        <f>'2023年'!G43</f>
        <v>69.75</v>
      </c>
      <c r="H43" s="45">
        <f>'2023年'!H43</f>
        <v>56.699999999999996</v>
      </c>
      <c r="I43" s="45">
        <f>'2023年'!I43</f>
        <v>15.75</v>
      </c>
      <c r="J43" s="45">
        <f>'2023年'!J43</f>
        <v>21.15</v>
      </c>
      <c r="K43" s="45">
        <f>'2023年'!K43</f>
        <v>21.15</v>
      </c>
      <c r="L43" s="46"/>
      <c r="W43" s="39" t="s">
        <v>80</v>
      </c>
      <c r="AM43" s="39" t="s">
        <v>19</v>
      </c>
      <c r="AN43" s="39" t="s">
        <v>80</v>
      </c>
    </row>
    <row r="44" spans="1:40">
      <c r="A44" s="145">
        <v>2</v>
      </c>
      <c r="B44" s="47" t="s">
        <v>81</v>
      </c>
      <c r="C44" s="45">
        <f>'2023年'!C44</f>
        <v>3.29</v>
      </c>
      <c r="D44" s="45">
        <f>'2023年'!D44</f>
        <v>3.29</v>
      </c>
      <c r="E44" s="45">
        <f>'2023年'!E44</f>
        <v>2.4500000000000002</v>
      </c>
      <c r="F44" s="45">
        <f>'2023年'!F44</f>
        <v>14.35</v>
      </c>
      <c r="G44" s="45">
        <f>'2023年'!G44</f>
        <v>10.85</v>
      </c>
      <c r="H44" s="45">
        <f>'2023年'!H44</f>
        <v>8.82</v>
      </c>
      <c r="I44" s="45">
        <f>'2023年'!I44</f>
        <v>2.4500000000000002</v>
      </c>
      <c r="J44" s="45">
        <f>'2023年'!J44</f>
        <v>3.29</v>
      </c>
      <c r="K44" s="45">
        <f>'2023年'!K44</f>
        <v>3.29</v>
      </c>
      <c r="L44" s="46"/>
      <c r="W44" s="39" t="s">
        <v>81</v>
      </c>
      <c r="AM44" s="39" t="s">
        <v>21</v>
      </c>
      <c r="AN44" s="39" t="s">
        <v>81</v>
      </c>
    </row>
    <row r="45" spans="1:40">
      <c r="A45" s="145">
        <v>3</v>
      </c>
      <c r="B45" s="47" t="s">
        <v>82</v>
      </c>
      <c r="C45" s="45">
        <f>'2023年'!C45</f>
        <v>18.8</v>
      </c>
      <c r="D45" s="45">
        <f>'2023年'!D45</f>
        <v>18.8</v>
      </c>
      <c r="E45" s="45">
        <f>'2023年'!E45</f>
        <v>14</v>
      </c>
      <c r="F45" s="45">
        <f>'2023年'!F45</f>
        <v>82</v>
      </c>
      <c r="G45" s="45">
        <f>'2023年'!G45</f>
        <v>62</v>
      </c>
      <c r="H45" s="45">
        <f>'2023年'!H45</f>
        <v>50.4</v>
      </c>
      <c r="I45" s="45">
        <f>'2023年'!I45</f>
        <v>14</v>
      </c>
      <c r="J45" s="45">
        <f>'2023年'!J45</f>
        <v>18.8</v>
      </c>
      <c r="K45" s="45">
        <f>'2023年'!K45</f>
        <v>18.8</v>
      </c>
      <c r="L45" s="46"/>
      <c r="W45" s="39" t="s">
        <v>82</v>
      </c>
      <c r="AM45" s="39" t="s">
        <v>67</v>
      </c>
      <c r="AN45" s="39" t="s">
        <v>82</v>
      </c>
    </row>
    <row r="46" spans="1:40" s="34" customFormat="1">
      <c r="A46" s="145">
        <v>4</v>
      </c>
      <c r="B46" s="47" t="s">
        <v>83</v>
      </c>
      <c r="C46" s="52">
        <f>C21/C6</f>
        <v>6.1172161172161168</v>
      </c>
      <c r="D46" s="52">
        <f t="shared" ref="D46:K46" si="50">D21/D6</f>
        <v>6.1172161172161168</v>
      </c>
      <c r="E46" s="52">
        <f t="shared" si="50"/>
        <v>6.1172161172161168</v>
      </c>
      <c r="F46" s="52">
        <f t="shared" si="50"/>
        <v>6.1172161172161168</v>
      </c>
      <c r="G46" s="52">
        <f t="shared" si="50"/>
        <v>6.1172161172161168</v>
      </c>
      <c r="H46" s="52">
        <f t="shared" si="50"/>
        <v>6.1172161172161168</v>
      </c>
      <c r="I46" s="52">
        <f t="shared" si="50"/>
        <v>6.1172161172161168</v>
      </c>
      <c r="J46" s="52">
        <f t="shared" ref="J46" si="51">J21/J6</f>
        <v>6.1172161172161168</v>
      </c>
      <c r="K46" s="52">
        <f t="shared" si="50"/>
        <v>6.1172161172161168</v>
      </c>
      <c r="L46" s="52"/>
      <c r="W46" s="47" t="s">
        <v>85</v>
      </c>
      <c r="AM46" s="47" t="s">
        <v>27</v>
      </c>
      <c r="AN46" s="47" t="s">
        <v>85</v>
      </c>
    </row>
    <row r="47" spans="1:40" s="34" customFormat="1">
      <c r="A47" s="145">
        <v>5</v>
      </c>
      <c r="B47" s="47" t="s">
        <v>85</v>
      </c>
      <c r="C47" s="52">
        <f>'2023年'!C47</f>
        <v>10.010999999999999</v>
      </c>
      <c r="D47" s="52">
        <f>'2023年'!D47</f>
        <v>10.010999999999999</v>
      </c>
      <c r="E47" s="52">
        <f>'2023年'!E47</f>
        <v>7.4550000000000001</v>
      </c>
      <c r="F47" s="52">
        <f>'2023年'!F47</f>
        <v>43.664999999999999</v>
      </c>
      <c r="G47" s="52">
        <f>'2023年'!G47</f>
        <v>33.015000000000001</v>
      </c>
      <c r="H47" s="52">
        <f>'2023年'!H47</f>
        <v>26.838000000000001</v>
      </c>
      <c r="I47" s="52">
        <f>'2023年'!I47</f>
        <v>7.4550000000000001</v>
      </c>
      <c r="J47" s="52">
        <f>'2023年'!J47</f>
        <v>10.010999999999999</v>
      </c>
      <c r="K47" s="52">
        <f>'2023年'!K47</f>
        <v>10.010999999999999</v>
      </c>
      <c r="L47" s="52"/>
      <c r="W47" s="47" t="s">
        <v>85</v>
      </c>
      <c r="AM47" s="47" t="s">
        <v>27</v>
      </c>
      <c r="AN47" s="47" t="s">
        <v>85</v>
      </c>
    </row>
    <row r="48" spans="1:40">
      <c r="A48" s="39" t="s">
        <v>78</v>
      </c>
      <c r="B48" s="42" t="s">
        <v>96</v>
      </c>
      <c r="C48" s="46">
        <f>C40-C43-C44-C45-C47-C46</f>
        <v>-44.428449108742036</v>
      </c>
      <c r="D48" s="46">
        <f t="shared" ref="D48:K48" si="52">D40-D43-D44-D45-D47-D46</f>
        <v>-46.943169108742055</v>
      </c>
      <c r="E48" s="46">
        <f t="shared" si="52"/>
        <v>81.405614457569811</v>
      </c>
      <c r="F48" s="46">
        <f t="shared" si="52"/>
        <v>42.873417614750444</v>
      </c>
      <c r="G48" s="46">
        <f t="shared" si="52"/>
        <v>70.960829687603805</v>
      </c>
      <c r="H48" s="46">
        <f t="shared" si="52"/>
        <v>88.014106438919328</v>
      </c>
      <c r="I48" s="46">
        <f t="shared" si="52"/>
        <v>62.397614457569787</v>
      </c>
      <c r="J48" s="46">
        <f t="shared" ref="J48" si="53">J40-J43-J44-J45-J47-J46</f>
        <v>-176.42460910874203</v>
      </c>
      <c r="K48" s="46">
        <f t="shared" si="52"/>
        <v>-63.739329108742041</v>
      </c>
      <c r="L48" s="46"/>
      <c r="W48" s="42" t="s">
        <v>96</v>
      </c>
      <c r="AM48" s="39" t="s">
        <v>95</v>
      </c>
      <c r="AN48" s="42" t="s">
        <v>96</v>
      </c>
    </row>
    <row r="51" spans="2:17">
      <c r="C51" s="53"/>
      <c r="D51" s="53"/>
      <c r="E51" s="53"/>
      <c r="F51" s="53"/>
      <c r="G51" s="53"/>
      <c r="H51" s="53"/>
      <c r="I51" s="53"/>
      <c r="J51" s="53"/>
      <c r="K51" s="53"/>
    </row>
    <row r="54" spans="2:17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4"/>
      <c r="N54" s="54"/>
      <c r="O54" s="54"/>
      <c r="P54" s="54"/>
      <c r="Q54" s="54"/>
    </row>
    <row r="55" spans="2:17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4"/>
      <c r="N55" s="54"/>
      <c r="O55" s="54"/>
      <c r="P55" s="54"/>
      <c r="Q55" s="54"/>
    </row>
    <row r="56" spans="2:17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4"/>
      <c r="N56" s="54"/>
      <c r="O56" s="54"/>
      <c r="P56" s="54"/>
      <c r="Q56" s="54"/>
    </row>
    <row r="57" spans="2:17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4"/>
      <c r="N57" s="54"/>
      <c r="O57" s="54"/>
      <c r="P57" s="54"/>
      <c r="Q57" s="54"/>
    </row>
    <row r="58" spans="2:17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4"/>
      <c r="N58" s="54"/>
      <c r="O58" s="54"/>
      <c r="P58" s="54"/>
      <c r="Q58" s="54"/>
    </row>
    <row r="59" spans="2:17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4"/>
      <c r="N59" s="54"/>
      <c r="O59" s="54"/>
      <c r="P59" s="54"/>
      <c r="Q59" s="54"/>
    </row>
    <row r="60" spans="2:17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4"/>
      <c r="N60" s="54"/>
      <c r="O60" s="54"/>
      <c r="P60" s="54"/>
      <c r="Q60" s="54"/>
    </row>
    <row r="61" spans="2:17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4"/>
      <c r="N61" s="54"/>
      <c r="O61" s="54"/>
      <c r="P61" s="54"/>
      <c r="Q61" s="54"/>
    </row>
    <row r="62" spans="2:17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4"/>
      <c r="N62" s="54"/>
      <c r="O62" s="54"/>
      <c r="P62" s="54"/>
      <c r="Q62" s="54"/>
    </row>
    <row r="63" spans="2:17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4"/>
      <c r="N63" s="54"/>
      <c r="O63" s="54"/>
      <c r="P63" s="54"/>
      <c r="Q63" s="54"/>
    </row>
    <row r="64" spans="2:17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4"/>
      <c r="N64" s="54"/>
      <c r="O64" s="54"/>
      <c r="P64" s="54"/>
      <c r="Q64" s="54"/>
    </row>
    <row r="65" spans="2:17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4"/>
      <c r="N65" s="54"/>
      <c r="O65" s="54"/>
      <c r="P65" s="54"/>
      <c r="Q65" s="54"/>
    </row>
    <row r="66" spans="2:17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4"/>
      <c r="N66" s="54"/>
      <c r="O66" s="54"/>
      <c r="P66" s="54"/>
      <c r="Q66" s="54"/>
    </row>
    <row r="67" spans="2:17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4"/>
    </row>
    <row r="68" spans="2:17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4"/>
    </row>
    <row r="69" spans="2:17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4"/>
    </row>
    <row r="70" spans="2:17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4"/>
    </row>
    <row r="71" spans="2:17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4"/>
    </row>
    <row r="72" spans="2:17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4"/>
    </row>
    <row r="73" spans="2:17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4"/>
    </row>
    <row r="74" spans="2:17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4"/>
    </row>
  </sheetData>
  <mergeCells count="8">
    <mergeCell ref="A1:B1"/>
    <mergeCell ref="C1:L1"/>
    <mergeCell ref="A2:B2"/>
    <mergeCell ref="C2:L2"/>
    <mergeCell ref="A3:B3"/>
    <mergeCell ref="L3:L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pane xSplit="2" ySplit="7" topLeftCell="C29" activePane="bottomRight" state="frozen"/>
      <selection pane="topRight"/>
      <selection pane="bottomLeft"/>
      <selection pane="bottomRight" activeCell="I31" sqref="I31"/>
    </sheetView>
  </sheetViews>
  <sheetFormatPr defaultColWidth="9" defaultRowHeight="16.5"/>
  <cols>
    <col min="1" max="1" width="5.125" style="35" customWidth="1"/>
    <col min="2" max="2" width="17.5" style="35" customWidth="1"/>
    <col min="3" max="11" width="13.25" style="36" customWidth="1"/>
    <col min="12" max="12" width="18.75" style="36" customWidth="1"/>
    <col min="13" max="13" width="12.375" style="35" customWidth="1"/>
    <col min="14" max="14" width="10.125" style="35" customWidth="1"/>
    <col min="15" max="20" width="9" style="35" customWidth="1"/>
    <col min="21" max="33" width="9" style="35"/>
    <col min="34" max="34" width="4.375" style="35" customWidth="1"/>
    <col min="35" max="35" width="13.875" style="35" customWidth="1"/>
    <col min="36" max="16384" width="9" style="35"/>
  </cols>
  <sheetData>
    <row r="1" spans="1:36">
      <c r="A1" s="244" t="s">
        <v>136</v>
      </c>
      <c r="B1" s="244"/>
      <c r="C1" s="248" t="s">
        <v>227</v>
      </c>
      <c r="D1" s="249"/>
      <c r="E1" s="249"/>
      <c r="F1" s="249"/>
      <c r="G1" s="249"/>
      <c r="H1" s="249"/>
      <c r="I1" s="249"/>
      <c r="J1" s="249"/>
      <c r="K1" s="249"/>
      <c r="L1" s="250"/>
    </row>
    <row r="2" spans="1:36">
      <c r="A2" s="244" t="s">
        <v>137</v>
      </c>
      <c r="B2" s="244"/>
      <c r="C2" s="252" t="str">
        <f>'2023年'!C2:L2</f>
        <v>中国重汽集团</v>
      </c>
      <c r="D2" s="253"/>
      <c r="E2" s="253"/>
      <c r="F2" s="253"/>
      <c r="G2" s="253"/>
      <c r="H2" s="253"/>
      <c r="I2" s="253"/>
      <c r="J2" s="253"/>
      <c r="K2" s="253"/>
      <c r="L2" s="254"/>
    </row>
    <row r="3" spans="1:36" ht="42.75">
      <c r="A3" s="244" t="s">
        <v>138</v>
      </c>
      <c r="B3" s="244"/>
      <c r="C3" s="146" t="str">
        <f>'2023年'!C3</f>
        <v>副驾座椅（NX）</v>
      </c>
      <c r="D3" s="146" t="str">
        <f>'2023年'!D3</f>
        <v>副驾座椅（NX/通风面料）</v>
      </c>
      <c r="E3" s="146" t="str">
        <f>'2023年'!E3</f>
        <v>中间座椅总成 （NX）</v>
      </c>
      <c r="F3" s="146" t="str">
        <f>'2023年'!F3</f>
        <v>驾驶员座椅总成 （NX/阻尼可调/通风加热）</v>
      </c>
      <c r="G3" s="146" t="str">
        <f>'2023年'!G3</f>
        <v>驾驶员座椅总成 （NX/阻尼可调）</v>
      </c>
      <c r="H3" s="146" t="str">
        <f>'2023年'!H3</f>
        <v>驾驶员座椅总成 （NX）</v>
      </c>
      <c r="I3" s="146" t="str">
        <f>'2023年'!I3</f>
        <v>中间座椅总成 （NX/安全带未系报警）</v>
      </c>
      <c r="J3" s="146" t="str">
        <f>'2023年'!J3</f>
        <v>副驾座椅（NX/安全带未系报警）</v>
      </c>
      <c r="K3" s="146" t="str">
        <f>'2023年'!K3</f>
        <v>副驾座椅（NX/通风面料/安全带未系报警）</v>
      </c>
      <c r="L3" s="245" t="s">
        <v>15</v>
      </c>
    </row>
    <row r="4" spans="1:36" ht="16.5" customHeight="1">
      <c r="A4" s="244" t="s">
        <v>139</v>
      </c>
      <c r="B4" s="244"/>
      <c r="C4" s="146" t="str">
        <f>'2023年'!C4</f>
        <v>LZ161751100440</v>
      </c>
      <c r="D4" s="146" t="str">
        <f>'2023年'!D4</f>
        <v>LZ161751100450</v>
      </c>
      <c r="E4" s="146" t="str">
        <f>'2023年'!E4</f>
        <v>LZ161751100460</v>
      </c>
      <c r="F4" s="146" t="str">
        <f>'2023年'!F4</f>
        <v>LZ161751100430</v>
      </c>
      <c r="G4" s="146" t="str">
        <f>'2023年'!G4</f>
        <v>LZ161751100420</v>
      </c>
      <c r="H4" s="146" t="str">
        <f>'2023年'!H4</f>
        <v>LZ161751100410</v>
      </c>
      <c r="I4" s="146" t="str">
        <f>'2023年'!I4</f>
        <v>LZ161751100465</v>
      </c>
      <c r="J4" s="146" t="str">
        <f>'2023年'!J4</f>
        <v>LZ161751100445</v>
      </c>
      <c r="K4" s="146" t="str">
        <f>'2023年'!K4</f>
        <v>LZ161751100455</v>
      </c>
      <c r="L4" s="246"/>
    </row>
    <row r="5" spans="1:36">
      <c r="A5" s="244" t="s">
        <v>140</v>
      </c>
      <c r="B5" s="244"/>
      <c r="C5" s="38"/>
      <c r="D5" s="38"/>
      <c r="E5" s="38"/>
      <c r="F5" s="38"/>
      <c r="G5" s="38"/>
      <c r="H5" s="38"/>
      <c r="I5" s="38"/>
      <c r="J5" s="38"/>
      <c r="K5" s="38"/>
      <c r="L5" s="247"/>
      <c r="AJ5" s="35" t="s">
        <v>16</v>
      </c>
    </row>
    <row r="6" spans="1:36" ht="17.25">
      <c r="A6" s="39" t="s">
        <v>14</v>
      </c>
      <c r="B6" s="40" t="s">
        <v>141</v>
      </c>
      <c r="C6" s="12">
        <f>销量!C11</f>
        <v>2500</v>
      </c>
      <c r="D6" s="12">
        <f>销量!D11</f>
        <v>500</v>
      </c>
      <c r="E6" s="12">
        <f>销量!E11</f>
        <v>1000</v>
      </c>
      <c r="F6" s="12">
        <f>销量!F11</f>
        <v>300</v>
      </c>
      <c r="G6" s="12">
        <f>销量!G11</f>
        <v>500</v>
      </c>
      <c r="H6" s="12">
        <f>销量!H11</f>
        <v>3200</v>
      </c>
      <c r="I6" s="12">
        <f>销量!I11</f>
        <v>500</v>
      </c>
      <c r="J6" s="12">
        <f>销量!I11</f>
        <v>500</v>
      </c>
      <c r="K6" s="12">
        <f>销量!J11</f>
        <v>500</v>
      </c>
      <c r="L6" s="41">
        <f>SUM(C6:K6)</f>
        <v>9500</v>
      </c>
      <c r="AH6" s="39" t="s">
        <v>14</v>
      </c>
      <c r="AI6" s="40" t="s">
        <v>3</v>
      </c>
      <c r="AJ6" s="35" t="s">
        <v>17</v>
      </c>
    </row>
    <row r="7" spans="1:36">
      <c r="A7" s="145">
        <v>1</v>
      </c>
      <c r="B7" s="40" t="s">
        <v>18</v>
      </c>
      <c r="C7" s="41">
        <f>C6*销量!C8</f>
        <v>1175000</v>
      </c>
      <c r="D7" s="41">
        <f>D6*销量!D8</f>
        <v>235000</v>
      </c>
      <c r="E7" s="41">
        <f>E6*销量!E8</f>
        <v>350000</v>
      </c>
      <c r="F7" s="41">
        <f>F6*销量!F8</f>
        <v>615000</v>
      </c>
      <c r="G7" s="41">
        <f>G6*销量!G8</f>
        <v>775000</v>
      </c>
      <c r="H7" s="41">
        <f>H6*销量!H8</f>
        <v>4032000</v>
      </c>
      <c r="I7" s="41">
        <f>I6*销量!I8</f>
        <v>175000</v>
      </c>
      <c r="J7" s="41">
        <f>J6*销量!I8</f>
        <v>175000</v>
      </c>
      <c r="K7" s="41">
        <f>K6*销量!J8</f>
        <v>235000</v>
      </c>
      <c r="L7" s="41">
        <f t="shared" ref="L7:L17" si="0">SUM(C7:K7)</f>
        <v>7767000</v>
      </c>
      <c r="M7" s="36"/>
      <c r="AH7" s="39" t="s">
        <v>19</v>
      </c>
      <c r="AI7" s="40" t="s">
        <v>18</v>
      </c>
      <c r="AJ7" s="35" t="s">
        <v>17</v>
      </c>
    </row>
    <row r="8" spans="1:36">
      <c r="A8" s="145">
        <v>2</v>
      </c>
      <c r="B8" s="145" t="s">
        <v>20</v>
      </c>
      <c r="C8" s="41">
        <f>C7*(1-销量!$O$8)</f>
        <v>92120.000000000029</v>
      </c>
      <c r="D8" s="41">
        <f>D7*(1-销量!$O$8)</f>
        <v>18424.000000000007</v>
      </c>
      <c r="E8" s="41">
        <f>E7*(1-销量!$O$8)</f>
        <v>27440.000000000007</v>
      </c>
      <c r="F8" s="41">
        <f>F7*(1-销量!$O$8)</f>
        <v>48216.000000000015</v>
      </c>
      <c r="G8" s="41">
        <f>G7*(1-销量!$O$8)</f>
        <v>60760.000000000022</v>
      </c>
      <c r="H8" s="41">
        <f>H7*(1-销量!$O$8)</f>
        <v>316108.8000000001</v>
      </c>
      <c r="I8" s="41">
        <f>I7*(1-销量!$O$8)</f>
        <v>13720.000000000004</v>
      </c>
      <c r="J8" s="41">
        <f>J7*(1-销量!$O$8)</f>
        <v>13720.000000000004</v>
      </c>
      <c r="K8" s="41">
        <f>K7*(1-销量!$O$8)</f>
        <v>18424.000000000007</v>
      </c>
      <c r="L8" s="41">
        <f t="shared" si="0"/>
        <v>608932.80000000016</v>
      </c>
      <c r="M8" s="56"/>
      <c r="AH8" s="39" t="s">
        <v>21</v>
      </c>
      <c r="AI8" s="145" t="s">
        <v>22</v>
      </c>
      <c r="AJ8" s="35" t="s">
        <v>17</v>
      </c>
    </row>
    <row r="9" spans="1:36">
      <c r="A9" s="145">
        <v>3</v>
      </c>
      <c r="B9" s="40" t="s">
        <v>23</v>
      </c>
      <c r="C9" s="41">
        <f>+C7-C8</f>
        <v>1082880</v>
      </c>
      <c r="D9" s="41">
        <f t="shared" ref="D9:K9" si="1">+D7-D8</f>
        <v>216576</v>
      </c>
      <c r="E9" s="41">
        <f t="shared" si="1"/>
        <v>322560</v>
      </c>
      <c r="F9" s="41">
        <f t="shared" si="1"/>
        <v>566784</v>
      </c>
      <c r="G9" s="41">
        <f t="shared" si="1"/>
        <v>714240</v>
      </c>
      <c r="H9" s="41">
        <f t="shared" si="1"/>
        <v>3715891.1999999997</v>
      </c>
      <c r="I9" s="41">
        <f t="shared" si="1"/>
        <v>161280</v>
      </c>
      <c r="J9" s="41">
        <f t="shared" ref="J9" si="2">+J7-J8</f>
        <v>161280</v>
      </c>
      <c r="K9" s="41">
        <f t="shared" si="1"/>
        <v>216576</v>
      </c>
      <c r="L9" s="41">
        <f t="shared" si="0"/>
        <v>7158067.1999999993</v>
      </c>
      <c r="AH9" s="39" t="s">
        <v>24</v>
      </c>
      <c r="AI9" s="40" t="s">
        <v>23</v>
      </c>
      <c r="AJ9" s="35" t="s">
        <v>25</v>
      </c>
    </row>
    <row r="10" spans="1:36">
      <c r="A10" s="145">
        <v>4</v>
      </c>
      <c r="B10" s="39" t="s">
        <v>26</v>
      </c>
      <c r="C10" s="41">
        <f t="shared" ref="C10:K10" si="3">C6*C33</f>
        <v>921482.69828151807</v>
      </c>
      <c r="D10" s="41">
        <f t="shared" si="3"/>
        <v>185503.60525630362</v>
      </c>
      <c r="E10" s="41">
        <f t="shared" si="3"/>
        <v>163073.83472109877</v>
      </c>
      <c r="F10" s="41">
        <f t="shared" si="3"/>
        <v>420073.23327042034</v>
      </c>
      <c r="G10" s="41">
        <f t="shared" si="3"/>
        <v>510143.13188937865</v>
      </c>
      <c r="H10" s="41">
        <f t="shared" si="3"/>
        <v>2557371.6409872822</v>
      </c>
      <c r="I10" s="41">
        <f t="shared" si="3"/>
        <v>90660.757360549382</v>
      </c>
      <c r="J10" s="41">
        <f t="shared" ref="J10" si="4">J6*J33</f>
        <v>192358.69645630362</v>
      </c>
      <c r="K10" s="41">
        <f t="shared" si="3"/>
        <v>193565.76205630362</v>
      </c>
      <c r="L10" s="41">
        <f t="shared" si="0"/>
        <v>5234233.3602791587</v>
      </c>
      <c r="AH10" s="39" t="s">
        <v>27</v>
      </c>
      <c r="AI10" s="39" t="s">
        <v>26</v>
      </c>
      <c r="AJ10" s="35" t="s">
        <v>28</v>
      </c>
    </row>
    <row r="11" spans="1:36">
      <c r="A11" s="145">
        <v>5</v>
      </c>
      <c r="B11" s="39" t="s">
        <v>29</v>
      </c>
      <c r="C11" s="41">
        <f>+C6*C36</f>
        <v>66058.483987635045</v>
      </c>
      <c r="D11" s="41">
        <f t="shared" ref="D11:K11" si="5">+D6*D36</f>
        <v>13211.696797527007</v>
      </c>
      <c r="E11" s="41">
        <f t="shared" si="5"/>
        <v>19676.995230359375</v>
      </c>
      <c r="F11" s="41">
        <f t="shared" si="5"/>
        <v>34575.291619060037</v>
      </c>
      <c r="G11" s="41">
        <f t="shared" si="5"/>
        <v>43570.489438652898</v>
      </c>
      <c r="H11" s="41">
        <f t="shared" si="5"/>
        <v>226678.98505373998</v>
      </c>
      <c r="I11" s="41">
        <f t="shared" si="5"/>
        <v>9838.4976151796873</v>
      </c>
      <c r="J11" s="41">
        <f t="shared" ref="J11" si="6">+J6*J36</f>
        <v>13211.696797527007</v>
      </c>
      <c r="K11" s="41">
        <f t="shared" si="5"/>
        <v>13211.696797527007</v>
      </c>
      <c r="L11" s="41">
        <f t="shared" si="0"/>
        <v>440033.83333720808</v>
      </c>
      <c r="AH11" s="39" t="s">
        <v>30</v>
      </c>
      <c r="AI11" s="39" t="s">
        <v>29</v>
      </c>
    </row>
    <row r="12" spans="1:36">
      <c r="A12" s="145">
        <v>6</v>
      </c>
      <c r="B12" s="39" t="s">
        <v>31</v>
      </c>
      <c r="C12" s="41">
        <f>+C6*C37</f>
        <v>17714.287781265011</v>
      </c>
      <c r="D12" s="41">
        <f t="shared" ref="D12:K12" si="7">+D6*D37</f>
        <v>3542.8575562530018</v>
      </c>
      <c r="E12" s="41">
        <f t="shared" si="7"/>
        <v>5276.5963603768114</v>
      </c>
      <c r="F12" s="41">
        <f t="shared" si="7"/>
        <v>9271.7336046621112</v>
      </c>
      <c r="G12" s="41">
        <f t="shared" si="7"/>
        <v>11683.89194083437</v>
      </c>
      <c r="H12" s="41">
        <f t="shared" si="7"/>
        <v>60786.390071540867</v>
      </c>
      <c r="I12" s="41">
        <f t="shared" si="7"/>
        <v>2638.2981801884057</v>
      </c>
      <c r="J12" s="41">
        <f t="shared" ref="J12" si="8">+J6*J37</f>
        <v>3542.8575562530018</v>
      </c>
      <c r="K12" s="41">
        <f t="shared" si="7"/>
        <v>3542.8575562530018</v>
      </c>
      <c r="L12" s="41">
        <f t="shared" si="0"/>
        <v>117999.77060762659</v>
      </c>
      <c r="AH12" s="39" t="s">
        <v>32</v>
      </c>
      <c r="AI12" s="39" t="s">
        <v>31</v>
      </c>
    </row>
    <row r="13" spans="1:36">
      <c r="A13" s="145">
        <v>7</v>
      </c>
      <c r="B13" s="39" t="s">
        <v>33</v>
      </c>
      <c r="C13" s="41">
        <f>+C6*C38</f>
        <v>46999.999999999993</v>
      </c>
      <c r="D13" s="41">
        <f t="shared" ref="D13:K13" si="9">+D6*D38</f>
        <v>9399.9999999999982</v>
      </c>
      <c r="E13" s="41">
        <f t="shared" si="9"/>
        <v>13999.999999999998</v>
      </c>
      <c r="F13" s="41">
        <f t="shared" si="9"/>
        <v>24599.999999999996</v>
      </c>
      <c r="G13" s="41">
        <f t="shared" si="9"/>
        <v>30999.999999999996</v>
      </c>
      <c r="H13" s="41">
        <f t="shared" si="9"/>
        <v>161279.99999999997</v>
      </c>
      <c r="I13" s="41">
        <f t="shared" si="9"/>
        <v>6999.9999999999991</v>
      </c>
      <c r="J13" s="41">
        <f t="shared" ref="J13" si="10">+J6*J38</f>
        <v>9399.9999999999982</v>
      </c>
      <c r="K13" s="41">
        <f t="shared" si="9"/>
        <v>9399.9999999999982</v>
      </c>
      <c r="L13" s="41">
        <f t="shared" si="0"/>
        <v>313079.99999999994</v>
      </c>
      <c r="AH13" s="39" t="s">
        <v>34</v>
      </c>
      <c r="AI13" s="39" t="s">
        <v>33</v>
      </c>
      <c r="AJ13" s="35" t="s">
        <v>17</v>
      </c>
    </row>
    <row r="14" spans="1:36">
      <c r="A14" s="145">
        <v>8</v>
      </c>
      <c r="B14" s="42" t="s">
        <v>35</v>
      </c>
      <c r="C14" s="41">
        <f>SUM(C11:C13)</f>
        <v>130772.77176890004</v>
      </c>
      <c r="D14" s="41">
        <f t="shared" ref="D14:K14" si="11">SUM(D11:D13)</f>
        <v>26154.554353780004</v>
      </c>
      <c r="E14" s="41">
        <f t="shared" si="11"/>
        <v>38953.591590736185</v>
      </c>
      <c r="F14" s="41">
        <f t="shared" si="11"/>
        <v>68447.025223722143</v>
      </c>
      <c r="G14" s="41">
        <f t="shared" si="11"/>
        <v>86254.381379487269</v>
      </c>
      <c r="H14" s="41">
        <f t="shared" si="11"/>
        <v>448745.37512528081</v>
      </c>
      <c r="I14" s="41">
        <f t="shared" si="11"/>
        <v>19476.795795368093</v>
      </c>
      <c r="J14" s="41">
        <f t="shared" ref="J14" si="12">SUM(J11:J13)</f>
        <v>26154.554353780004</v>
      </c>
      <c r="K14" s="41">
        <f t="shared" si="11"/>
        <v>26154.554353780004</v>
      </c>
      <c r="L14" s="41">
        <f t="shared" si="0"/>
        <v>871113.60394483467</v>
      </c>
      <c r="AH14" s="39" t="s">
        <v>36</v>
      </c>
      <c r="AI14" s="42" t="s">
        <v>35</v>
      </c>
    </row>
    <row r="15" spans="1:36">
      <c r="A15" s="145">
        <v>9</v>
      </c>
      <c r="B15" s="42" t="s">
        <v>37</v>
      </c>
      <c r="C15" s="41">
        <f>+C9-C10-C14</f>
        <v>30624.529949581891</v>
      </c>
      <c r="D15" s="41">
        <f t="shared" ref="D15:K15" si="13">+D9-D10-D14</f>
        <v>4917.840389916375</v>
      </c>
      <c r="E15" s="41">
        <f t="shared" si="13"/>
        <v>120532.57368816505</v>
      </c>
      <c r="F15" s="41">
        <f t="shared" si="13"/>
        <v>78263.741505857513</v>
      </c>
      <c r="G15" s="41">
        <f t="shared" si="13"/>
        <v>117842.48673113408</v>
      </c>
      <c r="H15" s="41">
        <f t="shared" si="13"/>
        <v>709774.18388743675</v>
      </c>
      <c r="I15" s="41">
        <f t="shared" si="13"/>
        <v>51142.446844082529</v>
      </c>
      <c r="J15" s="41">
        <f t="shared" ref="J15" si="14">+J9-J10-J14</f>
        <v>-57233.25081008362</v>
      </c>
      <c r="K15" s="41">
        <f t="shared" si="13"/>
        <v>-3144.316410083622</v>
      </c>
      <c r="L15" s="41">
        <f t="shared" si="0"/>
        <v>1052720.2357760069</v>
      </c>
      <c r="AH15" s="39" t="s">
        <v>38</v>
      </c>
      <c r="AI15" s="42" t="s">
        <v>37</v>
      </c>
    </row>
    <row r="16" spans="1:36">
      <c r="A16" s="145">
        <v>10</v>
      </c>
      <c r="B16" s="39" t="s">
        <v>39</v>
      </c>
      <c r="C16" s="43">
        <f>+C15/C9</f>
        <v>2.828063123299155E-2</v>
      </c>
      <c r="D16" s="43">
        <f t="shared" ref="D16:K16" si="15">+D15/D9</f>
        <v>2.2707226977672388E-2</v>
      </c>
      <c r="E16" s="43">
        <f t="shared" si="15"/>
        <v>0.37367489362650375</v>
      </c>
      <c r="F16" s="43">
        <f t="shared" si="15"/>
        <v>0.13808389352179581</v>
      </c>
      <c r="G16" s="43">
        <f t="shared" si="15"/>
        <v>0.16499004078619803</v>
      </c>
      <c r="H16" s="43">
        <f t="shared" si="15"/>
        <v>0.19101048596025547</v>
      </c>
      <c r="I16" s="43">
        <f t="shared" si="15"/>
        <v>0.3171034650550752</v>
      </c>
      <c r="J16" s="43">
        <f t="shared" ref="J16" si="16">+J15/J9</f>
        <v>-0.35486886662998274</v>
      </c>
      <c r="K16" s="43">
        <f t="shared" si="15"/>
        <v>-1.4518304937221217E-2</v>
      </c>
      <c r="L16" s="43">
        <f t="shared" ref="L16" si="17">+L15/L9</f>
        <v>0.14706766594423801</v>
      </c>
      <c r="AH16" s="39" t="s">
        <v>40</v>
      </c>
      <c r="AI16" s="39" t="s">
        <v>39</v>
      </c>
    </row>
    <row r="17" spans="1:36">
      <c r="A17" s="145">
        <v>11</v>
      </c>
      <c r="B17" s="39" t="s">
        <v>41</v>
      </c>
      <c r="C17" s="41">
        <f>C6*C43+C18</f>
        <v>81625</v>
      </c>
      <c r="D17" s="41">
        <f t="shared" ref="D17:K17" si="18">D6*D43+D18</f>
        <v>16325</v>
      </c>
      <c r="E17" s="41">
        <f t="shared" si="18"/>
        <v>27250</v>
      </c>
      <c r="F17" s="41">
        <f t="shared" si="18"/>
        <v>31125</v>
      </c>
      <c r="G17" s="41">
        <f t="shared" si="18"/>
        <v>40625</v>
      </c>
      <c r="H17" s="41">
        <f t="shared" si="18"/>
        <v>218240</v>
      </c>
      <c r="I17" s="41">
        <f t="shared" si="18"/>
        <v>13625</v>
      </c>
      <c r="J17" s="41">
        <f t="shared" ref="J17" si="19">J6*J43+J18</f>
        <v>16325</v>
      </c>
      <c r="K17" s="41">
        <f t="shared" si="18"/>
        <v>16325</v>
      </c>
      <c r="L17" s="41">
        <f t="shared" si="0"/>
        <v>461465</v>
      </c>
      <c r="M17" s="56"/>
      <c r="AH17" s="39" t="s">
        <v>42</v>
      </c>
      <c r="AI17" s="39" t="s">
        <v>41</v>
      </c>
    </row>
    <row r="18" spans="1:36" s="33" customFormat="1">
      <c r="A18" s="145">
        <v>12</v>
      </c>
      <c r="B18" s="44" t="s">
        <v>142</v>
      </c>
      <c r="C18" s="45">
        <f t="shared" ref="C18:K18" si="20">$L$18/$L$6*C6</f>
        <v>28750</v>
      </c>
      <c r="D18" s="45">
        <f t="shared" si="20"/>
        <v>5750</v>
      </c>
      <c r="E18" s="45">
        <f t="shared" si="20"/>
        <v>11500</v>
      </c>
      <c r="F18" s="45">
        <f t="shared" si="20"/>
        <v>3450</v>
      </c>
      <c r="G18" s="45">
        <f t="shared" si="20"/>
        <v>5750</v>
      </c>
      <c r="H18" s="45">
        <f t="shared" si="20"/>
        <v>36800</v>
      </c>
      <c r="I18" s="45">
        <f t="shared" si="20"/>
        <v>5750</v>
      </c>
      <c r="J18" s="45">
        <f t="shared" si="20"/>
        <v>5750</v>
      </c>
      <c r="K18" s="45">
        <f t="shared" si="20"/>
        <v>5750</v>
      </c>
      <c r="L18" s="45">
        <f>项目投资!D26</f>
        <v>109250</v>
      </c>
      <c r="M18" s="57" t="s">
        <v>143</v>
      </c>
      <c r="N18" s="57"/>
      <c r="O18" s="57"/>
    </row>
    <row r="19" spans="1:36">
      <c r="A19" s="145">
        <v>13</v>
      </c>
      <c r="B19" s="39" t="s">
        <v>43</v>
      </c>
      <c r="C19" s="41">
        <f>C6*C44</f>
        <v>8225</v>
      </c>
      <c r="D19" s="41">
        <f t="shared" ref="D19:K19" si="21">D6*D44</f>
        <v>1645</v>
      </c>
      <c r="E19" s="41">
        <f t="shared" si="21"/>
        <v>2450</v>
      </c>
      <c r="F19" s="41">
        <f t="shared" si="21"/>
        <v>4305</v>
      </c>
      <c r="G19" s="41">
        <f t="shared" si="21"/>
        <v>5425</v>
      </c>
      <c r="H19" s="41">
        <f t="shared" si="21"/>
        <v>28224</v>
      </c>
      <c r="I19" s="41">
        <f t="shared" si="21"/>
        <v>1225</v>
      </c>
      <c r="J19" s="41">
        <f t="shared" ref="J19" si="22">J6*J44</f>
        <v>1645</v>
      </c>
      <c r="K19" s="41">
        <f t="shared" si="21"/>
        <v>1645</v>
      </c>
      <c r="L19" s="41">
        <f t="shared" ref="L19:L20" si="23">SUM(C19:K19)</f>
        <v>54789</v>
      </c>
      <c r="M19" s="33"/>
      <c r="AH19" s="39" t="s">
        <v>44</v>
      </c>
      <c r="AI19" s="39" t="s">
        <v>43</v>
      </c>
      <c r="AJ19" s="35" t="s">
        <v>17</v>
      </c>
    </row>
    <row r="20" spans="1:36">
      <c r="A20" s="145">
        <v>14</v>
      </c>
      <c r="B20" s="39" t="s">
        <v>45</v>
      </c>
      <c r="C20" s="41">
        <f>C6*C45</f>
        <v>47000</v>
      </c>
      <c r="D20" s="41">
        <f t="shared" ref="D20:K20" si="24">D6*D45</f>
        <v>9400</v>
      </c>
      <c r="E20" s="41">
        <f t="shared" si="24"/>
        <v>14000</v>
      </c>
      <c r="F20" s="41">
        <f t="shared" si="24"/>
        <v>24600</v>
      </c>
      <c r="G20" s="41">
        <f t="shared" si="24"/>
        <v>31000</v>
      </c>
      <c r="H20" s="41">
        <f t="shared" si="24"/>
        <v>161280</v>
      </c>
      <c r="I20" s="41">
        <f t="shared" si="24"/>
        <v>7000</v>
      </c>
      <c r="J20" s="41">
        <f t="shared" ref="J20" si="25">J6*J45</f>
        <v>9400</v>
      </c>
      <c r="K20" s="41">
        <f t="shared" si="24"/>
        <v>9400</v>
      </c>
      <c r="L20" s="41">
        <f t="shared" si="23"/>
        <v>313080</v>
      </c>
      <c r="AH20" s="39" t="s">
        <v>46</v>
      </c>
      <c r="AI20" s="39" t="s">
        <v>45</v>
      </c>
    </row>
    <row r="21" spans="1:36">
      <c r="A21" s="145">
        <v>15</v>
      </c>
      <c r="B21" s="39" t="s">
        <v>47</v>
      </c>
      <c r="C21" s="46">
        <f t="shared" ref="C21:K21" si="26">$L$21/$L$6*C6</f>
        <v>14649.122807017542</v>
      </c>
      <c r="D21" s="46">
        <f t="shared" si="26"/>
        <v>2929.8245614035086</v>
      </c>
      <c r="E21" s="46">
        <f t="shared" si="26"/>
        <v>5859.6491228070172</v>
      </c>
      <c r="F21" s="46">
        <f t="shared" si="26"/>
        <v>1757.8947368421052</v>
      </c>
      <c r="G21" s="46">
        <f t="shared" si="26"/>
        <v>2929.8245614035086</v>
      </c>
      <c r="H21" s="46">
        <f t="shared" si="26"/>
        <v>18750.877192982454</v>
      </c>
      <c r="I21" s="46">
        <f t="shared" si="26"/>
        <v>2929.8245614035086</v>
      </c>
      <c r="J21" s="46">
        <f t="shared" si="26"/>
        <v>2929.8245614035086</v>
      </c>
      <c r="K21" s="46">
        <f t="shared" si="26"/>
        <v>2929.8245614035086</v>
      </c>
      <c r="L21" s="41">
        <f>项目投资!F27</f>
        <v>55666.666666666664</v>
      </c>
      <c r="AH21" s="39"/>
      <c r="AI21" s="39"/>
    </row>
    <row r="22" spans="1:36">
      <c r="A22" s="145">
        <v>16</v>
      </c>
      <c r="B22" s="39" t="s">
        <v>48</v>
      </c>
      <c r="C22" s="41">
        <f>C6*C47</f>
        <v>25027.499999999996</v>
      </c>
      <c r="D22" s="41">
        <f t="shared" ref="D22:K22" si="27">D6*D47</f>
        <v>5005.5</v>
      </c>
      <c r="E22" s="41">
        <f t="shared" si="27"/>
        <v>7455</v>
      </c>
      <c r="F22" s="41">
        <f t="shared" si="27"/>
        <v>13099.5</v>
      </c>
      <c r="G22" s="41">
        <f t="shared" si="27"/>
        <v>16507.5</v>
      </c>
      <c r="H22" s="41">
        <f t="shared" si="27"/>
        <v>85881.600000000006</v>
      </c>
      <c r="I22" s="41">
        <f t="shared" si="27"/>
        <v>3727.5</v>
      </c>
      <c r="J22" s="41">
        <f t="shared" ref="J22" si="28">J6*J47</f>
        <v>5005.5</v>
      </c>
      <c r="K22" s="41">
        <f t="shared" si="27"/>
        <v>5005.5</v>
      </c>
      <c r="L22" s="41">
        <f t="shared" ref="L22" si="29">SUM(C22:K22)</f>
        <v>166715.1</v>
      </c>
      <c r="AH22" s="39" t="s">
        <v>49</v>
      </c>
      <c r="AI22" s="39" t="s">
        <v>48</v>
      </c>
    </row>
    <row r="23" spans="1:36">
      <c r="A23" s="145">
        <v>17</v>
      </c>
      <c r="B23" s="42" t="s">
        <v>50</v>
      </c>
      <c r="C23" s="46">
        <f>+C22+C21+C20+C19+C17</f>
        <v>176526.62280701753</v>
      </c>
      <c r="D23" s="46">
        <f t="shared" ref="D23:K23" si="30">+D22+D21+D20+D19+D17</f>
        <v>35305.324561403511</v>
      </c>
      <c r="E23" s="46">
        <f>+E22+E21+E20+E19+E17</f>
        <v>57014.649122807015</v>
      </c>
      <c r="F23" s="46">
        <f t="shared" si="30"/>
        <v>74887.394736842107</v>
      </c>
      <c r="G23" s="46">
        <f t="shared" si="30"/>
        <v>96487.324561403511</v>
      </c>
      <c r="H23" s="46">
        <f t="shared" si="30"/>
        <v>512376.47719298245</v>
      </c>
      <c r="I23" s="46">
        <f t="shared" si="30"/>
        <v>28507.324561403508</v>
      </c>
      <c r="J23" s="46">
        <f t="shared" ref="J23" si="31">+J22+J21+J20+J19+J17</f>
        <v>35305.324561403511</v>
      </c>
      <c r="K23" s="46">
        <f t="shared" si="30"/>
        <v>35305.324561403511</v>
      </c>
      <c r="L23" s="46">
        <f t="shared" ref="L23" si="32">+L22+L21+L20+L19+L17</f>
        <v>1051715.7666666666</v>
      </c>
      <c r="AH23" s="39" t="s">
        <v>51</v>
      </c>
      <c r="AI23" s="42" t="s">
        <v>50</v>
      </c>
    </row>
    <row r="24" spans="1:36">
      <c r="A24" s="145">
        <v>18</v>
      </c>
      <c r="B24" s="47" t="s">
        <v>52</v>
      </c>
      <c r="C24" s="46">
        <f>+C15-C23</f>
        <v>-145902.09285743564</v>
      </c>
      <c r="D24" s="46">
        <f t="shared" ref="D24:K24" si="33">+D15-D23</f>
        <v>-30387.484171487136</v>
      </c>
      <c r="E24" s="46">
        <f t="shared" si="33"/>
        <v>63517.924565358036</v>
      </c>
      <c r="F24" s="46">
        <f t="shared" si="33"/>
        <v>3376.3467690154066</v>
      </c>
      <c r="G24" s="46">
        <f t="shared" si="33"/>
        <v>21355.162169730567</v>
      </c>
      <c r="H24" s="46">
        <f t="shared" si="33"/>
        <v>197397.7066944543</v>
      </c>
      <c r="I24" s="46">
        <f t="shared" si="33"/>
        <v>22635.122282679022</v>
      </c>
      <c r="J24" s="46">
        <f t="shared" ref="J24" si="34">+J15-J23</f>
        <v>-92538.575371487124</v>
      </c>
      <c r="K24" s="46">
        <f t="shared" si="33"/>
        <v>-38449.640971487133</v>
      </c>
      <c r="L24" s="46">
        <f t="shared" ref="L24" si="35">+L15-L23</f>
        <v>1004.469109340338</v>
      </c>
      <c r="N24" s="58"/>
      <c r="AH24" s="39" t="s">
        <v>53</v>
      </c>
      <c r="AI24" s="39" t="s">
        <v>52</v>
      </c>
    </row>
    <row r="25" spans="1:36">
      <c r="A25" s="145">
        <v>19</v>
      </c>
      <c r="B25" s="39" t="s">
        <v>229</v>
      </c>
      <c r="C25" s="46">
        <f>IF(C24&lt;0,0,C24*0.15)</f>
        <v>0</v>
      </c>
      <c r="D25" s="46">
        <f t="shared" ref="D25:K25" si="36">IF(D24&lt;0,0,D24*0.15)</f>
        <v>0</v>
      </c>
      <c r="E25" s="46">
        <f t="shared" si="36"/>
        <v>9527.6886848037047</v>
      </c>
      <c r="F25" s="46">
        <f t="shared" si="36"/>
        <v>506.45201535231098</v>
      </c>
      <c r="G25" s="46">
        <f t="shared" si="36"/>
        <v>3203.2743254595848</v>
      </c>
      <c r="H25" s="46">
        <f t="shared" si="36"/>
        <v>29609.656004168144</v>
      </c>
      <c r="I25" s="46">
        <f t="shared" si="36"/>
        <v>3395.2683424018533</v>
      </c>
      <c r="J25" s="46">
        <f t="shared" ref="J25" si="37">IF(J24&lt;0,0,J24*0.15)</f>
        <v>0</v>
      </c>
      <c r="K25" s="46">
        <f t="shared" si="36"/>
        <v>0</v>
      </c>
      <c r="L25" s="46">
        <f>IF(L24&lt;0,0,L24*0.15)</f>
        <v>150.6703664010507</v>
      </c>
      <c r="M25" s="54"/>
      <c r="N25" s="54"/>
      <c r="O25" s="54"/>
      <c r="AH25" s="39" t="s">
        <v>55</v>
      </c>
      <c r="AI25" s="39" t="s">
        <v>54</v>
      </c>
    </row>
    <row r="26" spans="1:36">
      <c r="A26" s="145">
        <v>20</v>
      </c>
      <c r="B26" s="39" t="s">
        <v>56</v>
      </c>
      <c r="C26" s="46">
        <f t="shared" ref="C26" si="38">C24-C25</f>
        <v>-145902.09285743564</v>
      </c>
      <c r="D26" s="46">
        <f t="shared" ref="D26:K26" si="39">D24-D25</f>
        <v>-30387.484171487136</v>
      </c>
      <c r="E26" s="46">
        <f t="shared" si="39"/>
        <v>53990.235880554334</v>
      </c>
      <c r="F26" s="46">
        <f t="shared" si="39"/>
        <v>2869.8947536630958</v>
      </c>
      <c r="G26" s="46">
        <f t="shared" si="39"/>
        <v>18151.887844270983</v>
      </c>
      <c r="H26" s="46">
        <f t="shared" si="39"/>
        <v>167788.05069028615</v>
      </c>
      <c r="I26" s="46">
        <f t="shared" si="39"/>
        <v>19239.853940277168</v>
      </c>
      <c r="J26" s="46">
        <f t="shared" ref="J26" si="40">J24-J25</f>
        <v>-92538.575371487124</v>
      </c>
      <c r="K26" s="46">
        <f t="shared" si="39"/>
        <v>-38449.640971487133</v>
      </c>
      <c r="L26" s="41">
        <f>+SUM(C26:K26)</f>
        <v>-45237.870262845281</v>
      </c>
      <c r="M26" s="54"/>
      <c r="N26" s="54"/>
      <c r="O26" s="54"/>
      <c r="AH26" s="39" t="s">
        <v>57</v>
      </c>
      <c r="AI26" s="39" t="s">
        <v>56</v>
      </c>
    </row>
    <row r="27" spans="1:36">
      <c r="A27" s="145">
        <v>21</v>
      </c>
      <c r="B27" s="39" t="s">
        <v>60</v>
      </c>
      <c r="C27" s="48">
        <f t="shared" ref="C27:L27" si="41">C26/C7</f>
        <v>-0.12417199392122182</v>
      </c>
      <c r="D27" s="48">
        <f t="shared" ref="D27:K27" si="42">D26/D7</f>
        <v>-0.12930844328292398</v>
      </c>
      <c r="E27" s="48">
        <f t="shared" si="42"/>
        <v>0.15425781680158382</v>
      </c>
      <c r="F27" s="48">
        <f t="shared" si="42"/>
        <v>4.6664955344115381E-3</v>
      </c>
      <c r="G27" s="48">
        <f t="shared" si="42"/>
        <v>2.342179076680127E-2</v>
      </c>
      <c r="H27" s="48">
        <f t="shared" si="42"/>
        <v>4.1614099873582874E-2</v>
      </c>
      <c r="I27" s="48">
        <f t="shared" si="42"/>
        <v>0.10994202251586953</v>
      </c>
      <c r="J27" s="48">
        <f t="shared" ref="J27" si="43">J26/J7</f>
        <v>-0.52879185926564076</v>
      </c>
      <c r="K27" s="48">
        <f t="shared" si="42"/>
        <v>-0.16361549349568993</v>
      </c>
      <c r="L27" s="48">
        <f t="shared" si="41"/>
        <v>-5.8243685158806853E-3</v>
      </c>
      <c r="M27" s="54"/>
      <c r="N27" s="54"/>
      <c r="O27" s="54"/>
      <c r="AH27" s="39" t="s">
        <v>59</v>
      </c>
      <c r="AI27" s="39" t="s">
        <v>60</v>
      </c>
    </row>
    <row r="28" spans="1:36">
      <c r="M28" s="54"/>
      <c r="N28" s="54"/>
      <c r="O28" s="54"/>
    </row>
    <row r="29" spans="1:36">
      <c r="A29" s="35" t="s">
        <v>61</v>
      </c>
      <c r="L29" s="36" t="s">
        <v>144</v>
      </c>
      <c r="M29" s="54"/>
      <c r="N29" s="54"/>
      <c r="O29" s="54"/>
      <c r="AH29" s="35" t="s">
        <v>61</v>
      </c>
    </row>
    <row r="30" spans="1:36">
      <c r="A30" s="39" t="s">
        <v>62</v>
      </c>
      <c r="B30" s="42" t="s">
        <v>63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54"/>
      <c r="N30" s="54"/>
      <c r="O30" s="54"/>
      <c r="Q30" s="54"/>
      <c r="AH30" s="39" t="s">
        <v>64</v>
      </c>
      <c r="AI30" s="42" t="s">
        <v>63</v>
      </c>
    </row>
    <row r="31" spans="1:36">
      <c r="A31" s="145">
        <v>1</v>
      </c>
      <c r="B31" s="44" t="s">
        <v>65</v>
      </c>
      <c r="C31" s="50">
        <f>'2023年'!C31</f>
        <v>470</v>
      </c>
      <c r="D31" s="50">
        <f>'2023年'!D31</f>
        <v>470</v>
      </c>
      <c r="E31" s="50">
        <f>'2023年'!E31</f>
        <v>350</v>
      </c>
      <c r="F31" s="50">
        <f>'2023年'!F31</f>
        <v>2050</v>
      </c>
      <c r="G31" s="50">
        <f>'2023年'!G31</f>
        <v>1550</v>
      </c>
      <c r="H31" s="50">
        <f>'2023年'!H31</f>
        <v>1260</v>
      </c>
      <c r="I31" s="50">
        <f>'2023年'!I31</f>
        <v>350</v>
      </c>
      <c r="J31" s="50">
        <f>'2023年'!J31</f>
        <v>350</v>
      </c>
      <c r="K31" s="50">
        <f>'2023年'!K31</f>
        <v>470</v>
      </c>
      <c r="L31" s="46"/>
      <c r="M31" s="54"/>
      <c r="N31" s="54"/>
      <c r="O31" s="54"/>
      <c r="Q31" s="54"/>
      <c r="AH31" s="39" t="s">
        <v>19</v>
      </c>
      <c r="AI31" s="39" t="s">
        <v>65</v>
      </c>
    </row>
    <row r="32" spans="1:36">
      <c r="A32" s="145">
        <v>2</v>
      </c>
      <c r="B32" s="39" t="s">
        <v>145</v>
      </c>
      <c r="C32" s="41">
        <f>C9/C6</f>
        <v>433.15199999999999</v>
      </c>
      <c r="D32" s="41">
        <f t="shared" ref="D32:K32" si="44">D9/D6</f>
        <v>433.15199999999999</v>
      </c>
      <c r="E32" s="41">
        <f t="shared" si="44"/>
        <v>322.56</v>
      </c>
      <c r="F32" s="41">
        <f t="shared" si="44"/>
        <v>1889.28</v>
      </c>
      <c r="G32" s="41">
        <f t="shared" si="44"/>
        <v>1428.48</v>
      </c>
      <c r="H32" s="41">
        <f t="shared" si="44"/>
        <v>1161.2159999999999</v>
      </c>
      <c r="I32" s="41">
        <f t="shared" si="44"/>
        <v>322.56</v>
      </c>
      <c r="J32" s="41">
        <f t="shared" ref="J32" si="45">J9/J6</f>
        <v>322.56</v>
      </c>
      <c r="K32" s="41">
        <f t="shared" si="44"/>
        <v>433.15199999999999</v>
      </c>
      <c r="L32" s="46"/>
      <c r="M32" s="54"/>
      <c r="N32" s="54"/>
      <c r="O32" s="54"/>
      <c r="P32" s="54"/>
      <c r="Q32" s="54"/>
      <c r="R32" s="54"/>
      <c r="S32" s="54"/>
      <c r="AH32" s="39"/>
      <c r="AI32" s="39"/>
    </row>
    <row r="33" spans="1:35">
      <c r="A33" s="145">
        <v>3</v>
      </c>
      <c r="B33" s="44" t="s">
        <v>66</v>
      </c>
      <c r="C33" s="41">
        <f>'2024年'!C33*0.96</f>
        <v>368.59307931260724</v>
      </c>
      <c r="D33" s="41">
        <f>'2024年'!D33*0.96</f>
        <v>371.00721051260723</v>
      </c>
      <c r="E33" s="41">
        <f>'2024年'!E33*0.96</f>
        <v>163.07383472109876</v>
      </c>
      <c r="F33" s="41">
        <f>'2024年'!F33*0.96</f>
        <v>1400.2441109014012</v>
      </c>
      <c r="G33" s="41">
        <f>'2024年'!G33*0.96</f>
        <v>1020.2862637787573</v>
      </c>
      <c r="H33" s="41">
        <f>'2024年'!H33*0.96</f>
        <v>799.17863780852565</v>
      </c>
      <c r="I33" s="41">
        <f>'2024年'!I33*0.96</f>
        <v>181.32151472109877</v>
      </c>
      <c r="J33" s="41">
        <f>'2024年'!J33*0.96</f>
        <v>384.71739291260724</v>
      </c>
      <c r="K33" s="41">
        <f>'2024年'!K33*0.96</f>
        <v>387.13152411260722</v>
      </c>
      <c r="L33" s="46"/>
      <c r="N33" s="54"/>
      <c r="O33" s="54"/>
      <c r="P33" s="54"/>
      <c r="Q33" s="54"/>
      <c r="R33" s="54"/>
      <c r="S33" s="54"/>
      <c r="AH33" s="39" t="s">
        <v>21</v>
      </c>
      <c r="AI33" s="39" t="s">
        <v>66</v>
      </c>
    </row>
    <row r="34" spans="1:35" ht="17.25" customHeight="1">
      <c r="A34" s="145">
        <v>4</v>
      </c>
      <c r="B34" s="39" t="s">
        <v>68</v>
      </c>
      <c r="C34" s="51">
        <f>C32-C33</f>
        <v>64.558920687392742</v>
      </c>
      <c r="D34" s="51">
        <f t="shared" ref="D34:K34" si="46">D32-D33</f>
        <v>62.144789487392757</v>
      </c>
      <c r="E34" s="51">
        <f t="shared" si="46"/>
        <v>159.48616527890124</v>
      </c>
      <c r="F34" s="51">
        <f t="shared" si="46"/>
        <v>489.03588909859877</v>
      </c>
      <c r="G34" s="51">
        <f t="shared" si="46"/>
        <v>408.19373622124272</v>
      </c>
      <c r="H34" s="51">
        <f t="shared" si="46"/>
        <v>362.03736219147424</v>
      </c>
      <c r="I34" s="51">
        <f t="shared" si="46"/>
        <v>141.23848527890124</v>
      </c>
      <c r="J34" s="51">
        <f t="shared" ref="J34" si="47">J32-J33</f>
        <v>-62.157392912607236</v>
      </c>
      <c r="K34" s="51">
        <f t="shared" si="46"/>
        <v>46.020475887392763</v>
      </c>
      <c r="L34" s="46"/>
      <c r="N34" s="54"/>
      <c r="O34" s="54"/>
      <c r="P34" s="54"/>
      <c r="Q34" s="54"/>
      <c r="R34" s="54"/>
      <c r="S34" s="54"/>
      <c r="AH34" s="39" t="s">
        <v>67</v>
      </c>
      <c r="AI34" s="39" t="s">
        <v>68</v>
      </c>
    </row>
    <row r="35" spans="1:35">
      <c r="A35" s="39" t="s">
        <v>64</v>
      </c>
      <c r="B35" s="42" t="s">
        <v>8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54"/>
      <c r="N35" s="54"/>
      <c r="O35" s="54"/>
      <c r="P35" s="54"/>
      <c r="Q35" s="54"/>
      <c r="R35" s="54"/>
      <c r="S35" s="54"/>
      <c r="T35" s="54"/>
      <c r="AH35" s="39" t="s">
        <v>70</v>
      </c>
      <c r="AI35" s="42" t="s">
        <v>8</v>
      </c>
    </row>
    <row r="36" spans="1:35">
      <c r="A36" s="145">
        <v>1</v>
      </c>
      <c r="B36" s="39" t="s">
        <v>71</v>
      </c>
      <c r="C36" s="45">
        <f>'2023年'!C36</f>
        <v>26.423393595054016</v>
      </c>
      <c r="D36" s="45">
        <f>'2023年'!D36</f>
        <v>26.423393595054016</v>
      </c>
      <c r="E36" s="45">
        <f>'2023年'!E36</f>
        <v>19.676995230359374</v>
      </c>
      <c r="F36" s="45">
        <f>'2023年'!F36</f>
        <v>115.25097206353347</v>
      </c>
      <c r="G36" s="45">
        <f>'2023年'!G36</f>
        <v>87.140978877305798</v>
      </c>
      <c r="H36" s="45">
        <f>'2023年'!H36</f>
        <v>70.837182829293738</v>
      </c>
      <c r="I36" s="45">
        <f>'2023年'!I36</f>
        <v>19.676995230359374</v>
      </c>
      <c r="J36" s="45">
        <f>'2023年'!J36</f>
        <v>26.423393595054016</v>
      </c>
      <c r="K36" s="45">
        <f>'2023年'!K36</f>
        <v>26.423393595054016</v>
      </c>
      <c r="L36" s="50"/>
      <c r="M36" s="54"/>
      <c r="N36" s="54"/>
      <c r="O36" s="54"/>
      <c r="P36" s="54"/>
      <c r="Q36" s="54"/>
      <c r="R36" s="54"/>
      <c r="S36" s="54"/>
      <c r="T36" s="54"/>
      <c r="AH36" s="39" t="s">
        <v>67</v>
      </c>
      <c r="AI36" s="39" t="s">
        <v>71</v>
      </c>
    </row>
    <row r="37" spans="1:35">
      <c r="A37" s="145">
        <v>2</v>
      </c>
      <c r="B37" s="39" t="s">
        <v>72</v>
      </c>
      <c r="C37" s="45">
        <f>'2023年'!C37</f>
        <v>7.0857151125060041</v>
      </c>
      <c r="D37" s="45">
        <f>'2023年'!D37</f>
        <v>7.0857151125060041</v>
      </c>
      <c r="E37" s="45">
        <f>'2023年'!E37</f>
        <v>5.2765963603768116</v>
      </c>
      <c r="F37" s="45">
        <f>'2023年'!F37</f>
        <v>30.905778682207039</v>
      </c>
      <c r="G37" s="45">
        <f>'2023年'!G37</f>
        <v>23.367783881668739</v>
      </c>
      <c r="H37" s="45">
        <f>'2023年'!H37</f>
        <v>18.995746897356522</v>
      </c>
      <c r="I37" s="45">
        <f>'2023年'!I37</f>
        <v>5.2765963603768116</v>
      </c>
      <c r="J37" s="45">
        <f>'2023年'!J37</f>
        <v>7.0857151125060041</v>
      </c>
      <c r="K37" s="45">
        <f>'2023年'!K37</f>
        <v>7.0857151125060041</v>
      </c>
      <c r="L37" s="50"/>
      <c r="M37" s="54"/>
      <c r="N37" s="54"/>
      <c r="O37" s="54"/>
      <c r="P37" s="54"/>
      <c r="Q37" s="54"/>
      <c r="R37" s="54"/>
      <c r="S37" s="54"/>
      <c r="T37" s="54"/>
      <c r="AH37" s="39" t="s">
        <v>24</v>
      </c>
      <c r="AI37" s="39" t="s">
        <v>72</v>
      </c>
    </row>
    <row r="38" spans="1:35">
      <c r="A38" s="145">
        <v>3</v>
      </c>
      <c r="B38" s="39" t="s">
        <v>73</v>
      </c>
      <c r="C38" s="45">
        <f>'2023年'!C38</f>
        <v>18.799999999999997</v>
      </c>
      <c r="D38" s="45">
        <f>'2023年'!D38</f>
        <v>18.799999999999997</v>
      </c>
      <c r="E38" s="45">
        <f>'2023年'!E38</f>
        <v>13.999999999999998</v>
      </c>
      <c r="F38" s="45">
        <f>'2023年'!F38</f>
        <v>81.999999999999986</v>
      </c>
      <c r="G38" s="45">
        <f>'2023年'!G38</f>
        <v>61.999999999999993</v>
      </c>
      <c r="H38" s="45">
        <f>'2023年'!H38</f>
        <v>50.399999999999991</v>
      </c>
      <c r="I38" s="45">
        <f>'2023年'!I38</f>
        <v>13.999999999999998</v>
      </c>
      <c r="J38" s="45">
        <f>'2023年'!J38</f>
        <v>18.799999999999997</v>
      </c>
      <c r="K38" s="45">
        <f>'2023年'!K38</f>
        <v>18.799999999999997</v>
      </c>
      <c r="L38" s="50"/>
      <c r="M38" s="54"/>
      <c r="N38" s="54"/>
      <c r="O38" s="54"/>
      <c r="P38" s="54"/>
      <c r="Q38" s="54"/>
      <c r="R38" s="54"/>
      <c r="S38" s="54"/>
      <c r="T38" s="54"/>
      <c r="AH38" s="39" t="s">
        <v>30</v>
      </c>
      <c r="AI38" s="39" t="s">
        <v>73</v>
      </c>
    </row>
    <row r="39" spans="1:35">
      <c r="A39" s="39" t="s">
        <v>70</v>
      </c>
      <c r="B39" s="42" t="s">
        <v>75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AH39" s="39" t="s">
        <v>74</v>
      </c>
      <c r="AI39" s="42" t="s">
        <v>75</v>
      </c>
    </row>
    <row r="40" spans="1:35">
      <c r="A40" s="145">
        <v>1</v>
      </c>
      <c r="B40" s="39" t="s">
        <v>76</v>
      </c>
      <c r="C40" s="46">
        <f>C34-C36-C37-C38</f>
        <v>12.249811979832725</v>
      </c>
      <c r="D40" s="46">
        <f t="shared" ref="D40:K40" si="48">D34-D36-D37-D38</f>
        <v>9.8356807798327388</v>
      </c>
      <c r="E40" s="46">
        <f t="shared" si="48"/>
        <v>120.53257368816506</v>
      </c>
      <c r="F40" s="46">
        <f t="shared" si="48"/>
        <v>260.87913835285826</v>
      </c>
      <c r="G40" s="46">
        <f t="shared" si="48"/>
        <v>235.6849734622682</v>
      </c>
      <c r="H40" s="46">
        <f t="shared" si="48"/>
        <v>221.804432464824</v>
      </c>
      <c r="I40" s="46">
        <f t="shared" si="48"/>
        <v>102.28489368816504</v>
      </c>
      <c r="J40" s="46">
        <f t="shared" ref="J40" si="49">J34-J36-J37-J38</f>
        <v>-114.46650162016726</v>
      </c>
      <c r="K40" s="46">
        <f t="shared" si="48"/>
        <v>-6.2886328201672548</v>
      </c>
      <c r="L40" s="46"/>
      <c r="AH40" s="39" t="s">
        <v>19</v>
      </c>
      <c r="AI40" s="39" t="s">
        <v>76</v>
      </c>
    </row>
    <row r="41" spans="1:35">
      <c r="A41" s="145">
        <v>2</v>
      </c>
      <c r="B41" s="39" t="s">
        <v>77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AH41" s="39" t="s">
        <v>21</v>
      </c>
      <c r="AI41" s="39" t="s">
        <v>77</v>
      </c>
    </row>
    <row r="42" spans="1:35">
      <c r="A42" s="39" t="s">
        <v>74</v>
      </c>
      <c r="B42" s="42" t="s">
        <v>79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AH42" s="39" t="s">
        <v>78</v>
      </c>
      <c r="AI42" s="42" t="s">
        <v>79</v>
      </c>
    </row>
    <row r="43" spans="1:35">
      <c r="A43" s="145">
        <v>1</v>
      </c>
      <c r="B43" s="47" t="s">
        <v>80</v>
      </c>
      <c r="C43" s="45">
        <f>'2023年'!C43</f>
        <v>21.15</v>
      </c>
      <c r="D43" s="45">
        <f>'2023年'!D43</f>
        <v>21.15</v>
      </c>
      <c r="E43" s="45">
        <f>'2023年'!E43</f>
        <v>15.75</v>
      </c>
      <c r="F43" s="45">
        <f>'2023年'!F43</f>
        <v>92.25</v>
      </c>
      <c r="G43" s="45">
        <f>'2023年'!G43</f>
        <v>69.75</v>
      </c>
      <c r="H43" s="45">
        <f>'2023年'!H43</f>
        <v>56.699999999999996</v>
      </c>
      <c r="I43" s="45">
        <f>'2023年'!I43</f>
        <v>15.75</v>
      </c>
      <c r="J43" s="45">
        <f>'2023年'!J43</f>
        <v>21.15</v>
      </c>
      <c r="K43" s="45">
        <f>'2023年'!K43</f>
        <v>21.15</v>
      </c>
      <c r="L43" s="46"/>
      <c r="AH43" s="39" t="s">
        <v>19</v>
      </c>
      <c r="AI43" s="39" t="s">
        <v>80</v>
      </c>
    </row>
    <row r="44" spans="1:35">
      <c r="A44" s="145">
        <v>2</v>
      </c>
      <c r="B44" s="47" t="s">
        <v>81</v>
      </c>
      <c r="C44" s="45">
        <f>'2023年'!C44</f>
        <v>3.29</v>
      </c>
      <c r="D44" s="45">
        <f>'2023年'!D44</f>
        <v>3.29</v>
      </c>
      <c r="E44" s="45">
        <f>'2023年'!E44</f>
        <v>2.4500000000000002</v>
      </c>
      <c r="F44" s="45">
        <f>'2023年'!F44</f>
        <v>14.35</v>
      </c>
      <c r="G44" s="45">
        <f>'2023年'!G44</f>
        <v>10.85</v>
      </c>
      <c r="H44" s="45">
        <f>'2023年'!H44</f>
        <v>8.82</v>
      </c>
      <c r="I44" s="45">
        <f>'2023年'!I44</f>
        <v>2.4500000000000002</v>
      </c>
      <c r="J44" s="45">
        <f>'2023年'!J44</f>
        <v>3.29</v>
      </c>
      <c r="K44" s="45">
        <f>'2023年'!K44</f>
        <v>3.29</v>
      </c>
      <c r="L44" s="46"/>
      <c r="AH44" s="39" t="s">
        <v>21</v>
      </c>
      <c r="AI44" s="39" t="s">
        <v>81</v>
      </c>
    </row>
    <row r="45" spans="1:35">
      <c r="A45" s="145">
        <v>3</v>
      </c>
      <c r="B45" s="47" t="s">
        <v>82</v>
      </c>
      <c r="C45" s="45">
        <f>'2023年'!C45</f>
        <v>18.8</v>
      </c>
      <c r="D45" s="45">
        <f>'2023年'!D45</f>
        <v>18.8</v>
      </c>
      <c r="E45" s="45">
        <f>'2023年'!E45</f>
        <v>14</v>
      </c>
      <c r="F45" s="45">
        <f>'2023年'!F45</f>
        <v>82</v>
      </c>
      <c r="G45" s="45">
        <f>'2023年'!G45</f>
        <v>62</v>
      </c>
      <c r="H45" s="45">
        <f>'2023年'!H45</f>
        <v>50.4</v>
      </c>
      <c r="I45" s="45">
        <f>'2023年'!I45</f>
        <v>14</v>
      </c>
      <c r="J45" s="45">
        <f>'2023年'!J45</f>
        <v>18.8</v>
      </c>
      <c r="K45" s="45">
        <f>'2023年'!K45</f>
        <v>18.8</v>
      </c>
      <c r="L45" s="46"/>
      <c r="AH45" s="39" t="s">
        <v>67</v>
      </c>
      <c r="AI45" s="39" t="s">
        <v>82</v>
      </c>
    </row>
    <row r="46" spans="1:35" s="34" customFormat="1">
      <c r="A46" s="145">
        <v>4</v>
      </c>
      <c r="B46" s="47" t="s">
        <v>83</v>
      </c>
      <c r="C46" s="52">
        <f>C21/C6</f>
        <v>5.8596491228070171</v>
      </c>
      <c r="D46" s="52">
        <f t="shared" ref="D46:K46" si="50">D21/D6</f>
        <v>5.8596491228070171</v>
      </c>
      <c r="E46" s="52">
        <f t="shared" si="50"/>
        <v>5.8596491228070171</v>
      </c>
      <c r="F46" s="52">
        <f t="shared" si="50"/>
        <v>5.8596491228070171</v>
      </c>
      <c r="G46" s="52">
        <f t="shared" si="50"/>
        <v>5.8596491228070171</v>
      </c>
      <c r="H46" s="52">
        <f t="shared" si="50"/>
        <v>5.8596491228070171</v>
      </c>
      <c r="I46" s="52">
        <f t="shared" si="50"/>
        <v>5.8596491228070171</v>
      </c>
      <c r="J46" s="52">
        <f t="shared" ref="J46" si="51">J21/J6</f>
        <v>5.8596491228070171</v>
      </c>
      <c r="K46" s="52">
        <f t="shared" si="50"/>
        <v>5.8596491228070171</v>
      </c>
      <c r="L46" s="52"/>
      <c r="AH46" s="47" t="s">
        <v>27</v>
      </c>
      <c r="AI46" s="47" t="s">
        <v>85</v>
      </c>
    </row>
    <row r="47" spans="1:35" s="34" customFormat="1">
      <c r="A47" s="145">
        <v>5</v>
      </c>
      <c r="B47" s="47" t="s">
        <v>85</v>
      </c>
      <c r="C47" s="52">
        <f>'2023年'!C47</f>
        <v>10.010999999999999</v>
      </c>
      <c r="D47" s="52">
        <f>'2023年'!D47</f>
        <v>10.010999999999999</v>
      </c>
      <c r="E47" s="52">
        <f>'2023年'!E47</f>
        <v>7.4550000000000001</v>
      </c>
      <c r="F47" s="52">
        <f>'2023年'!F47</f>
        <v>43.664999999999999</v>
      </c>
      <c r="G47" s="52">
        <f>'2023年'!G47</f>
        <v>33.015000000000001</v>
      </c>
      <c r="H47" s="52">
        <f>'2023年'!H47</f>
        <v>26.838000000000001</v>
      </c>
      <c r="I47" s="52">
        <f>'2023年'!I47</f>
        <v>7.4550000000000001</v>
      </c>
      <c r="J47" s="52">
        <f>'2023年'!J47</f>
        <v>10.010999999999999</v>
      </c>
      <c r="K47" s="52">
        <f>'2023年'!K47</f>
        <v>10.010999999999999</v>
      </c>
      <c r="L47" s="52"/>
      <c r="AH47" s="47" t="s">
        <v>27</v>
      </c>
      <c r="AI47" s="47" t="s">
        <v>85</v>
      </c>
    </row>
    <row r="48" spans="1:35">
      <c r="A48" s="39" t="s">
        <v>78</v>
      </c>
      <c r="B48" s="42" t="s">
        <v>96</v>
      </c>
      <c r="C48" s="46">
        <f>C40-C43-C44-C45-C47-C46</f>
        <v>-46.86083714297429</v>
      </c>
      <c r="D48" s="46">
        <f t="shared" ref="D48:K48" si="52">D40-D43-D44-D45-D47-D46</f>
        <v>-49.274968342974276</v>
      </c>
      <c r="E48" s="46">
        <f t="shared" si="52"/>
        <v>75.017924565358044</v>
      </c>
      <c r="F48" s="46">
        <f t="shared" si="52"/>
        <v>22.754489230051252</v>
      </c>
      <c r="G48" s="46">
        <f t="shared" si="52"/>
        <v>54.210324339461195</v>
      </c>
      <c r="H48" s="46">
        <f t="shared" si="52"/>
        <v>73.186783342017009</v>
      </c>
      <c r="I48" s="46">
        <f t="shared" si="52"/>
        <v>56.770244565358027</v>
      </c>
      <c r="J48" s="46">
        <f t="shared" ref="J48" si="53">J40-J43-J44-J45-J47-J46</f>
        <v>-173.57715074297428</v>
      </c>
      <c r="K48" s="46">
        <f t="shared" si="52"/>
        <v>-65.39928194297427</v>
      </c>
      <c r="L48" s="46"/>
      <c r="AH48" s="39" t="s">
        <v>95</v>
      </c>
      <c r="AI48" s="42" t="s">
        <v>96</v>
      </c>
    </row>
    <row r="51" spans="2:17">
      <c r="C51" s="53"/>
      <c r="D51" s="53"/>
      <c r="E51" s="53"/>
      <c r="F51" s="53"/>
      <c r="G51" s="53"/>
      <c r="H51" s="53"/>
      <c r="I51" s="53"/>
      <c r="J51" s="53"/>
      <c r="K51" s="53"/>
    </row>
    <row r="54" spans="2:17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4"/>
      <c r="N54" s="54"/>
      <c r="O54" s="54"/>
      <c r="P54" s="54"/>
      <c r="Q54" s="54"/>
    </row>
    <row r="55" spans="2:17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4"/>
      <c r="N55" s="54"/>
      <c r="O55" s="54"/>
      <c r="P55" s="54"/>
      <c r="Q55" s="54"/>
    </row>
    <row r="56" spans="2:17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4"/>
      <c r="N56" s="54"/>
      <c r="O56" s="54"/>
      <c r="P56" s="54"/>
      <c r="Q56" s="54"/>
    </row>
    <row r="57" spans="2:17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4"/>
      <c r="N57" s="54"/>
      <c r="O57" s="54"/>
      <c r="P57" s="54"/>
      <c r="Q57" s="54"/>
    </row>
    <row r="58" spans="2:17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4"/>
      <c r="N58" s="54"/>
      <c r="O58" s="54"/>
      <c r="P58" s="54"/>
      <c r="Q58" s="54"/>
    </row>
    <row r="59" spans="2:17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4"/>
      <c r="N59" s="54"/>
      <c r="O59" s="54"/>
      <c r="P59" s="54"/>
      <c r="Q59" s="54"/>
    </row>
    <row r="60" spans="2:17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4"/>
      <c r="N60" s="54"/>
      <c r="O60" s="54"/>
      <c r="P60" s="54"/>
      <c r="Q60" s="54"/>
    </row>
    <row r="61" spans="2:17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4"/>
      <c r="N61" s="54"/>
      <c r="O61" s="54"/>
      <c r="P61" s="54"/>
      <c r="Q61" s="54"/>
    </row>
    <row r="62" spans="2:17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4"/>
      <c r="N62" s="54"/>
      <c r="O62" s="54"/>
      <c r="P62" s="54"/>
      <c r="Q62" s="54"/>
    </row>
    <row r="63" spans="2:17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4"/>
      <c r="N63" s="54"/>
      <c r="O63" s="54"/>
      <c r="P63" s="54"/>
      <c r="Q63" s="54"/>
    </row>
    <row r="64" spans="2:17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4"/>
      <c r="N64" s="54"/>
      <c r="O64" s="54"/>
      <c r="P64" s="54"/>
      <c r="Q64" s="54"/>
    </row>
    <row r="65" spans="2:17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4"/>
      <c r="N65" s="54"/>
      <c r="O65" s="54"/>
      <c r="P65" s="54"/>
      <c r="Q65" s="54"/>
    </row>
    <row r="66" spans="2:17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4"/>
      <c r="N66" s="54"/>
      <c r="O66" s="54"/>
      <c r="P66" s="54"/>
      <c r="Q66" s="54"/>
    </row>
    <row r="67" spans="2:17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4"/>
    </row>
    <row r="68" spans="2:17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4"/>
    </row>
    <row r="69" spans="2:17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4"/>
    </row>
    <row r="70" spans="2:17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4"/>
    </row>
    <row r="71" spans="2:17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4"/>
    </row>
    <row r="72" spans="2:17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4"/>
    </row>
    <row r="73" spans="2:17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4"/>
    </row>
    <row r="74" spans="2:17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4"/>
    </row>
  </sheetData>
  <mergeCells count="8">
    <mergeCell ref="L3:L5"/>
    <mergeCell ref="C2:L2"/>
    <mergeCell ref="C1:L1"/>
    <mergeCell ref="A1:B1"/>
    <mergeCell ref="A2:B2"/>
    <mergeCell ref="A3:B3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8" activePane="bottomRight" state="frozen"/>
      <selection pane="topRight"/>
      <selection pane="bottomLeft"/>
      <selection pane="bottomRight" activeCell="D35" sqref="D35"/>
    </sheetView>
  </sheetViews>
  <sheetFormatPr defaultColWidth="9" defaultRowHeight="16.5"/>
  <cols>
    <col min="1" max="1" width="5.125" style="35" customWidth="1"/>
    <col min="2" max="2" width="17.5" style="35" customWidth="1"/>
    <col min="3" max="10" width="13.25" style="36" customWidth="1"/>
    <col min="11" max="11" width="18.75" style="36" customWidth="1"/>
    <col min="12" max="12" width="12.375" style="35" customWidth="1"/>
    <col min="13" max="13" width="10.125" style="35" customWidth="1"/>
    <col min="14" max="20" width="9" style="35" customWidth="1"/>
    <col min="21" max="37" width="9" style="35"/>
    <col min="38" max="38" width="4.375" style="35" customWidth="1"/>
    <col min="39" max="39" width="13.875" style="35" customWidth="1"/>
    <col min="40" max="16384" width="9" style="35"/>
  </cols>
  <sheetData>
    <row r="1" spans="1:40">
      <c r="A1" s="244" t="s">
        <v>136</v>
      </c>
      <c r="B1" s="244"/>
      <c r="C1" s="248" t="s">
        <v>228</v>
      </c>
      <c r="D1" s="249"/>
      <c r="E1" s="249"/>
      <c r="F1" s="249"/>
      <c r="G1" s="249"/>
      <c r="H1" s="249"/>
      <c r="I1" s="249"/>
      <c r="J1" s="249"/>
      <c r="K1" s="250"/>
    </row>
    <row r="2" spans="1:40">
      <c r="A2" s="244" t="s">
        <v>137</v>
      </c>
      <c r="B2" s="244"/>
      <c r="C2" s="251" t="str">
        <f>'2023年'!C2:L2</f>
        <v>中国重汽集团</v>
      </c>
      <c r="D2" s="251"/>
      <c r="E2" s="251"/>
      <c r="F2" s="251"/>
      <c r="G2" s="251"/>
      <c r="H2" s="251"/>
      <c r="I2" s="251"/>
      <c r="J2" s="251"/>
      <c r="K2" s="251"/>
    </row>
    <row r="3" spans="1:40" ht="42.75">
      <c r="A3" s="244" t="s">
        <v>138</v>
      </c>
      <c r="B3" s="244"/>
      <c r="C3" s="146" t="str">
        <f>'2023年'!C3</f>
        <v>副驾座椅（NX）</v>
      </c>
      <c r="D3" s="146" t="str">
        <f>'2023年'!D3</f>
        <v>副驾座椅（NX/通风面料）</v>
      </c>
      <c r="E3" s="146" t="str">
        <f>'2023年'!E3</f>
        <v>中间座椅总成 （NX）</v>
      </c>
      <c r="F3" s="146" t="str">
        <f>'2023年'!F3</f>
        <v>驾驶员座椅总成 （NX/阻尼可调/通风加热）</v>
      </c>
      <c r="G3" s="146" t="str">
        <f>'2023年'!G3</f>
        <v>驾驶员座椅总成 （NX/阻尼可调）</v>
      </c>
      <c r="H3" s="146" t="str">
        <f>'2023年'!H3</f>
        <v>驾驶员座椅总成 （NX）</v>
      </c>
      <c r="I3" s="146" t="str">
        <f>'2023年'!I3</f>
        <v>中间座椅总成 （NX/安全带未系报警）</v>
      </c>
      <c r="J3" s="146" t="str">
        <f>'2023年'!K3</f>
        <v>副驾座椅（NX/通风面料/安全带未系报警）</v>
      </c>
      <c r="K3" s="245" t="s">
        <v>15</v>
      </c>
    </row>
    <row r="4" spans="1:40">
      <c r="A4" s="244" t="s">
        <v>139</v>
      </c>
      <c r="B4" s="244"/>
      <c r="C4" s="146" t="str">
        <f>'2023年'!C4</f>
        <v>LZ161751100440</v>
      </c>
      <c r="D4" s="146" t="str">
        <f>'2023年'!D4</f>
        <v>LZ161751100450</v>
      </c>
      <c r="E4" s="146" t="str">
        <f>'2023年'!E4</f>
        <v>LZ161751100460</v>
      </c>
      <c r="F4" s="146" t="str">
        <f>'2023年'!F4</f>
        <v>LZ161751100430</v>
      </c>
      <c r="G4" s="146" t="str">
        <f>'2023年'!G4</f>
        <v>LZ161751100420</v>
      </c>
      <c r="H4" s="146" t="str">
        <f>'2023年'!H4</f>
        <v>LZ161751100410</v>
      </c>
      <c r="I4" s="146" t="str">
        <f>'2023年'!I4</f>
        <v>LZ161751100465</v>
      </c>
      <c r="J4" s="146" t="str">
        <f>'2023年'!K4</f>
        <v>LZ161751100455</v>
      </c>
      <c r="K4" s="246"/>
    </row>
    <row r="5" spans="1:40">
      <c r="A5" s="244" t="s">
        <v>140</v>
      </c>
      <c r="B5" s="244"/>
      <c r="C5" s="38"/>
      <c r="D5" s="38"/>
      <c r="E5" s="38"/>
      <c r="F5" s="38"/>
      <c r="G5" s="38"/>
      <c r="H5" s="38"/>
      <c r="I5" s="38"/>
      <c r="J5" s="38"/>
      <c r="K5" s="247"/>
      <c r="AN5" s="35" t="s">
        <v>16</v>
      </c>
    </row>
    <row r="6" spans="1:40" ht="17.25">
      <c r="A6" s="39" t="s">
        <v>14</v>
      </c>
      <c r="B6" s="40" t="s">
        <v>141</v>
      </c>
      <c r="C6" s="12"/>
      <c r="D6" s="12"/>
      <c r="E6" s="12">
        <f>销量!E12</f>
        <v>0</v>
      </c>
      <c r="F6" s="12">
        <f>销量!F12</f>
        <v>0</v>
      </c>
      <c r="G6" s="12">
        <f>销量!G12</f>
        <v>0</v>
      </c>
      <c r="H6" s="12">
        <f>销量!H12</f>
        <v>0</v>
      </c>
      <c r="I6" s="12">
        <f>销量!I12</f>
        <v>0</v>
      </c>
      <c r="J6" s="12">
        <f>销量!J12</f>
        <v>0</v>
      </c>
      <c r="K6" s="41">
        <f>SUM(C6:J6)</f>
        <v>0</v>
      </c>
      <c r="V6" s="40" t="s">
        <v>3</v>
      </c>
      <c r="AL6" s="39" t="s">
        <v>14</v>
      </c>
      <c r="AM6" s="40" t="s">
        <v>3</v>
      </c>
      <c r="AN6" s="35" t="s">
        <v>17</v>
      </c>
    </row>
    <row r="7" spans="1:40">
      <c r="A7" s="145">
        <v>1</v>
      </c>
      <c r="B7" s="40" t="s">
        <v>18</v>
      </c>
      <c r="C7" s="41">
        <f>C6*销量!C8</f>
        <v>0</v>
      </c>
      <c r="D7" s="41">
        <f>D6*销量!D8</f>
        <v>0</v>
      </c>
      <c r="E7" s="41">
        <f>E6*销量!E8</f>
        <v>0</v>
      </c>
      <c r="F7" s="41">
        <f>F6*销量!F8</f>
        <v>0</v>
      </c>
      <c r="G7" s="41">
        <f>G6*销量!G8</f>
        <v>0</v>
      </c>
      <c r="H7" s="41">
        <f>H6*销量!H8</f>
        <v>0</v>
      </c>
      <c r="I7" s="41">
        <f>I6*销量!I8</f>
        <v>0</v>
      </c>
      <c r="J7" s="41">
        <f>J6*销量!J8</f>
        <v>0</v>
      </c>
      <c r="K7" s="41">
        <f t="shared" ref="K7:K22" si="0">SUM(C7:J7)</f>
        <v>0</v>
      </c>
      <c r="L7" s="36"/>
      <c r="V7" s="40" t="s">
        <v>18</v>
      </c>
      <c r="AL7" s="39" t="s">
        <v>19</v>
      </c>
      <c r="AM7" s="40" t="s">
        <v>18</v>
      </c>
      <c r="AN7" s="35" t="s">
        <v>17</v>
      </c>
    </row>
    <row r="8" spans="1:40">
      <c r="A8" s="145">
        <v>2</v>
      </c>
      <c r="B8" s="145" t="s">
        <v>20</v>
      </c>
      <c r="C8" s="41">
        <f>C7*(1-销量!$O$9)</f>
        <v>0</v>
      </c>
      <c r="D8" s="41">
        <f>D7*(1-销量!$O$9)</f>
        <v>0</v>
      </c>
      <c r="E8" s="41">
        <f>E7*(1-销量!$O$9)</f>
        <v>0</v>
      </c>
      <c r="F8" s="41">
        <f>F7*(1-销量!$O$9)</f>
        <v>0</v>
      </c>
      <c r="G8" s="41">
        <f>G7*(1-销量!$O$9)</f>
        <v>0</v>
      </c>
      <c r="H8" s="41">
        <f>H7*(1-销量!$O$9)</f>
        <v>0</v>
      </c>
      <c r="I8" s="41">
        <f>I7*(1-销量!$O$9)</f>
        <v>0</v>
      </c>
      <c r="J8" s="41">
        <f>J7*(1-销量!$O$9)</f>
        <v>0</v>
      </c>
      <c r="K8" s="41">
        <f t="shared" si="0"/>
        <v>0</v>
      </c>
      <c r="L8" s="56"/>
      <c r="V8" s="145" t="s">
        <v>22</v>
      </c>
      <c r="AL8" s="39" t="s">
        <v>21</v>
      </c>
      <c r="AM8" s="145" t="s">
        <v>22</v>
      </c>
      <c r="AN8" s="35" t="s">
        <v>17</v>
      </c>
    </row>
    <row r="9" spans="1:40">
      <c r="A9" s="145">
        <v>3</v>
      </c>
      <c r="B9" s="40" t="s">
        <v>23</v>
      </c>
      <c r="C9" s="41">
        <f>+C7-C8</f>
        <v>0</v>
      </c>
      <c r="D9" s="41">
        <f t="shared" ref="D9:J9" si="1">+D7-D8</f>
        <v>0</v>
      </c>
      <c r="E9" s="41">
        <f t="shared" si="1"/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si="1"/>
        <v>0</v>
      </c>
      <c r="K9" s="41">
        <f t="shared" si="0"/>
        <v>0</v>
      </c>
      <c r="V9" s="40" t="s">
        <v>23</v>
      </c>
      <c r="AL9" s="39" t="s">
        <v>24</v>
      </c>
      <c r="AM9" s="40" t="s">
        <v>23</v>
      </c>
      <c r="AN9" s="35" t="s">
        <v>25</v>
      </c>
    </row>
    <row r="10" spans="1:40">
      <c r="A10" s="145">
        <v>4</v>
      </c>
      <c r="B10" s="39" t="s">
        <v>26</v>
      </c>
      <c r="C10" s="41">
        <f>C6*C33</f>
        <v>0</v>
      </c>
      <c r="D10" s="41">
        <f t="shared" ref="D10:J10" si="2">D6*D33</f>
        <v>0</v>
      </c>
      <c r="E10" s="41">
        <f t="shared" si="2"/>
        <v>0</v>
      </c>
      <c r="F10" s="41">
        <f t="shared" si="2"/>
        <v>0</v>
      </c>
      <c r="G10" s="41">
        <f t="shared" si="2"/>
        <v>0</v>
      </c>
      <c r="H10" s="41">
        <f t="shared" si="2"/>
        <v>0</v>
      </c>
      <c r="I10" s="41">
        <f t="shared" si="2"/>
        <v>0</v>
      </c>
      <c r="J10" s="41">
        <f t="shared" si="2"/>
        <v>0</v>
      </c>
      <c r="K10" s="41">
        <f t="shared" si="0"/>
        <v>0</v>
      </c>
      <c r="V10" s="39" t="s">
        <v>26</v>
      </c>
      <c r="AL10" s="39" t="s">
        <v>27</v>
      </c>
      <c r="AM10" s="39" t="s">
        <v>26</v>
      </c>
      <c r="AN10" s="35" t="s">
        <v>28</v>
      </c>
    </row>
    <row r="11" spans="1:40">
      <c r="A11" s="145">
        <v>5</v>
      </c>
      <c r="B11" s="39" t="s">
        <v>29</v>
      </c>
      <c r="C11" s="41">
        <f>+C6*C36</f>
        <v>0</v>
      </c>
      <c r="D11" s="41">
        <f t="shared" ref="D11:J11" si="3">+D6*D36</f>
        <v>0</v>
      </c>
      <c r="E11" s="41">
        <f t="shared" si="3"/>
        <v>0</v>
      </c>
      <c r="F11" s="41">
        <f t="shared" si="3"/>
        <v>0</v>
      </c>
      <c r="G11" s="41">
        <f t="shared" si="3"/>
        <v>0</v>
      </c>
      <c r="H11" s="41">
        <f t="shared" si="3"/>
        <v>0</v>
      </c>
      <c r="I11" s="41">
        <f t="shared" si="3"/>
        <v>0</v>
      </c>
      <c r="J11" s="41">
        <f t="shared" si="3"/>
        <v>0</v>
      </c>
      <c r="K11" s="41">
        <f t="shared" si="0"/>
        <v>0</v>
      </c>
      <c r="V11" s="39" t="s">
        <v>29</v>
      </c>
      <c r="AL11" s="39" t="s">
        <v>30</v>
      </c>
      <c r="AM11" s="39" t="s">
        <v>29</v>
      </c>
    </row>
    <row r="12" spans="1:40">
      <c r="A12" s="145">
        <v>6</v>
      </c>
      <c r="B12" s="39" t="s">
        <v>31</v>
      </c>
      <c r="C12" s="41">
        <f>+C6*C37</f>
        <v>0</v>
      </c>
      <c r="D12" s="41">
        <f t="shared" ref="D12:J12" si="4">+D6*D37</f>
        <v>0</v>
      </c>
      <c r="E12" s="41">
        <f t="shared" si="4"/>
        <v>0</v>
      </c>
      <c r="F12" s="41">
        <f t="shared" si="4"/>
        <v>0</v>
      </c>
      <c r="G12" s="41">
        <f t="shared" si="4"/>
        <v>0</v>
      </c>
      <c r="H12" s="41">
        <f t="shared" si="4"/>
        <v>0</v>
      </c>
      <c r="I12" s="41">
        <f t="shared" si="4"/>
        <v>0</v>
      </c>
      <c r="J12" s="41">
        <f t="shared" si="4"/>
        <v>0</v>
      </c>
      <c r="K12" s="41">
        <f t="shared" si="0"/>
        <v>0</v>
      </c>
      <c r="V12" s="39" t="s">
        <v>31</v>
      </c>
      <c r="AL12" s="39" t="s">
        <v>32</v>
      </c>
      <c r="AM12" s="39" t="s">
        <v>31</v>
      </c>
    </row>
    <row r="13" spans="1:40">
      <c r="A13" s="145">
        <v>7</v>
      </c>
      <c r="B13" s="39" t="s">
        <v>33</v>
      </c>
      <c r="C13" s="41">
        <f>+C6*C38</f>
        <v>0</v>
      </c>
      <c r="D13" s="41">
        <f t="shared" ref="D13:J13" si="5">+D6*D38</f>
        <v>0</v>
      </c>
      <c r="E13" s="41">
        <f t="shared" si="5"/>
        <v>0</v>
      </c>
      <c r="F13" s="41">
        <f t="shared" si="5"/>
        <v>0</v>
      </c>
      <c r="G13" s="41">
        <f t="shared" si="5"/>
        <v>0</v>
      </c>
      <c r="H13" s="41">
        <f t="shared" si="5"/>
        <v>0</v>
      </c>
      <c r="I13" s="41">
        <f t="shared" si="5"/>
        <v>0</v>
      </c>
      <c r="J13" s="41">
        <f t="shared" si="5"/>
        <v>0</v>
      </c>
      <c r="K13" s="41">
        <f t="shared" si="0"/>
        <v>0</v>
      </c>
      <c r="V13" s="39" t="s">
        <v>33</v>
      </c>
      <c r="AL13" s="39" t="s">
        <v>34</v>
      </c>
      <c r="AM13" s="39" t="s">
        <v>33</v>
      </c>
      <c r="AN13" s="35" t="s">
        <v>17</v>
      </c>
    </row>
    <row r="14" spans="1:40">
      <c r="A14" s="145">
        <v>8</v>
      </c>
      <c r="B14" s="42" t="s">
        <v>35</v>
      </c>
      <c r="C14" s="41">
        <f>SUM(C11:C13)</f>
        <v>0</v>
      </c>
      <c r="D14" s="41">
        <f t="shared" ref="D14:J14" si="6">SUM(D11:D13)</f>
        <v>0</v>
      </c>
      <c r="E14" s="41">
        <f t="shared" si="6"/>
        <v>0</v>
      </c>
      <c r="F14" s="41">
        <f t="shared" si="6"/>
        <v>0</v>
      </c>
      <c r="G14" s="41">
        <f t="shared" si="6"/>
        <v>0</v>
      </c>
      <c r="H14" s="41">
        <f t="shared" si="6"/>
        <v>0</v>
      </c>
      <c r="I14" s="41">
        <f t="shared" si="6"/>
        <v>0</v>
      </c>
      <c r="J14" s="41">
        <f t="shared" si="6"/>
        <v>0</v>
      </c>
      <c r="K14" s="41">
        <f t="shared" si="0"/>
        <v>0</v>
      </c>
      <c r="V14" s="42" t="s">
        <v>35</v>
      </c>
      <c r="AL14" s="39" t="s">
        <v>36</v>
      </c>
      <c r="AM14" s="42" t="s">
        <v>35</v>
      </c>
    </row>
    <row r="15" spans="1:40">
      <c r="A15" s="145">
        <v>9</v>
      </c>
      <c r="B15" s="42" t="s">
        <v>37</v>
      </c>
      <c r="C15" s="41">
        <f>+C9-C10-C14</f>
        <v>0</v>
      </c>
      <c r="D15" s="41">
        <f t="shared" ref="D15:J15" si="7">+D9-D10-D14</f>
        <v>0</v>
      </c>
      <c r="E15" s="41">
        <f t="shared" si="7"/>
        <v>0</v>
      </c>
      <c r="F15" s="41">
        <f t="shared" si="7"/>
        <v>0</v>
      </c>
      <c r="G15" s="41">
        <f t="shared" si="7"/>
        <v>0</v>
      </c>
      <c r="H15" s="41">
        <f t="shared" si="7"/>
        <v>0</v>
      </c>
      <c r="I15" s="41">
        <f t="shared" si="7"/>
        <v>0</v>
      </c>
      <c r="J15" s="41">
        <f t="shared" si="7"/>
        <v>0</v>
      </c>
      <c r="K15" s="41">
        <f t="shared" si="0"/>
        <v>0</v>
      </c>
      <c r="V15" s="42" t="s">
        <v>37</v>
      </c>
      <c r="AL15" s="39" t="s">
        <v>38</v>
      </c>
      <c r="AM15" s="42" t="s">
        <v>37</v>
      </c>
    </row>
    <row r="16" spans="1:40">
      <c r="A16" s="145">
        <v>10</v>
      </c>
      <c r="B16" s="39" t="s">
        <v>39</v>
      </c>
      <c r="C16" s="43" t="e">
        <f>+C15/C9</f>
        <v>#DIV/0!</v>
      </c>
      <c r="D16" s="43" t="e">
        <f t="shared" ref="D16:J16" si="8">+D15/D9</f>
        <v>#DIV/0!</v>
      </c>
      <c r="E16" s="43" t="e">
        <f t="shared" si="8"/>
        <v>#DIV/0!</v>
      </c>
      <c r="F16" s="43" t="e">
        <f t="shared" si="8"/>
        <v>#DIV/0!</v>
      </c>
      <c r="G16" s="43" t="e">
        <f t="shared" si="8"/>
        <v>#DIV/0!</v>
      </c>
      <c r="H16" s="43" t="e">
        <f t="shared" si="8"/>
        <v>#DIV/0!</v>
      </c>
      <c r="I16" s="43" t="e">
        <f t="shared" si="8"/>
        <v>#DIV/0!</v>
      </c>
      <c r="J16" s="43" t="e">
        <f t="shared" si="8"/>
        <v>#DIV/0!</v>
      </c>
      <c r="K16" s="43" t="e">
        <f t="shared" ref="K16" si="9">+K15/K9</f>
        <v>#DIV/0!</v>
      </c>
      <c r="V16" s="39" t="s">
        <v>39</v>
      </c>
      <c r="AL16" s="39" t="s">
        <v>40</v>
      </c>
      <c r="AM16" s="39" t="s">
        <v>39</v>
      </c>
    </row>
    <row r="17" spans="1:40">
      <c r="A17" s="145">
        <v>11</v>
      </c>
      <c r="B17" s="39" t="s">
        <v>41</v>
      </c>
      <c r="C17" s="41" t="e">
        <f>C6*C43+C18</f>
        <v>#DIV/0!</v>
      </c>
      <c r="D17" s="41" t="e">
        <f t="shared" ref="D17:J17" si="10">D6*D43+D18</f>
        <v>#DIV/0!</v>
      </c>
      <c r="E17" s="41" t="e">
        <f t="shared" si="10"/>
        <v>#DIV/0!</v>
      </c>
      <c r="F17" s="41" t="e">
        <f t="shared" si="10"/>
        <v>#DIV/0!</v>
      </c>
      <c r="G17" s="41" t="e">
        <f t="shared" si="10"/>
        <v>#DIV/0!</v>
      </c>
      <c r="H17" s="41" t="e">
        <f t="shared" si="10"/>
        <v>#DIV/0!</v>
      </c>
      <c r="I17" s="41" t="e">
        <f t="shared" si="10"/>
        <v>#DIV/0!</v>
      </c>
      <c r="J17" s="41" t="e">
        <f t="shared" si="10"/>
        <v>#DIV/0!</v>
      </c>
      <c r="K17" s="41" t="e">
        <f t="shared" si="0"/>
        <v>#DIV/0!</v>
      </c>
      <c r="L17" s="56"/>
      <c r="V17" s="39" t="s">
        <v>41</v>
      </c>
      <c r="AL17" s="39" t="s">
        <v>42</v>
      </c>
      <c r="AM17" s="39" t="s">
        <v>41</v>
      </c>
    </row>
    <row r="18" spans="1:40" s="33" customFormat="1">
      <c r="A18" s="145">
        <v>12</v>
      </c>
      <c r="B18" s="44" t="s">
        <v>142</v>
      </c>
      <c r="C18" s="45" t="e">
        <f>$K$18/$K$6*C6</f>
        <v>#DIV/0!</v>
      </c>
      <c r="D18" s="45" t="e">
        <f t="shared" ref="D18:J18" si="11">$K$18/$K$6*D6</f>
        <v>#DIV/0!</v>
      </c>
      <c r="E18" s="45" t="e">
        <f t="shared" si="11"/>
        <v>#DIV/0!</v>
      </c>
      <c r="F18" s="45" t="e">
        <f t="shared" si="11"/>
        <v>#DIV/0!</v>
      </c>
      <c r="G18" s="45" t="e">
        <f t="shared" si="11"/>
        <v>#DIV/0!</v>
      </c>
      <c r="H18" s="45" t="e">
        <f t="shared" si="11"/>
        <v>#DIV/0!</v>
      </c>
      <c r="I18" s="45" t="e">
        <f t="shared" si="11"/>
        <v>#DIV/0!</v>
      </c>
      <c r="J18" s="45" t="e">
        <f t="shared" si="11"/>
        <v>#DIV/0!</v>
      </c>
      <c r="K18" s="45">
        <f>项目投资!D26</f>
        <v>109250</v>
      </c>
      <c r="L18" s="57" t="s">
        <v>143</v>
      </c>
      <c r="M18" s="57"/>
      <c r="N18" s="57"/>
    </row>
    <row r="19" spans="1:40">
      <c r="A19" s="145">
        <v>13</v>
      </c>
      <c r="B19" s="39" t="s">
        <v>43</v>
      </c>
      <c r="C19" s="41">
        <f>C6*C44</f>
        <v>0</v>
      </c>
      <c r="D19" s="41">
        <f t="shared" ref="D19:J19" si="12">D6*D44</f>
        <v>0</v>
      </c>
      <c r="E19" s="41">
        <f t="shared" si="12"/>
        <v>0</v>
      </c>
      <c r="F19" s="41">
        <f t="shared" si="12"/>
        <v>0</v>
      </c>
      <c r="G19" s="41">
        <f t="shared" si="12"/>
        <v>0</v>
      </c>
      <c r="H19" s="41">
        <f t="shared" si="12"/>
        <v>0</v>
      </c>
      <c r="I19" s="41">
        <f t="shared" si="12"/>
        <v>0</v>
      </c>
      <c r="J19" s="41">
        <f t="shared" si="12"/>
        <v>0</v>
      </c>
      <c r="K19" s="41">
        <f t="shared" si="0"/>
        <v>0</v>
      </c>
      <c r="L19" s="33"/>
      <c r="V19" s="39" t="s">
        <v>43</v>
      </c>
      <c r="AL19" s="39" t="s">
        <v>44</v>
      </c>
      <c r="AM19" s="39" t="s">
        <v>43</v>
      </c>
      <c r="AN19" s="35" t="s">
        <v>17</v>
      </c>
    </row>
    <row r="20" spans="1:40">
      <c r="A20" s="145">
        <v>14</v>
      </c>
      <c r="B20" s="39" t="s">
        <v>45</v>
      </c>
      <c r="C20" s="41">
        <f>C6*C45</f>
        <v>0</v>
      </c>
      <c r="D20" s="41">
        <f t="shared" ref="D20:J20" si="13">D6*D45</f>
        <v>0</v>
      </c>
      <c r="E20" s="41">
        <f t="shared" si="13"/>
        <v>0</v>
      </c>
      <c r="F20" s="41">
        <f t="shared" si="13"/>
        <v>0</v>
      </c>
      <c r="G20" s="41">
        <f t="shared" si="13"/>
        <v>0</v>
      </c>
      <c r="H20" s="41">
        <f t="shared" si="13"/>
        <v>0</v>
      </c>
      <c r="I20" s="41">
        <f t="shared" si="13"/>
        <v>0</v>
      </c>
      <c r="J20" s="41">
        <f t="shared" si="13"/>
        <v>0</v>
      </c>
      <c r="K20" s="41">
        <f t="shared" si="0"/>
        <v>0</v>
      </c>
      <c r="V20" s="39" t="s">
        <v>45</v>
      </c>
      <c r="AL20" s="39" t="s">
        <v>46</v>
      </c>
      <c r="AM20" s="39" t="s">
        <v>45</v>
      </c>
    </row>
    <row r="21" spans="1:40">
      <c r="A21" s="145">
        <v>15</v>
      </c>
      <c r="B21" s="39" t="s">
        <v>47</v>
      </c>
      <c r="C21" s="46" t="e">
        <f>$K$21/$K$6*C6</f>
        <v>#DIV/0!</v>
      </c>
      <c r="D21" s="46" t="e">
        <f t="shared" ref="D21:J21" si="14">$K$21/$K$6*D6</f>
        <v>#DIV/0!</v>
      </c>
      <c r="E21" s="46" t="e">
        <f t="shared" si="14"/>
        <v>#DIV/0!</v>
      </c>
      <c r="F21" s="46" t="e">
        <f t="shared" si="14"/>
        <v>#DIV/0!</v>
      </c>
      <c r="G21" s="46" t="e">
        <f t="shared" si="14"/>
        <v>#DIV/0!</v>
      </c>
      <c r="H21" s="46" t="e">
        <f t="shared" si="14"/>
        <v>#DIV/0!</v>
      </c>
      <c r="I21" s="46" t="e">
        <f t="shared" si="14"/>
        <v>#DIV/0!</v>
      </c>
      <c r="J21" s="46" t="e">
        <f t="shared" si="14"/>
        <v>#DIV/0!</v>
      </c>
      <c r="K21" s="41">
        <f>项目投资!G27</f>
        <v>0</v>
      </c>
      <c r="V21" s="39" t="s">
        <v>47</v>
      </c>
      <c r="AL21" s="39"/>
      <c r="AM21" s="39"/>
    </row>
    <row r="22" spans="1:40">
      <c r="A22" s="145">
        <v>16</v>
      </c>
      <c r="B22" s="39" t="s">
        <v>48</v>
      </c>
      <c r="C22" s="41">
        <f>C6*C47</f>
        <v>0</v>
      </c>
      <c r="D22" s="41">
        <f t="shared" ref="D22:J22" si="15">D6*D47</f>
        <v>0</v>
      </c>
      <c r="E22" s="41">
        <f t="shared" si="15"/>
        <v>0</v>
      </c>
      <c r="F22" s="41">
        <f t="shared" si="15"/>
        <v>0</v>
      </c>
      <c r="G22" s="41">
        <f t="shared" si="15"/>
        <v>0</v>
      </c>
      <c r="H22" s="41">
        <f t="shared" si="15"/>
        <v>0</v>
      </c>
      <c r="I22" s="41">
        <f t="shared" si="15"/>
        <v>0</v>
      </c>
      <c r="J22" s="41">
        <f t="shared" si="15"/>
        <v>0</v>
      </c>
      <c r="K22" s="41">
        <f t="shared" si="0"/>
        <v>0</v>
      </c>
      <c r="V22" s="39" t="s">
        <v>48</v>
      </c>
      <c r="AL22" s="39" t="s">
        <v>49</v>
      </c>
      <c r="AM22" s="39" t="s">
        <v>48</v>
      </c>
    </row>
    <row r="23" spans="1:40">
      <c r="A23" s="145">
        <v>17</v>
      </c>
      <c r="B23" s="42" t="s">
        <v>50</v>
      </c>
      <c r="C23" s="46" t="e">
        <f>+C22+C21+C20+C19+C17</f>
        <v>#DIV/0!</v>
      </c>
      <c r="D23" s="46" t="e">
        <f t="shared" ref="D23:J23" si="16">+D22+D21+D20+D19+D17</f>
        <v>#DIV/0!</v>
      </c>
      <c r="E23" s="46" t="e">
        <f t="shared" si="16"/>
        <v>#DIV/0!</v>
      </c>
      <c r="F23" s="46" t="e">
        <f t="shared" si="16"/>
        <v>#DIV/0!</v>
      </c>
      <c r="G23" s="46" t="e">
        <f t="shared" si="16"/>
        <v>#DIV/0!</v>
      </c>
      <c r="H23" s="46" t="e">
        <f t="shared" si="16"/>
        <v>#DIV/0!</v>
      </c>
      <c r="I23" s="46" t="e">
        <f t="shared" si="16"/>
        <v>#DIV/0!</v>
      </c>
      <c r="J23" s="46" t="e">
        <f t="shared" si="16"/>
        <v>#DIV/0!</v>
      </c>
      <c r="K23" s="46" t="e">
        <f t="shared" ref="K23" si="17">+K22+K21+K20+K19+K17</f>
        <v>#DIV/0!</v>
      </c>
      <c r="V23" s="42" t="s">
        <v>50</v>
      </c>
      <c r="AL23" s="39" t="s">
        <v>51</v>
      </c>
      <c r="AM23" s="42" t="s">
        <v>50</v>
      </c>
    </row>
    <row r="24" spans="1:40">
      <c r="A24" s="145">
        <v>18</v>
      </c>
      <c r="B24" s="47" t="s">
        <v>52</v>
      </c>
      <c r="C24" s="46" t="e">
        <f>+C15-C23</f>
        <v>#DIV/0!</v>
      </c>
      <c r="D24" s="46" t="e">
        <f t="shared" ref="D24:J24" si="18">+D15-D23</f>
        <v>#DIV/0!</v>
      </c>
      <c r="E24" s="46" t="e">
        <f t="shared" si="18"/>
        <v>#DIV/0!</v>
      </c>
      <c r="F24" s="46" t="e">
        <f t="shared" si="18"/>
        <v>#DIV/0!</v>
      </c>
      <c r="G24" s="46" t="e">
        <f t="shared" si="18"/>
        <v>#DIV/0!</v>
      </c>
      <c r="H24" s="46" t="e">
        <f t="shared" si="18"/>
        <v>#DIV/0!</v>
      </c>
      <c r="I24" s="46" t="e">
        <f t="shared" si="18"/>
        <v>#DIV/0!</v>
      </c>
      <c r="J24" s="46" t="e">
        <f t="shared" si="18"/>
        <v>#DIV/0!</v>
      </c>
      <c r="K24" s="46" t="e">
        <f t="shared" ref="K24" si="19">+K15-K23</f>
        <v>#DIV/0!</v>
      </c>
      <c r="M24" s="58"/>
      <c r="V24" s="39" t="s">
        <v>52</v>
      </c>
      <c r="AL24" s="39" t="s">
        <v>53</v>
      </c>
      <c r="AM24" s="39" t="s">
        <v>52</v>
      </c>
    </row>
    <row r="25" spans="1:40">
      <c r="A25" s="145">
        <v>19</v>
      </c>
      <c r="B25" s="39" t="s">
        <v>229</v>
      </c>
      <c r="C25" s="46" t="e">
        <f>IF(C24&lt;0,0,C24*0.15)</f>
        <v>#DIV/0!</v>
      </c>
      <c r="D25" s="46" t="e">
        <f t="shared" ref="D25:J25" si="20">IF(D24&lt;0,0,D24*0.15)</f>
        <v>#DIV/0!</v>
      </c>
      <c r="E25" s="46" t="e">
        <f t="shared" si="20"/>
        <v>#DIV/0!</v>
      </c>
      <c r="F25" s="46" t="e">
        <f t="shared" si="20"/>
        <v>#DIV/0!</v>
      </c>
      <c r="G25" s="46" t="e">
        <f t="shared" si="20"/>
        <v>#DIV/0!</v>
      </c>
      <c r="H25" s="46" t="e">
        <f t="shared" si="20"/>
        <v>#DIV/0!</v>
      </c>
      <c r="I25" s="46" t="e">
        <f t="shared" si="20"/>
        <v>#DIV/0!</v>
      </c>
      <c r="J25" s="46" t="e">
        <f t="shared" si="20"/>
        <v>#DIV/0!</v>
      </c>
      <c r="K25" s="46" t="e">
        <f>IF(K24&lt;0,0,K24*0.15)</f>
        <v>#DIV/0!</v>
      </c>
      <c r="L25" s="54"/>
      <c r="M25" s="54"/>
      <c r="N25" s="54"/>
      <c r="V25" s="39" t="s">
        <v>54</v>
      </c>
      <c r="AL25" s="39" t="s">
        <v>55</v>
      </c>
      <c r="AM25" s="39" t="s">
        <v>54</v>
      </c>
    </row>
    <row r="26" spans="1:40">
      <c r="A26" s="145">
        <v>20</v>
      </c>
      <c r="B26" s="39" t="s">
        <v>56</v>
      </c>
      <c r="C26" s="46" t="e">
        <f t="shared" ref="C26" si="21">C24-C25</f>
        <v>#DIV/0!</v>
      </c>
      <c r="D26" s="46" t="e">
        <f t="shared" ref="D26:J26" si="22">D24-D25</f>
        <v>#DIV/0!</v>
      </c>
      <c r="E26" s="46" t="e">
        <f t="shared" si="22"/>
        <v>#DIV/0!</v>
      </c>
      <c r="F26" s="46" t="e">
        <f t="shared" si="22"/>
        <v>#DIV/0!</v>
      </c>
      <c r="G26" s="46" t="e">
        <f t="shared" si="22"/>
        <v>#DIV/0!</v>
      </c>
      <c r="H26" s="46" t="e">
        <f t="shared" si="22"/>
        <v>#DIV/0!</v>
      </c>
      <c r="I26" s="46" t="e">
        <f t="shared" si="22"/>
        <v>#DIV/0!</v>
      </c>
      <c r="J26" s="46" t="e">
        <f t="shared" si="22"/>
        <v>#DIV/0!</v>
      </c>
      <c r="K26" s="41" t="e">
        <f>+SUM(C26:J26)</f>
        <v>#DIV/0!</v>
      </c>
      <c r="L26" s="54"/>
      <c r="M26" s="54"/>
      <c r="N26" s="54"/>
      <c r="V26" s="39" t="s">
        <v>56</v>
      </c>
      <c r="AL26" s="39" t="s">
        <v>57</v>
      </c>
      <c r="AM26" s="39" t="s">
        <v>56</v>
      </c>
    </row>
    <row r="27" spans="1:40">
      <c r="A27" s="145">
        <v>21</v>
      </c>
      <c r="B27" s="39" t="s">
        <v>60</v>
      </c>
      <c r="C27" s="48" t="e">
        <f t="shared" ref="C27:K27" si="23">C26/C7</f>
        <v>#DIV/0!</v>
      </c>
      <c r="D27" s="48" t="e">
        <f t="shared" ref="D27:J27" si="24">D26/D7</f>
        <v>#DIV/0!</v>
      </c>
      <c r="E27" s="48" t="e">
        <f t="shared" si="24"/>
        <v>#DIV/0!</v>
      </c>
      <c r="F27" s="48" t="e">
        <f t="shared" si="24"/>
        <v>#DIV/0!</v>
      </c>
      <c r="G27" s="48" t="e">
        <f t="shared" si="24"/>
        <v>#DIV/0!</v>
      </c>
      <c r="H27" s="48" t="e">
        <f t="shared" si="24"/>
        <v>#DIV/0!</v>
      </c>
      <c r="I27" s="48" t="e">
        <f t="shared" si="24"/>
        <v>#DIV/0!</v>
      </c>
      <c r="J27" s="48" t="e">
        <f t="shared" si="24"/>
        <v>#DIV/0!</v>
      </c>
      <c r="K27" s="48" t="e">
        <f t="shared" si="23"/>
        <v>#DIV/0!</v>
      </c>
      <c r="L27" s="54"/>
      <c r="M27" s="54"/>
      <c r="N27" s="54"/>
      <c r="V27" s="39" t="s">
        <v>60</v>
      </c>
      <c r="AL27" s="39" t="s">
        <v>59</v>
      </c>
      <c r="AM27" s="39" t="s">
        <v>60</v>
      </c>
    </row>
    <row r="28" spans="1:40">
      <c r="L28" s="54"/>
      <c r="M28" s="54"/>
      <c r="N28" s="54"/>
      <c r="V28" s="39"/>
    </row>
    <row r="29" spans="1:40">
      <c r="A29" s="35" t="s">
        <v>61</v>
      </c>
      <c r="K29" s="36" t="s">
        <v>144</v>
      </c>
      <c r="L29" s="54"/>
      <c r="M29" s="54"/>
      <c r="N29" s="54"/>
      <c r="V29" s="39"/>
      <c r="AL29" s="35" t="s">
        <v>61</v>
      </c>
    </row>
    <row r="30" spans="1:40">
      <c r="A30" s="39" t="s">
        <v>62</v>
      </c>
      <c r="B30" s="42" t="s">
        <v>63</v>
      </c>
      <c r="C30" s="46"/>
      <c r="D30" s="46"/>
      <c r="E30" s="46"/>
      <c r="F30" s="46"/>
      <c r="G30" s="46"/>
      <c r="H30" s="46"/>
      <c r="I30" s="46"/>
      <c r="J30" s="46"/>
      <c r="K30" s="46"/>
      <c r="L30" s="54"/>
      <c r="M30" s="54"/>
      <c r="N30" s="54"/>
      <c r="P30" s="54"/>
      <c r="V30" s="42" t="s">
        <v>63</v>
      </c>
      <c r="AL30" s="39" t="s">
        <v>64</v>
      </c>
      <c r="AM30" s="42" t="s">
        <v>63</v>
      </c>
    </row>
    <row r="31" spans="1:40">
      <c r="A31" s="145">
        <v>1</v>
      </c>
      <c r="B31" s="44" t="s">
        <v>65</v>
      </c>
      <c r="C31" s="50">
        <f>'2023年'!C31</f>
        <v>470</v>
      </c>
      <c r="D31" s="50">
        <f>'2023年'!D31</f>
        <v>470</v>
      </c>
      <c r="E31" s="50">
        <f>'2023年'!E31</f>
        <v>350</v>
      </c>
      <c r="F31" s="50">
        <f>'2023年'!F31</f>
        <v>2050</v>
      </c>
      <c r="G31" s="50">
        <f>'2023年'!G31</f>
        <v>1550</v>
      </c>
      <c r="H31" s="50">
        <f>'2023年'!H31</f>
        <v>1260</v>
      </c>
      <c r="I31" s="50">
        <f>'2023年'!I31</f>
        <v>350</v>
      </c>
      <c r="J31" s="50">
        <f>'2023年'!K31</f>
        <v>470</v>
      </c>
      <c r="K31" s="46"/>
      <c r="L31" s="54"/>
      <c r="M31" s="54"/>
      <c r="N31" s="54"/>
      <c r="P31" s="54"/>
      <c r="V31" s="39" t="s">
        <v>65</v>
      </c>
      <c r="AL31" s="39" t="s">
        <v>19</v>
      </c>
      <c r="AM31" s="39" t="s">
        <v>65</v>
      </c>
    </row>
    <row r="32" spans="1:40">
      <c r="A32" s="145">
        <v>2</v>
      </c>
      <c r="B32" s="39" t="s">
        <v>145</v>
      </c>
      <c r="C32" s="41" t="e">
        <f>C9/C6</f>
        <v>#DIV/0!</v>
      </c>
      <c r="D32" s="41" t="e">
        <f t="shared" ref="D32:J32" si="25">D9/D6</f>
        <v>#DIV/0!</v>
      </c>
      <c r="E32" s="41" t="e">
        <f t="shared" si="25"/>
        <v>#DIV/0!</v>
      </c>
      <c r="F32" s="41" t="e">
        <f t="shared" si="25"/>
        <v>#DIV/0!</v>
      </c>
      <c r="G32" s="41" t="e">
        <f t="shared" si="25"/>
        <v>#DIV/0!</v>
      </c>
      <c r="H32" s="41" t="e">
        <f t="shared" si="25"/>
        <v>#DIV/0!</v>
      </c>
      <c r="I32" s="41" t="e">
        <f t="shared" si="25"/>
        <v>#DIV/0!</v>
      </c>
      <c r="J32" s="41" t="e">
        <f t="shared" si="25"/>
        <v>#DIV/0!</v>
      </c>
      <c r="K32" s="46"/>
      <c r="L32" s="54"/>
      <c r="M32" s="54"/>
      <c r="N32" s="54"/>
      <c r="O32" s="54"/>
      <c r="P32" s="54"/>
      <c r="Q32" s="54"/>
      <c r="R32" s="54"/>
      <c r="AL32" s="39"/>
      <c r="AM32" s="39"/>
    </row>
    <row r="33" spans="1:39">
      <c r="A33" s="145">
        <v>3</v>
      </c>
      <c r="B33" s="44" t="s">
        <v>66</v>
      </c>
      <c r="C33" s="41">
        <f>'2025年'!C33*(1-0.01)</f>
        <v>364.90714851948115</v>
      </c>
      <c r="D33" s="41">
        <f>'2025年'!D33*(1-0.01)</f>
        <v>367.29713840748116</v>
      </c>
      <c r="E33" s="41">
        <f>'2025年'!E33*(1-0.01)</f>
        <v>161.44309637388778</v>
      </c>
      <c r="F33" s="41">
        <f>'2025年'!F33*(1-0.01)</f>
        <v>1386.2416697923873</v>
      </c>
      <c r="G33" s="41">
        <f>'2025年'!G33*(1-0.01)</f>
        <v>1010.0834011409697</v>
      </c>
      <c r="H33" s="41">
        <f>'2025年'!H33*(1-0.01)</f>
        <v>791.18685143044036</v>
      </c>
      <c r="I33" s="41">
        <f>'2025年'!I33*(1-0.01)</f>
        <v>179.50829957388777</v>
      </c>
      <c r="J33" s="41">
        <f>'2025年'!K33*(1-0.01)</f>
        <v>383.26020887148115</v>
      </c>
      <c r="K33" s="46"/>
      <c r="M33" s="54"/>
      <c r="N33" s="54"/>
      <c r="O33" s="54"/>
      <c r="P33" s="54"/>
      <c r="Q33" s="54"/>
      <c r="R33" s="54"/>
      <c r="V33" s="39" t="s">
        <v>66</v>
      </c>
      <c r="AL33" s="39" t="s">
        <v>21</v>
      </c>
      <c r="AM33" s="39" t="s">
        <v>66</v>
      </c>
    </row>
    <row r="34" spans="1:39" ht="17.25" customHeight="1">
      <c r="A34" s="145">
        <v>4</v>
      </c>
      <c r="B34" s="39" t="s">
        <v>68</v>
      </c>
      <c r="C34" s="51" t="e">
        <f>C32-C33</f>
        <v>#DIV/0!</v>
      </c>
      <c r="D34" s="51" t="e">
        <f t="shared" ref="D34:J34" si="26">D32-D33</f>
        <v>#DIV/0!</v>
      </c>
      <c r="E34" s="51" t="e">
        <f t="shared" si="26"/>
        <v>#DIV/0!</v>
      </c>
      <c r="F34" s="51" t="e">
        <f t="shared" si="26"/>
        <v>#DIV/0!</v>
      </c>
      <c r="G34" s="51" t="e">
        <f t="shared" si="26"/>
        <v>#DIV/0!</v>
      </c>
      <c r="H34" s="51" t="e">
        <f t="shared" si="26"/>
        <v>#DIV/0!</v>
      </c>
      <c r="I34" s="51" t="e">
        <f t="shared" si="26"/>
        <v>#DIV/0!</v>
      </c>
      <c r="J34" s="51" t="e">
        <f t="shared" si="26"/>
        <v>#DIV/0!</v>
      </c>
      <c r="K34" s="46"/>
      <c r="M34" s="54"/>
      <c r="N34" s="54"/>
      <c r="O34" s="54"/>
      <c r="P34" s="54"/>
      <c r="Q34" s="54"/>
      <c r="R34" s="54"/>
      <c r="V34" s="39" t="s">
        <v>68</v>
      </c>
      <c r="AL34" s="39" t="s">
        <v>67</v>
      </c>
      <c r="AM34" s="39" t="s">
        <v>68</v>
      </c>
    </row>
    <row r="35" spans="1:39">
      <c r="A35" s="39" t="s">
        <v>64</v>
      </c>
      <c r="B35" s="42" t="s">
        <v>8</v>
      </c>
      <c r="C35" s="46"/>
      <c r="D35" s="46"/>
      <c r="E35" s="46"/>
      <c r="F35" s="46"/>
      <c r="G35" s="46"/>
      <c r="H35" s="46"/>
      <c r="I35" s="46"/>
      <c r="J35" s="46"/>
      <c r="K35" s="46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42" t="s">
        <v>8</v>
      </c>
      <c r="AL35" s="39" t="s">
        <v>70</v>
      </c>
      <c r="AM35" s="42" t="s">
        <v>8</v>
      </c>
    </row>
    <row r="36" spans="1:39">
      <c r="A36" s="145">
        <v>1</v>
      </c>
      <c r="B36" s="39" t="s">
        <v>71</v>
      </c>
      <c r="C36" s="45">
        <f>'2023年'!C36</f>
        <v>26.423393595054016</v>
      </c>
      <c r="D36" s="45">
        <f>'2023年'!D36</f>
        <v>26.423393595054016</v>
      </c>
      <c r="E36" s="45">
        <f>'2023年'!E36</f>
        <v>19.676995230359374</v>
      </c>
      <c r="F36" s="45">
        <f>'2023年'!F36</f>
        <v>115.25097206353347</v>
      </c>
      <c r="G36" s="45">
        <f>'2023年'!G36</f>
        <v>87.140978877305798</v>
      </c>
      <c r="H36" s="45">
        <f>'2023年'!H36</f>
        <v>70.837182829293738</v>
      </c>
      <c r="I36" s="45">
        <f>'2023年'!I36</f>
        <v>19.676995230359374</v>
      </c>
      <c r="J36" s="45">
        <f>'2023年'!K36</f>
        <v>26.423393595054016</v>
      </c>
      <c r="K36" s="50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39" t="s">
        <v>71</v>
      </c>
      <c r="AL36" s="39" t="s">
        <v>67</v>
      </c>
      <c r="AM36" s="39" t="s">
        <v>71</v>
      </c>
    </row>
    <row r="37" spans="1:39">
      <c r="A37" s="145">
        <v>2</v>
      </c>
      <c r="B37" s="39" t="s">
        <v>72</v>
      </c>
      <c r="C37" s="45">
        <f>'2023年'!C37</f>
        <v>7.0857151125060041</v>
      </c>
      <c r="D37" s="45">
        <f>'2023年'!D37</f>
        <v>7.0857151125060041</v>
      </c>
      <c r="E37" s="45">
        <f>'2023年'!E37</f>
        <v>5.2765963603768116</v>
      </c>
      <c r="F37" s="45">
        <f>'2023年'!F37</f>
        <v>30.905778682207039</v>
      </c>
      <c r="G37" s="45">
        <f>'2023年'!G37</f>
        <v>23.367783881668739</v>
      </c>
      <c r="H37" s="45">
        <f>'2023年'!H37</f>
        <v>18.995746897356522</v>
      </c>
      <c r="I37" s="45">
        <f>'2023年'!I37</f>
        <v>5.2765963603768116</v>
      </c>
      <c r="J37" s="45">
        <f>'2023年'!K37</f>
        <v>7.0857151125060041</v>
      </c>
      <c r="K37" s="50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39" t="s">
        <v>72</v>
      </c>
      <c r="AL37" s="39" t="s">
        <v>24</v>
      </c>
      <c r="AM37" s="39" t="s">
        <v>72</v>
      </c>
    </row>
    <row r="38" spans="1:39">
      <c r="A38" s="145">
        <v>3</v>
      </c>
      <c r="B38" s="39" t="s">
        <v>73</v>
      </c>
      <c r="C38" s="45">
        <f>'2023年'!C38</f>
        <v>18.799999999999997</v>
      </c>
      <c r="D38" s="45">
        <f>'2023年'!D38</f>
        <v>18.799999999999997</v>
      </c>
      <c r="E38" s="45">
        <f>'2023年'!E38</f>
        <v>13.999999999999998</v>
      </c>
      <c r="F38" s="45">
        <f>'2023年'!F38</f>
        <v>81.999999999999986</v>
      </c>
      <c r="G38" s="45">
        <f>'2023年'!G38</f>
        <v>61.999999999999993</v>
      </c>
      <c r="H38" s="45">
        <f>'2023年'!H38</f>
        <v>50.399999999999991</v>
      </c>
      <c r="I38" s="45">
        <f>'2023年'!I38</f>
        <v>13.999999999999998</v>
      </c>
      <c r="J38" s="45">
        <f>'2023年'!K38</f>
        <v>18.799999999999997</v>
      </c>
      <c r="K38" s="50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39" t="s">
        <v>73</v>
      </c>
      <c r="AL38" s="39" t="s">
        <v>30</v>
      </c>
      <c r="AM38" s="39" t="s">
        <v>73</v>
      </c>
    </row>
    <row r="39" spans="1:39">
      <c r="A39" s="39" t="s">
        <v>70</v>
      </c>
      <c r="B39" s="42" t="s">
        <v>75</v>
      </c>
      <c r="C39" s="46"/>
      <c r="D39" s="46"/>
      <c r="E39" s="46"/>
      <c r="F39" s="46"/>
      <c r="G39" s="46"/>
      <c r="H39" s="46"/>
      <c r="I39" s="46"/>
      <c r="J39" s="46"/>
      <c r="K39" s="46"/>
      <c r="V39" s="42" t="s">
        <v>75</v>
      </c>
      <c r="AL39" s="39" t="s">
        <v>74</v>
      </c>
      <c r="AM39" s="42" t="s">
        <v>75</v>
      </c>
    </row>
    <row r="40" spans="1:39">
      <c r="A40" s="145">
        <v>1</v>
      </c>
      <c r="B40" s="39" t="s">
        <v>76</v>
      </c>
      <c r="C40" s="46" t="e">
        <f>C34-C36-C37-C38</f>
        <v>#DIV/0!</v>
      </c>
      <c r="D40" s="46" t="e">
        <f t="shared" ref="D40:J40" si="27">D34-D36-D37-D38</f>
        <v>#DIV/0!</v>
      </c>
      <c r="E40" s="46" t="e">
        <f t="shared" si="27"/>
        <v>#DIV/0!</v>
      </c>
      <c r="F40" s="46" t="e">
        <f t="shared" si="27"/>
        <v>#DIV/0!</v>
      </c>
      <c r="G40" s="46" t="e">
        <f t="shared" si="27"/>
        <v>#DIV/0!</v>
      </c>
      <c r="H40" s="46" t="e">
        <f t="shared" si="27"/>
        <v>#DIV/0!</v>
      </c>
      <c r="I40" s="46" t="e">
        <f t="shared" si="27"/>
        <v>#DIV/0!</v>
      </c>
      <c r="J40" s="46" t="e">
        <f t="shared" si="27"/>
        <v>#DIV/0!</v>
      </c>
      <c r="K40" s="46"/>
      <c r="V40" s="39" t="s">
        <v>76</v>
      </c>
      <c r="AL40" s="39" t="s">
        <v>19</v>
      </c>
      <c r="AM40" s="39" t="s">
        <v>76</v>
      </c>
    </row>
    <row r="41" spans="1:39">
      <c r="A41" s="145">
        <v>2</v>
      </c>
      <c r="B41" s="39" t="s">
        <v>77</v>
      </c>
      <c r="C41" s="46"/>
      <c r="D41" s="46"/>
      <c r="E41" s="46"/>
      <c r="F41" s="46"/>
      <c r="G41" s="46"/>
      <c r="H41" s="46"/>
      <c r="I41" s="46"/>
      <c r="J41" s="46"/>
      <c r="K41" s="46"/>
      <c r="V41" s="39" t="s">
        <v>77</v>
      </c>
      <c r="AL41" s="39" t="s">
        <v>21</v>
      </c>
      <c r="AM41" s="39" t="s">
        <v>77</v>
      </c>
    </row>
    <row r="42" spans="1:39">
      <c r="A42" s="39" t="s">
        <v>74</v>
      </c>
      <c r="B42" s="42" t="s">
        <v>79</v>
      </c>
      <c r="C42" s="46"/>
      <c r="D42" s="46"/>
      <c r="E42" s="46"/>
      <c r="F42" s="46"/>
      <c r="G42" s="46"/>
      <c r="H42" s="46"/>
      <c r="I42" s="46"/>
      <c r="J42" s="46"/>
      <c r="K42" s="46"/>
      <c r="V42" s="42" t="s">
        <v>79</v>
      </c>
      <c r="AL42" s="39" t="s">
        <v>78</v>
      </c>
      <c r="AM42" s="42" t="s">
        <v>79</v>
      </c>
    </row>
    <row r="43" spans="1:39">
      <c r="A43" s="145">
        <v>1</v>
      </c>
      <c r="B43" s="47" t="s">
        <v>80</v>
      </c>
      <c r="C43" s="45">
        <f>'2023年'!C43</f>
        <v>21.15</v>
      </c>
      <c r="D43" s="45">
        <f>'2023年'!D43</f>
        <v>21.15</v>
      </c>
      <c r="E43" s="45">
        <f>'2023年'!E43</f>
        <v>15.75</v>
      </c>
      <c r="F43" s="45">
        <f>'2023年'!F43</f>
        <v>92.25</v>
      </c>
      <c r="G43" s="45">
        <f>'2023年'!G43</f>
        <v>69.75</v>
      </c>
      <c r="H43" s="45">
        <f>'2023年'!H43</f>
        <v>56.699999999999996</v>
      </c>
      <c r="I43" s="45">
        <f>'2023年'!I43</f>
        <v>15.75</v>
      </c>
      <c r="J43" s="45">
        <f>'2023年'!K43</f>
        <v>21.15</v>
      </c>
      <c r="K43" s="46"/>
      <c r="V43" s="39" t="s">
        <v>80</v>
      </c>
      <c r="AL43" s="39" t="s">
        <v>19</v>
      </c>
      <c r="AM43" s="39" t="s">
        <v>80</v>
      </c>
    </row>
    <row r="44" spans="1:39">
      <c r="A44" s="145">
        <v>2</v>
      </c>
      <c r="B44" s="47" t="s">
        <v>81</v>
      </c>
      <c r="C44" s="45">
        <f>'2023年'!C44</f>
        <v>3.29</v>
      </c>
      <c r="D44" s="45">
        <f>'2023年'!D44</f>
        <v>3.29</v>
      </c>
      <c r="E44" s="45">
        <f>'2023年'!E44</f>
        <v>2.4500000000000002</v>
      </c>
      <c r="F44" s="45">
        <f>'2023年'!F44</f>
        <v>14.35</v>
      </c>
      <c r="G44" s="45">
        <f>'2023年'!G44</f>
        <v>10.85</v>
      </c>
      <c r="H44" s="45">
        <f>'2023年'!H44</f>
        <v>8.82</v>
      </c>
      <c r="I44" s="45">
        <f>'2023年'!I44</f>
        <v>2.4500000000000002</v>
      </c>
      <c r="J44" s="45">
        <f>'2023年'!K44</f>
        <v>3.29</v>
      </c>
      <c r="K44" s="46"/>
      <c r="V44" s="39" t="s">
        <v>81</v>
      </c>
      <c r="AL44" s="39" t="s">
        <v>21</v>
      </c>
      <c r="AM44" s="39" t="s">
        <v>81</v>
      </c>
    </row>
    <row r="45" spans="1:39">
      <c r="A45" s="145">
        <v>3</v>
      </c>
      <c r="B45" s="47" t="s">
        <v>82</v>
      </c>
      <c r="C45" s="45">
        <f>'2023年'!C45</f>
        <v>18.8</v>
      </c>
      <c r="D45" s="45">
        <f>'2023年'!D45</f>
        <v>18.8</v>
      </c>
      <c r="E45" s="45">
        <f>'2023年'!E45</f>
        <v>14</v>
      </c>
      <c r="F45" s="45">
        <f>'2023年'!F45</f>
        <v>82</v>
      </c>
      <c r="G45" s="45">
        <f>'2023年'!G45</f>
        <v>62</v>
      </c>
      <c r="H45" s="45">
        <f>'2023年'!H45</f>
        <v>50.4</v>
      </c>
      <c r="I45" s="45">
        <f>'2023年'!I45</f>
        <v>14</v>
      </c>
      <c r="J45" s="45">
        <f>'2023年'!K45</f>
        <v>18.8</v>
      </c>
      <c r="K45" s="46"/>
      <c r="V45" s="39" t="s">
        <v>82</v>
      </c>
      <c r="AL45" s="39" t="s">
        <v>67</v>
      </c>
      <c r="AM45" s="39" t="s">
        <v>82</v>
      </c>
    </row>
    <row r="46" spans="1:39" s="34" customFormat="1">
      <c r="A46" s="145">
        <v>4</v>
      </c>
      <c r="B46" s="47" t="s">
        <v>83</v>
      </c>
      <c r="C46" s="52" t="e">
        <f>C21/C6</f>
        <v>#DIV/0!</v>
      </c>
      <c r="D46" s="52" t="e">
        <f t="shared" ref="D46:J46" si="28">D21/D6</f>
        <v>#DIV/0!</v>
      </c>
      <c r="E46" s="52" t="e">
        <f t="shared" si="28"/>
        <v>#DIV/0!</v>
      </c>
      <c r="F46" s="52" t="e">
        <f t="shared" si="28"/>
        <v>#DIV/0!</v>
      </c>
      <c r="G46" s="52" t="e">
        <f t="shared" si="28"/>
        <v>#DIV/0!</v>
      </c>
      <c r="H46" s="52" t="e">
        <f t="shared" si="28"/>
        <v>#DIV/0!</v>
      </c>
      <c r="I46" s="52" t="e">
        <f t="shared" si="28"/>
        <v>#DIV/0!</v>
      </c>
      <c r="J46" s="52" t="e">
        <f t="shared" si="28"/>
        <v>#DIV/0!</v>
      </c>
      <c r="K46" s="52"/>
      <c r="V46" s="47" t="s">
        <v>85</v>
      </c>
      <c r="AL46" s="47" t="s">
        <v>27</v>
      </c>
      <c r="AM46" s="47" t="s">
        <v>85</v>
      </c>
    </row>
    <row r="47" spans="1:39" s="34" customFormat="1">
      <c r="A47" s="145">
        <v>5</v>
      </c>
      <c r="B47" s="47" t="s">
        <v>85</v>
      </c>
      <c r="C47" s="52">
        <f>'2023年'!C47</f>
        <v>10.010999999999999</v>
      </c>
      <c r="D47" s="52">
        <f>'2023年'!D47</f>
        <v>10.010999999999999</v>
      </c>
      <c r="E47" s="52">
        <f>'2023年'!E47</f>
        <v>7.4550000000000001</v>
      </c>
      <c r="F47" s="52">
        <f>'2023年'!F47</f>
        <v>43.664999999999999</v>
      </c>
      <c r="G47" s="52">
        <f>'2023年'!G47</f>
        <v>33.015000000000001</v>
      </c>
      <c r="H47" s="52">
        <f>'2023年'!H47</f>
        <v>26.838000000000001</v>
      </c>
      <c r="I47" s="52">
        <f>'2023年'!I47</f>
        <v>7.4550000000000001</v>
      </c>
      <c r="J47" s="52">
        <f>'2023年'!K47</f>
        <v>10.010999999999999</v>
      </c>
      <c r="K47" s="52"/>
      <c r="V47" s="47" t="s">
        <v>85</v>
      </c>
      <c r="AL47" s="47" t="s">
        <v>27</v>
      </c>
      <c r="AM47" s="47" t="s">
        <v>85</v>
      </c>
    </row>
    <row r="48" spans="1:39">
      <c r="A48" s="39" t="s">
        <v>78</v>
      </c>
      <c r="B48" s="42" t="s">
        <v>96</v>
      </c>
      <c r="C48" s="46" t="e">
        <f>C40-C43-C44-C45-C47-C46</f>
        <v>#DIV/0!</v>
      </c>
      <c r="D48" s="46" t="e">
        <f t="shared" ref="D48:J48" si="29">D40-D43-D44-D45-D47-D46</f>
        <v>#DIV/0!</v>
      </c>
      <c r="E48" s="46" t="e">
        <f t="shared" si="29"/>
        <v>#DIV/0!</v>
      </c>
      <c r="F48" s="46" t="e">
        <f t="shared" si="29"/>
        <v>#DIV/0!</v>
      </c>
      <c r="G48" s="46" t="e">
        <f t="shared" si="29"/>
        <v>#DIV/0!</v>
      </c>
      <c r="H48" s="46" t="e">
        <f t="shared" si="29"/>
        <v>#DIV/0!</v>
      </c>
      <c r="I48" s="46" t="e">
        <f t="shared" si="29"/>
        <v>#DIV/0!</v>
      </c>
      <c r="J48" s="46" t="e">
        <f t="shared" si="29"/>
        <v>#DIV/0!</v>
      </c>
      <c r="K48" s="46"/>
      <c r="V48" s="42" t="s">
        <v>96</v>
      </c>
      <c r="AL48" s="39" t="s">
        <v>95</v>
      </c>
      <c r="AM48" s="42" t="s">
        <v>96</v>
      </c>
    </row>
    <row r="51" spans="2:16">
      <c r="C51" s="53"/>
      <c r="D51" s="53"/>
      <c r="E51" s="53"/>
      <c r="F51" s="53"/>
      <c r="G51" s="53"/>
      <c r="H51" s="53"/>
      <c r="I51" s="53"/>
      <c r="J51" s="53"/>
    </row>
    <row r="54" spans="2:16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4"/>
      <c r="M54" s="54"/>
      <c r="N54" s="54"/>
      <c r="O54" s="54"/>
      <c r="P54" s="54"/>
    </row>
    <row r="55" spans="2:16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4"/>
      <c r="M55" s="54"/>
      <c r="N55" s="54"/>
      <c r="O55" s="54"/>
      <c r="P55" s="54"/>
    </row>
    <row r="56" spans="2:16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4"/>
      <c r="M56" s="54"/>
      <c r="N56" s="54"/>
      <c r="O56" s="54"/>
      <c r="P56" s="54"/>
    </row>
    <row r="57" spans="2:16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4"/>
      <c r="M57" s="54"/>
      <c r="N57" s="54"/>
      <c r="O57" s="54"/>
      <c r="P57" s="54"/>
    </row>
    <row r="58" spans="2:16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4"/>
      <c r="M58" s="54"/>
      <c r="N58" s="54"/>
      <c r="O58" s="54"/>
      <c r="P58" s="54"/>
    </row>
    <row r="59" spans="2:16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4"/>
      <c r="M59" s="54"/>
      <c r="N59" s="54"/>
      <c r="O59" s="54"/>
      <c r="P59" s="54"/>
    </row>
    <row r="60" spans="2:16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4"/>
      <c r="M60" s="54"/>
      <c r="N60" s="54"/>
      <c r="O60" s="54"/>
      <c r="P60" s="54"/>
    </row>
    <row r="61" spans="2:16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4"/>
      <c r="M61" s="54"/>
      <c r="N61" s="54"/>
      <c r="O61" s="54"/>
      <c r="P61" s="54"/>
    </row>
    <row r="62" spans="2:16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4"/>
      <c r="M62" s="54"/>
      <c r="N62" s="54"/>
      <c r="O62" s="54"/>
      <c r="P62" s="54"/>
    </row>
    <row r="63" spans="2:16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4"/>
      <c r="M63" s="54"/>
      <c r="N63" s="54"/>
      <c r="O63" s="54"/>
      <c r="P63" s="54"/>
    </row>
    <row r="64" spans="2:16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4"/>
      <c r="M64" s="54"/>
      <c r="N64" s="54"/>
      <c r="O64" s="54"/>
      <c r="P64" s="54"/>
    </row>
    <row r="65" spans="2:16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4"/>
      <c r="M65" s="54"/>
      <c r="N65" s="54"/>
      <c r="O65" s="54"/>
      <c r="P65" s="54"/>
    </row>
    <row r="66" spans="2:16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4"/>
      <c r="M66" s="54"/>
      <c r="N66" s="54"/>
      <c r="O66" s="54"/>
      <c r="P66" s="54"/>
    </row>
    <row r="67" spans="2:16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4"/>
    </row>
    <row r="68" spans="2:16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4"/>
    </row>
    <row r="69" spans="2:16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4"/>
    </row>
    <row r="70" spans="2:16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4"/>
    </row>
    <row r="71" spans="2:16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4"/>
    </row>
    <row r="72" spans="2:16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4"/>
    </row>
    <row r="73" spans="2:16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4"/>
    </row>
    <row r="74" spans="2:16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4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8" activePane="bottomRight" state="frozen"/>
      <selection pane="topRight"/>
      <selection pane="bottomLeft"/>
      <selection pane="bottomRight" activeCell="E26" sqref="E26"/>
    </sheetView>
  </sheetViews>
  <sheetFormatPr defaultColWidth="9" defaultRowHeight="16.5"/>
  <cols>
    <col min="1" max="1" width="5.125" style="35" customWidth="1"/>
    <col min="2" max="2" width="17.5" style="35" customWidth="1"/>
    <col min="3" max="10" width="13.25" style="36" customWidth="1"/>
    <col min="11" max="11" width="18.75" style="36" customWidth="1"/>
    <col min="12" max="12" width="12.375" style="35" customWidth="1"/>
    <col min="13" max="13" width="10.125" style="35" customWidth="1"/>
    <col min="14" max="20" width="9" style="35" customWidth="1"/>
    <col min="21" max="37" width="9" style="35"/>
    <col min="38" max="38" width="4.375" style="35" customWidth="1"/>
    <col min="39" max="39" width="13.875" style="35" customWidth="1"/>
    <col min="40" max="16384" width="9" style="35"/>
  </cols>
  <sheetData>
    <row r="1" spans="1:40">
      <c r="A1" s="244" t="s">
        <v>136</v>
      </c>
      <c r="B1" s="244"/>
      <c r="C1" s="248" t="s">
        <v>234</v>
      </c>
      <c r="D1" s="249"/>
      <c r="E1" s="249"/>
      <c r="F1" s="249"/>
      <c r="G1" s="249"/>
      <c r="H1" s="249"/>
      <c r="I1" s="249"/>
      <c r="J1" s="249"/>
      <c r="K1" s="250"/>
    </row>
    <row r="2" spans="1:40">
      <c r="A2" s="244" t="s">
        <v>137</v>
      </c>
      <c r="B2" s="244"/>
      <c r="C2" s="251" t="str">
        <f>'2023年'!C2:L2</f>
        <v>中国重汽集团</v>
      </c>
      <c r="D2" s="251"/>
      <c r="E2" s="251"/>
      <c r="F2" s="251"/>
      <c r="G2" s="251"/>
      <c r="H2" s="251"/>
      <c r="I2" s="251"/>
      <c r="J2" s="251"/>
      <c r="K2" s="251"/>
    </row>
    <row r="3" spans="1:40" ht="42.75">
      <c r="A3" s="244" t="s">
        <v>138</v>
      </c>
      <c r="B3" s="244"/>
      <c r="C3" s="146" t="str">
        <f>'2023年'!C3</f>
        <v>副驾座椅（NX）</v>
      </c>
      <c r="D3" s="146" t="str">
        <f>'2023年'!D3</f>
        <v>副驾座椅（NX/通风面料）</v>
      </c>
      <c r="E3" s="146" t="str">
        <f>'2023年'!E3</f>
        <v>中间座椅总成 （NX）</v>
      </c>
      <c r="F3" s="146" t="str">
        <f>'2023年'!F3</f>
        <v>驾驶员座椅总成 （NX/阻尼可调/通风加热）</v>
      </c>
      <c r="G3" s="146" t="str">
        <f>'2023年'!G3</f>
        <v>驾驶员座椅总成 （NX/阻尼可调）</v>
      </c>
      <c r="H3" s="146" t="str">
        <f>'2023年'!H3</f>
        <v>驾驶员座椅总成 （NX）</v>
      </c>
      <c r="I3" s="146" t="str">
        <f>'2023年'!I3</f>
        <v>中间座椅总成 （NX/安全带未系报警）</v>
      </c>
      <c r="J3" s="146" t="str">
        <f>'2023年'!K3</f>
        <v>副驾座椅（NX/通风面料/安全带未系报警）</v>
      </c>
      <c r="K3" s="245" t="s">
        <v>15</v>
      </c>
    </row>
    <row r="4" spans="1:40">
      <c r="A4" s="244" t="s">
        <v>139</v>
      </c>
      <c r="B4" s="244"/>
      <c r="C4" s="146" t="str">
        <f>'2023年'!C4</f>
        <v>LZ161751100440</v>
      </c>
      <c r="D4" s="146" t="str">
        <f>'2023年'!D4</f>
        <v>LZ161751100450</v>
      </c>
      <c r="E4" s="146" t="str">
        <f>'2023年'!E4</f>
        <v>LZ161751100460</v>
      </c>
      <c r="F4" s="146" t="str">
        <f>'2023年'!F4</f>
        <v>LZ161751100430</v>
      </c>
      <c r="G4" s="146" t="str">
        <f>'2023年'!G4</f>
        <v>LZ161751100420</v>
      </c>
      <c r="H4" s="146" t="str">
        <f>'2023年'!H4</f>
        <v>LZ161751100410</v>
      </c>
      <c r="I4" s="146" t="str">
        <f>'2023年'!I4</f>
        <v>LZ161751100465</v>
      </c>
      <c r="J4" s="146" t="str">
        <f>'2023年'!K4</f>
        <v>LZ161751100455</v>
      </c>
      <c r="K4" s="246"/>
    </row>
    <row r="5" spans="1:40">
      <c r="A5" s="244" t="s">
        <v>140</v>
      </c>
      <c r="B5" s="244"/>
      <c r="C5" s="38"/>
      <c r="D5" s="38"/>
      <c r="E5" s="38"/>
      <c r="F5" s="38"/>
      <c r="G5" s="38"/>
      <c r="H5" s="38"/>
      <c r="I5" s="38"/>
      <c r="J5" s="38"/>
      <c r="K5" s="247"/>
      <c r="AN5" s="35" t="s">
        <v>16</v>
      </c>
    </row>
    <row r="6" spans="1:40" ht="17.25">
      <c r="A6" s="39" t="s">
        <v>14</v>
      </c>
      <c r="B6" s="40" t="s">
        <v>141</v>
      </c>
      <c r="C6" s="12">
        <f>销量!C13</f>
        <v>0</v>
      </c>
      <c r="D6" s="12">
        <f>销量!D13</f>
        <v>0</v>
      </c>
      <c r="E6" s="12">
        <f>销量!E13</f>
        <v>0</v>
      </c>
      <c r="F6" s="12">
        <f>销量!F13</f>
        <v>0</v>
      </c>
      <c r="G6" s="12">
        <f>销量!G13</f>
        <v>0</v>
      </c>
      <c r="H6" s="12">
        <f>销量!H13</f>
        <v>0</v>
      </c>
      <c r="I6" s="12">
        <f>销量!I13</f>
        <v>0</v>
      </c>
      <c r="J6" s="12">
        <f>销量!J13</f>
        <v>0</v>
      </c>
      <c r="K6" s="41">
        <f t="shared" ref="K6:K15" si="0">SUM(C6:J6)</f>
        <v>0</v>
      </c>
      <c r="V6" s="40" t="s">
        <v>3</v>
      </c>
      <c r="AL6" s="39" t="s">
        <v>14</v>
      </c>
      <c r="AM6" s="40" t="s">
        <v>3</v>
      </c>
      <c r="AN6" s="35" t="s">
        <v>17</v>
      </c>
    </row>
    <row r="7" spans="1:40">
      <c r="A7" s="145">
        <v>1</v>
      </c>
      <c r="B7" s="40" t="s">
        <v>18</v>
      </c>
      <c r="C7" s="41">
        <f>C6*销量!C8</f>
        <v>0</v>
      </c>
      <c r="D7" s="41">
        <f>D6*销量!D8</f>
        <v>0</v>
      </c>
      <c r="E7" s="41">
        <f>E6*销量!E8</f>
        <v>0</v>
      </c>
      <c r="F7" s="41">
        <f>F6*销量!F8</f>
        <v>0</v>
      </c>
      <c r="G7" s="41">
        <f>G6*销量!G8</f>
        <v>0</v>
      </c>
      <c r="H7" s="41">
        <f>H6*销量!H8</f>
        <v>0</v>
      </c>
      <c r="I7" s="41">
        <f>I6*销量!I8</f>
        <v>0</v>
      </c>
      <c r="J7" s="41">
        <f>J6*销量!J8</f>
        <v>0</v>
      </c>
      <c r="K7" s="41">
        <f t="shared" si="0"/>
        <v>0</v>
      </c>
      <c r="L7" s="36"/>
      <c r="V7" s="40" t="s">
        <v>18</v>
      </c>
      <c r="AL7" s="39" t="s">
        <v>19</v>
      </c>
      <c r="AM7" s="40" t="s">
        <v>18</v>
      </c>
      <c r="AN7" s="35" t="s">
        <v>17</v>
      </c>
    </row>
    <row r="8" spans="1:40">
      <c r="A8" s="145">
        <v>2</v>
      </c>
      <c r="B8" s="145" t="s">
        <v>20</v>
      </c>
      <c r="C8" s="41">
        <f>C7*(1-销量!$O$10)</f>
        <v>0</v>
      </c>
      <c r="D8" s="41">
        <f>D7*(1-销量!$O$10)</f>
        <v>0</v>
      </c>
      <c r="E8" s="41">
        <f>E7*(1-销量!$O$10)</f>
        <v>0</v>
      </c>
      <c r="F8" s="41">
        <f>F7*(1-销量!$O$10)</f>
        <v>0</v>
      </c>
      <c r="G8" s="41">
        <f>G7*(1-销量!$O$10)</f>
        <v>0</v>
      </c>
      <c r="H8" s="41">
        <f>H7*(1-销量!$O$10)</f>
        <v>0</v>
      </c>
      <c r="I8" s="41">
        <f>I7*(1-销量!$O$10)</f>
        <v>0</v>
      </c>
      <c r="J8" s="41">
        <f>J7*(1-销量!$O$10)</f>
        <v>0</v>
      </c>
      <c r="K8" s="41">
        <f t="shared" si="0"/>
        <v>0</v>
      </c>
      <c r="L8" s="56"/>
      <c r="V8" s="145" t="s">
        <v>22</v>
      </c>
      <c r="AL8" s="39" t="s">
        <v>21</v>
      </c>
      <c r="AM8" s="145" t="s">
        <v>22</v>
      </c>
      <c r="AN8" s="35" t="s">
        <v>17</v>
      </c>
    </row>
    <row r="9" spans="1:40">
      <c r="A9" s="145">
        <v>3</v>
      </c>
      <c r="B9" s="40" t="s">
        <v>23</v>
      </c>
      <c r="C9" s="41">
        <f>+C7-C8</f>
        <v>0</v>
      </c>
      <c r="D9" s="41">
        <f t="shared" ref="D9:J9" si="1">+D7-D8</f>
        <v>0</v>
      </c>
      <c r="E9" s="41">
        <f t="shared" si="1"/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si="1"/>
        <v>0</v>
      </c>
      <c r="K9" s="41">
        <f t="shared" si="0"/>
        <v>0</v>
      </c>
      <c r="V9" s="40" t="s">
        <v>23</v>
      </c>
      <c r="AL9" s="39" t="s">
        <v>24</v>
      </c>
      <c r="AM9" s="40" t="s">
        <v>23</v>
      </c>
      <c r="AN9" s="35" t="s">
        <v>25</v>
      </c>
    </row>
    <row r="10" spans="1:40">
      <c r="A10" s="145">
        <v>4</v>
      </c>
      <c r="B10" s="39" t="s">
        <v>26</v>
      </c>
      <c r="C10" s="41">
        <f>C6*C33</f>
        <v>0</v>
      </c>
      <c r="D10" s="41">
        <f t="shared" ref="D10:J10" si="2">D6*D33</f>
        <v>0</v>
      </c>
      <c r="E10" s="41">
        <f t="shared" si="2"/>
        <v>0</v>
      </c>
      <c r="F10" s="41">
        <f t="shared" si="2"/>
        <v>0</v>
      </c>
      <c r="G10" s="41">
        <f t="shared" si="2"/>
        <v>0</v>
      </c>
      <c r="H10" s="41">
        <f t="shared" si="2"/>
        <v>0</v>
      </c>
      <c r="I10" s="41">
        <f t="shared" si="2"/>
        <v>0</v>
      </c>
      <c r="J10" s="41">
        <f t="shared" si="2"/>
        <v>0</v>
      </c>
      <c r="K10" s="41">
        <f t="shared" si="0"/>
        <v>0</v>
      </c>
      <c r="V10" s="39" t="s">
        <v>26</v>
      </c>
      <c r="AL10" s="39" t="s">
        <v>27</v>
      </c>
      <c r="AM10" s="39" t="s">
        <v>26</v>
      </c>
      <c r="AN10" s="35" t="s">
        <v>28</v>
      </c>
    </row>
    <row r="11" spans="1:40">
      <c r="A11" s="145">
        <v>5</v>
      </c>
      <c r="B11" s="39" t="s">
        <v>29</v>
      </c>
      <c r="C11" s="41">
        <f>+C6*C36</f>
        <v>0</v>
      </c>
      <c r="D11" s="41">
        <f t="shared" ref="D11:J11" si="3">+D6*D36</f>
        <v>0</v>
      </c>
      <c r="E11" s="41">
        <f t="shared" si="3"/>
        <v>0</v>
      </c>
      <c r="F11" s="41">
        <f t="shared" si="3"/>
        <v>0</v>
      </c>
      <c r="G11" s="41">
        <f t="shared" si="3"/>
        <v>0</v>
      </c>
      <c r="H11" s="41">
        <f t="shared" si="3"/>
        <v>0</v>
      </c>
      <c r="I11" s="41">
        <f t="shared" si="3"/>
        <v>0</v>
      </c>
      <c r="J11" s="41">
        <f t="shared" si="3"/>
        <v>0</v>
      </c>
      <c r="K11" s="41">
        <f t="shared" si="0"/>
        <v>0</v>
      </c>
      <c r="V11" s="39" t="s">
        <v>29</v>
      </c>
      <c r="AL11" s="39" t="s">
        <v>30</v>
      </c>
      <c r="AM11" s="39" t="s">
        <v>29</v>
      </c>
    </row>
    <row r="12" spans="1:40">
      <c r="A12" s="145">
        <v>6</v>
      </c>
      <c r="B12" s="39" t="s">
        <v>31</v>
      </c>
      <c r="C12" s="41">
        <f>+C6*C37</f>
        <v>0</v>
      </c>
      <c r="D12" s="41">
        <f t="shared" ref="D12:J12" si="4">+D6*D37</f>
        <v>0</v>
      </c>
      <c r="E12" s="41">
        <f t="shared" si="4"/>
        <v>0</v>
      </c>
      <c r="F12" s="41">
        <f t="shared" si="4"/>
        <v>0</v>
      </c>
      <c r="G12" s="41">
        <f t="shared" si="4"/>
        <v>0</v>
      </c>
      <c r="H12" s="41">
        <f t="shared" si="4"/>
        <v>0</v>
      </c>
      <c r="I12" s="41">
        <f t="shared" si="4"/>
        <v>0</v>
      </c>
      <c r="J12" s="41">
        <f t="shared" si="4"/>
        <v>0</v>
      </c>
      <c r="K12" s="41">
        <f t="shared" si="0"/>
        <v>0</v>
      </c>
      <c r="V12" s="39" t="s">
        <v>31</v>
      </c>
      <c r="AL12" s="39" t="s">
        <v>32</v>
      </c>
      <c r="AM12" s="39" t="s">
        <v>31</v>
      </c>
    </row>
    <row r="13" spans="1:40">
      <c r="A13" s="145">
        <v>7</v>
      </c>
      <c r="B13" s="39" t="s">
        <v>33</v>
      </c>
      <c r="C13" s="41">
        <f>+C6*C38</f>
        <v>0</v>
      </c>
      <c r="D13" s="41">
        <f t="shared" ref="D13:J13" si="5">+D6*D38</f>
        <v>0</v>
      </c>
      <c r="E13" s="41">
        <f t="shared" si="5"/>
        <v>0</v>
      </c>
      <c r="F13" s="41">
        <f t="shared" si="5"/>
        <v>0</v>
      </c>
      <c r="G13" s="41">
        <f t="shared" si="5"/>
        <v>0</v>
      </c>
      <c r="H13" s="41">
        <f t="shared" si="5"/>
        <v>0</v>
      </c>
      <c r="I13" s="41">
        <f t="shared" si="5"/>
        <v>0</v>
      </c>
      <c r="J13" s="41">
        <f t="shared" si="5"/>
        <v>0</v>
      </c>
      <c r="K13" s="41">
        <f t="shared" si="0"/>
        <v>0</v>
      </c>
      <c r="V13" s="39" t="s">
        <v>33</v>
      </c>
      <c r="AL13" s="39" t="s">
        <v>34</v>
      </c>
      <c r="AM13" s="39" t="s">
        <v>33</v>
      </c>
      <c r="AN13" s="35" t="s">
        <v>17</v>
      </c>
    </row>
    <row r="14" spans="1:40">
      <c r="A14" s="145">
        <v>8</v>
      </c>
      <c r="B14" s="42" t="s">
        <v>35</v>
      </c>
      <c r="C14" s="41">
        <f>SUM(C11:C13)</f>
        <v>0</v>
      </c>
      <c r="D14" s="41">
        <f t="shared" ref="D14:J14" si="6">SUM(D11:D13)</f>
        <v>0</v>
      </c>
      <c r="E14" s="41">
        <f t="shared" si="6"/>
        <v>0</v>
      </c>
      <c r="F14" s="41">
        <f t="shared" si="6"/>
        <v>0</v>
      </c>
      <c r="G14" s="41">
        <f t="shared" si="6"/>
        <v>0</v>
      </c>
      <c r="H14" s="41">
        <f t="shared" si="6"/>
        <v>0</v>
      </c>
      <c r="I14" s="41">
        <f t="shared" si="6"/>
        <v>0</v>
      </c>
      <c r="J14" s="41">
        <f t="shared" si="6"/>
        <v>0</v>
      </c>
      <c r="K14" s="41">
        <f t="shared" si="0"/>
        <v>0</v>
      </c>
      <c r="V14" s="42" t="s">
        <v>35</v>
      </c>
      <c r="AL14" s="39" t="s">
        <v>36</v>
      </c>
      <c r="AM14" s="42" t="s">
        <v>35</v>
      </c>
    </row>
    <row r="15" spans="1:40">
      <c r="A15" s="145">
        <v>9</v>
      </c>
      <c r="B15" s="42" t="s">
        <v>37</v>
      </c>
      <c r="C15" s="41">
        <f>+C9-C10-C14</f>
        <v>0</v>
      </c>
      <c r="D15" s="41">
        <f t="shared" ref="D15:J15" si="7">+D9-D10-D14</f>
        <v>0</v>
      </c>
      <c r="E15" s="41">
        <f t="shared" si="7"/>
        <v>0</v>
      </c>
      <c r="F15" s="41">
        <f t="shared" si="7"/>
        <v>0</v>
      </c>
      <c r="G15" s="41">
        <f t="shared" si="7"/>
        <v>0</v>
      </c>
      <c r="H15" s="41">
        <f t="shared" si="7"/>
        <v>0</v>
      </c>
      <c r="I15" s="41">
        <f t="shared" si="7"/>
        <v>0</v>
      </c>
      <c r="J15" s="41">
        <f t="shared" si="7"/>
        <v>0</v>
      </c>
      <c r="K15" s="41">
        <f t="shared" si="0"/>
        <v>0</v>
      </c>
      <c r="V15" s="42" t="s">
        <v>37</v>
      </c>
      <c r="AL15" s="39" t="s">
        <v>38</v>
      </c>
      <c r="AM15" s="42" t="s">
        <v>37</v>
      </c>
    </row>
    <row r="16" spans="1:40">
      <c r="A16" s="145">
        <v>10</v>
      </c>
      <c r="B16" s="39" t="s">
        <v>39</v>
      </c>
      <c r="C16" s="43" t="e">
        <f>+C15/C9</f>
        <v>#DIV/0!</v>
      </c>
      <c r="D16" s="43" t="e">
        <f t="shared" ref="D16:J16" si="8">+D15/D9</f>
        <v>#DIV/0!</v>
      </c>
      <c r="E16" s="43" t="e">
        <f t="shared" si="8"/>
        <v>#DIV/0!</v>
      </c>
      <c r="F16" s="43" t="e">
        <f t="shared" si="8"/>
        <v>#DIV/0!</v>
      </c>
      <c r="G16" s="43" t="e">
        <f t="shared" si="8"/>
        <v>#DIV/0!</v>
      </c>
      <c r="H16" s="43" t="e">
        <f t="shared" si="8"/>
        <v>#DIV/0!</v>
      </c>
      <c r="I16" s="43" t="e">
        <f t="shared" si="8"/>
        <v>#DIV/0!</v>
      </c>
      <c r="J16" s="43" t="e">
        <f t="shared" si="8"/>
        <v>#DIV/0!</v>
      </c>
      <c r="K16" s="43" t="e">
        <f t="shared" ref="K16" si="9">+K15/K9</f>
        <v>#DIV/0!</v>
      </c>
      <c r="V16" s="39" t="s">
        <v>39</v>
      </c>
      <c r="AL16" s="39" t="s">
        <v>40</v>
      </c>
      <c r="AM16" s="39" t="s">
        <v>39</v>
      </c>
    </row>
    <row r="17" spans="1:40">
      <c r="A17" s="145">
        <v>11</v>
      </c>
      <c r="B17" s="39" t="s">
        <v>41</v>
      </c>
      <c r="C17" s="41" t="e">
        <f>C6*C43+C18</f>
        <v>#DIV/0!</v>
      </c>
      <c r="D17" s="41" t="e">
        <f t="shared" ref="D17:J17" si="10">D6*D43+D18</f>
        <v>#DIV/0!</v>
      </c>
      <c r="E17" s="41" t="e">
        <f t="shared" si="10"/>
        <v>#DIV/0!</v>
      </c>
      <c r="F17" s="41" t="e">
        <f t="shared" si="10"/>
        <v>#DIV/0!</v>
      </c>
      <c r="G17" s="41" t="e">
        <f t="shared" si="10"/>
        <v>#DIV/0!</v>
      </c>
      <c r="H17" s="41" t="e">
        <f t="shared" si="10"/>
        <v>#DIV/0!</v>
      </c>
      <c r="I17" s="41" t="e">
        <f t="shared" si="10"/>
        <v>#DIV/0!</v>
      </c>
      <c r="J17" s="41" t="e">
        <f t="shared" si="10"/>
        <v>#DIV/0!</v>
      </c>
      <c r="K17" s="41" t="e">
        <f>SUM(C17:J17)</f>
        <v>#DIV/0!</v>
      </c>
      <c r="L17" s="56"/>
      <c r="V17" s="39" t="s">
        <v>41</v>
      </c>
      <c r="AL17" s="39" t="s">
        <v>42</v>
      </c>
      <c r="AM17" s="39" t="s">
        <v>41</v>
      </c>
    </row>
    <row r="18" spans="1:40" s="33" customFormat="1">
      <c r="A18" s="145">
        <v>12</v>
      </c>
      <c r="B18" s="44" t="s">
        <v>142</v>
      </c>
      <c r="C18" s="45" t="e">
        <f>$K$18/$K$6*C6</f>
        <v>#DIV/0!</v>
      </c>
      <c r="D18" s="45" t="e">
        <f t="shared" ref="D18:J18" si="11">$K$18/$K$6*D6</f>
        <v>#DIV/0!</v>
      </c>
      <c r="E18" s="45" t="e">
        <f t="shared" si="11"/>
        <v>#DIV/0!</v>
      </c>
      <c r="F18" s="45" t="e">
        <f t="shared" si="11"/>
        <v>#DIV/0!</v>
      </c>
      <c r="G18" s="45" t="e">
        <f t="shared" si="11"/>
        <v>#DIV/0!</v>
      </c>
      <c r="H18" s="45" t="e">
        <f t="shared" si="11"/>
        <v>#DIV/0!</v>
      </c>
      <c r="I18" s="45" t="e">
        <f t="shared" si="11"/>
        <v>#DIV/0!</v>
      </c>
      <c r="J18" s="45" t="e">
        <f t="shared" si="11"/>
        <v>#DIV/0!</v>
      </c>
      <c r="K18" s="45">
        <f>项目投资!D26</f>
        <v>109250</v>
      </c>
      <c r="L18" s="57" t="s">
        <v>143</v>
      </c>
      <c r="M18" s="57"/>
      <c r="N18" s="57"/>
    </row>
    <row r="19" spans="1:40">
      <c r="A19" s="145">
        <v>13</v>
      </c>
      <c r="B19" s="39" t="s">
        <v>43</v>
      </c>
      <c r="C19" s="41">
        <f>C6*C44</f>
        <v>0</v>
      </c>
      <c r="D19" s="41">
        <f t="shared" ref="D19:J19" si="12">D6*D44</f>
        <v>0</v>
      </c>
      <c r="E19" s="41">
        <f t="shared" si="12"/>
        <v>0</v>
      </c>
      <c r="F19" s="41">
        <f t="shared" si="12"/>
        <v>0</v>
      </c>
      <c r="G19" s="41">
        <f t="shared" si="12"/>
        <v>0</v>
      </c>
      <c r="H19" s="41">
        <f t="shared" si="12"/>
        <v>0</v>
      </c>
      <c r="I19" s="41">
        <f t="shared" si="12"/>
        <v>0</v>
      </c>
      <c r="J19" s="41">
        <f t="shared" si="12"/>
        <v>0</v>
      </c>
      <c r="K19" s="41">
        <f>SUM(C19:J19)</f>
        <v>0</v>
      </c>
      <c r="L19" s="33"/>
      <c r="V19" s="39" t="s">
        <v>43</v>
      </c>
      <c r="AL19" s="39" t="s">
        <v>44</v>
      </c>
      <c r="AM19" s="39" t="s">
        <v>43</v>
      </c>
      <c r="AN19" s="35" t="s">
        <v>17</v>
      </c>
    </row>
    <row r="20" spans="1:40">
      <c r="A20" s="145">
        <v>14</v>
      </c>
      <c r="B20" s="39" t="s">
        <v>45</v>
      </c>
      <c r="C20" s="41">
        <f>C6*C45</f>
        <v>0</v>
      </c>
      <c r="D20" s="41">
        <f t="shared" ref="D20:J20" si="13">D6*D45</f>
        <v>0</v>
      </c>
      <c r="E20" s="41">
        <f t="shared" si="13"/>
        <v>0</v>
      </c>
      <c r="F20" s="41">
        <f t="shared" si="13"/>
        <v>0</v>
      </c>
      <c r="G20" s="41">
        <f t="shared" si="13"/>
        <v>0</v>
      </c>
      <c r="H20" s="41">
        <f t="shared" si="13"/>
        <v>0</v>
      </c>
      <c r="I20" s="41">
        <f t="shared" si="13"/>
        <v>0</v>
      </c>
      <c r="J20" s="41">
        <f t="shared" si="13"/>
        <v>0</v>
      </c>
      <c r="K20" s="41">
        <f>SUM(C20:J20)</f>
        <v>0</v>
      </c>
      <c r="V20" s="39" t="s">
        <v>45</v>
      </c>
      <c r="AL20" s="39" t="s">
        <v>46</v>
      </c>
      <c r="AM20" s="39" t="s">
        <v>45</v>
      </c>
    </row>
    <row r="21" spans="1:40">
      <c r="A21" s="145">
        <v>15</v>
      </c>
      <c r="B21" s="39" t="s">
        <v>47</v>
      </c>
      <c r="C21" s="46" t="e">
        <f>$K$21/$K$6*C6</f>
        <v>#DIV/0!</v>
      </c>
      <c r="D21" s="46" t="e">
        <f t="shared" ref="D21:J21" si="14">$K$21/$K$6*D6</f>
        <v>#DIV/0!</v>
      </c>
      <c r="E21" s="46" t="e">
        <f t="shared" si="14"/>
        <v>#DIV/0!</v>
      </c>
      <c r="F21" s="46" t="e">
        <f t="shared" si="14"/>
        <v>#DIV/0!</v>
      </c>
      <c r="G21" s="46" t="e">
        <f t="shared" si="14"/>
        <v>#DIV/0!</v>
      </c>
      <c r="H21" s="46" t="e">
        <f t="shared" si="14"/>
        <v>#DIV/0!</v>
      </c>
      <c r="I21" s="46" t="e">
        <f t="shared" si="14"/>
        <v>#DIV/0!</v>
      </c>
      <c r="J21" s="46" t="e">
        <f t="shared" si="14"/>
        <v>#DIV/0!</v>
      </c>
      <c r="K21" s="41">
        <f>项目投资!H27</f>
        <v>0</v>
      </c>
      <c r="V21" s="39" t="s">
        <v>47</v>
      </c>
      <c r="AL21" s="39"/>
      <c r="AM21" s="39"/>
    </row>
    <row r="22" spans="1:40">
      <c r="A22" s="145">
        <v>16</v>
      </c>
      <c r="B22" s="39" t="s">
        <v>48</v>
      </c>
      <c r="C22" s="41">
        <f>C6*C47</f>
        <v>0</v>
      </c>
      <c r="D22" s="41">
        <f t="shared" ref="D22:J22" si="15">D6*D47</f>
        <v>0</v>
      </c>
      <c r="E22" s="41">
        <f t="shared" si="15"/>
        <v>0</v>
      </c>
      <c r="F22" s="41">
        <f t="shared" si="15"/>
        <v>0</v>
      </c>
      <c r="G22" s="41">
        <f t="shared" si="15"/>
        <v>0</v>
      </c>
      <c r="H22" s="41">
        <f t="shared" si="15"/>
        <v>0</v>
      </c>
      <c r="I22" s="41">
        <f t="shared" si="15"/>
        <v>0</v>
      </c>
      <c r="J22" s="41">
        <f t="shared" si="15"/>
        <v>0</v>
      </c>
      <c r="K22" s="41">
        <f>SUM(C22:J22)</f>
        <v>0</v>
      </c>
      <c r="V22" s="39" t="s">
        <v>48</v>
      </c>
      <c r="AL22" s="39" t="s">
        <v>49</v>
      </c>
      <c r="AM22" s="39" t="s">
        <v>48</v>
      </c>
    </row>
    <row r="23" spans="1:40">
      <c r="A23" s="145">
        <v>17</v>
      </c>
      <c r="B23" s="42" t="s">
        <v>50</v>
      </c>
      <c r="C23" s="46" t="e">
        <f>+C22+C21+C20+C19+C17</f>
        <v>#DIV/0!</v>
      </c>
      <c r="D23" s="46" t="e">
        <f t="shared" ref="D23:J23" si="16">+D22+D21+D20+D19+D17</f>
        <v>#DIV/0!</v>
      </c>
      <c r="E23" s="46" t="e">
        <f t="shared" si="16"/>
        <v>#DIV/0!</v>
      </c>
      <c r="F23" s="46" t="e">
        <f t="shared" si="16"/>
        <v>#DIV/0!</v>
      </c>
      <c r="G23" s="46" t="e">
        <f t="shared" si="16"/>
        <v>#DIV/0!</v>
      </c>
      <c r="H23" s="46" t="e">
        <f t="shared" si="16"/>
        <v>#DIV/0!</v>
      </c>
      <c r="I23" s="46" t="e">
        <f t="shared" si="16"/>
        <v>#DIV/0!</v>
      </c>
      <c r="J23" s="46" t="e">
        <f t="shared" si="16"/>
        <v>#DIV/0!</v>
      </c>
      <c r="K23" s="46" t="e">
        <f t="shared" ref="K23" si="17">+K22+K21+K20+K19+K17</f>
        <v>#DIV/0!</v>
      </c>
      <c r="V23" s="42" t="s">
        <v>50</v>
      </c>
      <c r="AL23" s="39" t="s">
        <v>51</v>
      </c>
      <c r="AM23" s="42" t="s">
        <v>50</v>
      </c>
    </row>
    <row r="24" spans="1:40">
      <c r="A24" s="145">
        <v>18</v>
      </c>
      <c r="B24" s="47" t="s">
        <v>52</v>
      </c>
      <c r="C24" s="46" t="e">
        <f>+C15-C23</f>
        <v>#DIV/0!</v>
      </c>
      <c r="D24" s="46" t="e">
        <f t="shared" ref="D24:J24" si="18">+D15-D23</f>
        <v>#DIV/0!</v>
      </c>
      <c r="E24" s="46" t="e">
        <f t="shared" si="18"/>
        <v>#DIV/0!</v>
      </c>
      <c r="F24" s="46" t="e">
        <f t="shared" si="18"/>
        <v>#DIV/0!</v>
      </c>
      <c r="G24" s="46" t="e">
        <f t="shared" si="18"/>
        <v>#DIV/0!</v>
      </c>
      <c r="H24" s="46" t="e">
        <f t="shared" si="18"/>
        <v>#DIV/0!</v>
      </c>
      <c r="I24" s="46" t="e">
        <f t="shared" si="18"/>
        <v>#DIV/0!</v>
      </c>
      <c r="J24" s="46" t="e">
        <f t="shared" si="18"/>
        <v>#DIV/0!</v>
      </c>
      <c r="K24" s="46" t="e">
        <f t="shared" ref="K24" si="19">+K15-K23</f>
        <v>#DIV/0!</v>
      </c>
      <c r="M24" s="58"/>
      <c r="V24" s="39" t="s">
        <v>52</v>
      </c>
      <c r="AL24" s="39" t="s">
        <v>53</v>
      </c>
      <c r="AM24" s="39" t="s">
        <v>52</v>
      </c>
    </row>
    <row r="25" spans="1:40">
      <c r="A25" s="145">
        <v>19</v>
      </c>
      <c r="B25" s="39" t="s">
        <v>232</v>
      </c>
      <c r="C25" s="46" t="e">
        <f>IF(C24&lt;0,0,C24*0.15)</f>
        <v>#DIV/0!</v>
      </c>
      <c r="D25" s="46" t="e">
        <f t="shared" ref="D25:J25" si="20">IF(D24&lt;0,0,D24*0.15)</f>
        <v>#DIV/0!</v>
      </c>
      <c r="E25" s="46" t="e">
        <f t="shared" si="20"/>
        <v>#DIV/0!</v>
      </c>
      <c r="F25" s="46" t="e">
        <f t="shared" si="20"/>
        <v>#DIV/0!</v>
      </c>
      <c r="G25" s="46" t="e">
        <f t="shared" si="20"/>
        <v>#DIV/0!</v>
      </c>
      <c r="H25" s="46" t="e">
        <f t="shared" si="20"/>
        <v>#DIV/0!</v>
      </c>
      <c r="I25" s="46" t="e">
        <f t="shared" si="20"/>
        <v>#DIV/0!</v>
      </c>
      <c r="J25" s="46" t="e">
        <f t="shared" si="20"/>
        <v>#DIV/0!</v>
      </c>
      <c r="K25" s="46" t="e">
        <f>IF(K24&lt;0,0,K24*0.15)</f>
        <v>#DIV/0!</v>
      </c>
      <c r="L25" s="54"/>
      <c r="M25" s="54"/>
      <c r="N25" s="54"/>
      <c r="V25" s="39" t="s">
        <v>54</v>
      </c>
      <c r="AL25" s="39" t="s">
        <v>55</v>
      </c>
      <c r="AM25" s="39" t="s">
        <v>54</v>
      </c>
    </row>
    <row r="26" spans="1:40">
      <c r="A26" s="145">
        <v>20</v>
      </c>
      <c r="B26" s="39" t="s">
        <v>56</v>
      </c>
      <c r="C26" s="46" t="e">
        <f t="shared" ref="C26" si="21">C24-C25</f>
        <v>#DIV/0!</v>
      </c>
      <c r="D26" s="46" t="e">
        <f t="shared" ref="D26:J26" si="22">D24-D25</f>
        <v>#DIV/0!</v>
      </c>
      <c r="E26" s="46" t="e">
        <f t="shared" si="22"/>
        <v>#DIV/0!</v>
      </c>
      <c r="F26" s="46" t="e">
        <f t="shared" si="22"/>
        <v>#DIV/0!</v>
      </c>
      <c r="G26" s="46" t="e">
        <f t="shared" si="22"/>
        <v>#DIV/0!</v>
      </c>
      <c r="H26" s="46" t="e">
        <f t="shared" si="22"/>
        <v>#DIV/0!</v>
      </c>
      <c r="I26" s="46" t="e">
        <f t="shared" si="22"/>
        <v>#DIV/0!</v>
      </c>
      <c r="J26" s="46" t="e">
        <f t="shared" si="22"/>
        <v>#DIV/0!</v>
      </c>
      <c r="K26" s="41" t="e">
        <f>K24-K25</f>
        <v>#DIV/0!</v>
      </c>
      <c r="L26" s="161"/>
      <c r="M26" s="54"/>
      <c r="N26" s="54"/>
      <c r="V26" s="39" t="s">
        <v>56</v>
      </c>
      <c r="AL26" s="39" t="s">
        <v>57</v>
      </c>
      <c r="AM26" s="39" t="s">
        <v>56</v>
      </c>
    </row>
    <row r="27" spans="1:40">
      <c r="A27" s="145">
        <v>21</v>
      </c>
      <c r="B27" s="39" t="s">
        <v>60</v>
      </c>
      <c r="C27" s="48" t="e">
        <f t="shared" ref="C27:K27" si="23">C26/C7</f>
        <v>#DIV/0!</v>
      </c>
      <c r="D27" s="48" t="e">
        <f t="shared" ref="D27:J27" si="24">D26/D7</f>
        <v>#DIV/0!</v>
      </c>
      <c r="E27" s="48" t="e">
        <f t="shared" si="24"/>
        <v>#DIV/0!</v>
      </c>
      <c r="F27" s="48" t="e">
        <f t="shared" si="24"/>
        <v>#DIV/0!</v>
      </c>
      <c r="G27" s="48" t="e">
        <f t="shared" si="24"/>
        <v>#DIV/0!</v>
      </c>
      <c r="H27" s="48" t="e">
        <f t="shared" si="24"/>
        <v>#DIV/0!</v>
      </c>
      <c r="I27" s="48" t="e">
        <f t="shared" si="24"/>
        <v>#DIV/0!</v>
      </c>
      <c r="J27" s="48" t="e">
        <f t="shared" si="24"/>
        <v>#DIV/0!</v>
      </c>
      <c r="K27" s="48" t="e">
        <f t="shared" si="23"/>
        <v>#DIV/0!</v>
      </c>
      <c r="L27" s="159"/>
      <c r="M27" s="54"/>
      <c r="N27" s="54"/>
      <c r="V27" s="39" t="s">
        <v>60</v>
      </c>
      <c r="AL27" s="39" t="s">
        <v>59</v>
      </c>
      <c r="AM27" s="39" t="s">
        <v>60</v>
      </c>
    </row>
    <row r="28" spans="1:40">
      <c r="L28" s="54"/>
      <c r="M28" s="54"/>
      <c r="N28" s="54"/>
      <c r="V28" s="39"/>
    </row>
    <row r="29" spans="1:40">
      <c r="A29" s="35" t="s">
        <v>61</v>
      </c>
      <c r="K29" s="36" t="s">
        <v>144</v>
      </c>
      <c r="L29" s="54"/>
      <c r="M29" s="54"/>
      <c r="N29" s="54"/>
      <c r="V29" s="39"/>
      <c r="AL29" s="35" t="s">
        <v>61</v>
      </c>
    </row>
    <row r="30" spans="1:40">
      <c r="A30" s="39" t="s">
        <v>62</v>
      </c>
      <c r="B30" s="42" t="s">
        <v>63</v>
      </c>
      <c r="C30" s="46"/>
      <c r="D30" s="46"/>
      <c r="E30" s="46"/>
      <c r="F30" s="46"/>
      <c r="G30" s="46"/>
      <c r="H30" s="46"/>
      <c r="I30" s="46"/>
      <c r="J30" s="46"/>
      <c r="K30" s="46"/>
      <c r="L30" s="54"/>
      <c r="M30" s="54"/>
      <c r="N30" s="54"/>
      <c r="P30" s="54"/>
      <c r="V30" s="42" t="s">
        <v>63</v>
      </c>
      <c r="AL30" s="39" t="s">
        <v>64</v>
      </c>
      <c r="AM30" s="42" t="s">
        <v>63</v>
      </c>
    </row>
    <row r="31" spans="1:40">
      <c r="A31" s="145">
        <v>1</v>
      </c>
      <c r="B31" s="44" t="s">
        <v>65</v>
      </c>
      <c r="C31" s="50">
        <f>'2023年'!C31</f>
        <v>470</v>
      </c>
      <c r="D31" s="50">
        <f>'2023年'!D31</f>
        <v>470</v>
      </c>
      <c r="E31" s="50">
        <f>'2023年'!E31</f>
        <v>350</v>
      </c>
      <c r="F31" s="50">
        <f>'2023年'!F31</f>
        <v>2050</v>
      </c>
      <c r="G31" s="50">
        <f>'2023年'!G31</f>
        <v>1550</v>
      </c>
      <c r="H31" s="50">
        <f>'2023年'!H31</f>
        <v>1260</v>
      </c>
      <c r="I31" s="50">
        <f>'2023年'!I31</f>
        <v>350</v>
      </c>
      <c r="J31" s="50">
        <f>'2023年'!K31</f>
        <v>470</v>
      </c>
      <c r="K31" s="46"/>
      <c r="L31" s="54"/>
      <c r="M31" s="54"/>
      <c r="N31" s="54"/>
      <c r="P31" s="54"/>
      <c r="V31" s="39" t="s">
        <v>65</v>
      </c>
      <c r="AL31" s="39" t="s">
        <v>19</v>
      </c>
      <c r="AM31" s="39" t="s">
        <v>65</v>
      </c>
    </row>
    <row r="32" spans="1:40">
      <c r="A32" s="145">
        <v>2</v>
      </c>
      <c r="B32" s="39" t="s">
        <v>145</v>
      </c>
      <c r="C32" s="41" t="e">
        <f>C9/C6</f>
        <v>#DIV/0!</v>
      </c>
      <c r="D32" s="41" t="e">
        <f t="shared" ref="D32:J32" si="25">D9/D6</f>
        <v>#DIV/0!</v>
      </c>
      <c r="E32" s="41" t="e">
        <f t="shared" si="25"/>
        <v>#DIV/0!</v>
      </c>
      <c r="F32" s="41" t="e">
        <f t="shared" si="25"/>
        <v>#DIV/0!</v>
      </c>
      <c r="G32" s="41" t="e">
        <f t="shared" si="25"/>
        <v>#DIV/0!</v>
      </c>
      <c r="H32" s="41" t="e">
        <f t="shared" si="25"/>
        <v>#DIV/0!</v>
      </c>
      <c r="I32" s="41" t="e">
        <f t="shared" si="25"/>
        <v>#DIV/0!</v>
      </c>
      <c r="J32" s="41" t="e">
        <f t="shared" si="25"/>
        <v>#DIV/0!</v>
      </c>
      <c r="K32" s="46"/>
      <c r="L32" s="54"/>
      <c r="M32" s="54"/>
      <c r="N32" s="54"/>
      <c r="O32" s="54"/>
      <c r="P32" s="54"/>
      <c r="Q32" s="54"/>
      <c r="R32" s="54"/>
      <c r="AL32" s="39"/>
      <c r="AM32" s="39"/>
    </row>
    <row r="33" spans="1:39">
      <c r="A33" s="145">
        <v>3</v>
      </c>
      <c r="B33" s="44" t="s">
        <v>66</v>
      </c>
      <c r="C33" s="41">
        <f>'2026年'!C33*(1-0.01)</f>
        <v>361.25807703428632</v>
      </c>
      <c r="D33" s="41">
        <f>'2026年'!D33*(1-0.01)</f>
        <v>363.62416702340636</v>
      </c>
      <c r="E33" s="41">
        <f>'2026年'!E33*(1-0.01)</f>
        <v>159.82866541014891</v>
      </c>
      <c r="F33" s="41">
        <f>'2026年'!F33*(1-0.01)</f>
        <v>1372.3792530944634</v>
      </c>
      <c r="G33" s="41">
        <f>'2026年'!G33*(1-0.01)</f>
        <v>999.98256712956004</v>
      </c>
      <c r="H33" s="41">
        <f>'2026年'!H33*(1-0.01)</f>
        <v>783.27498291613597</v>
      </c>
      <c r="I33" s="41">
        <f>'2026年'!I33*(1-0.01)</f>
        <v>177.71321657814889</v>
      </c>
      <c r="J33" s="41">
        <f>'2026年'!J33*(1-0.01)</f>
        <v>379.42760678276636</v>
      </c>
      <c r="K33" s="46"/>
      <c r="M33" s="54"/>
      <c r="N33" s="54"/>
      <c r="O33" s="54"/>
      <c r="P33" s="54"/>
      <c r="Q33" s="54"/>
      <c r="R33" s="54"/>
      <c r="V33" s="39" t="s">
        <v>66</v>
      </c>
      <c r="AL33" s="39" t="s">
        <v>21</v>
      </c>
      <c r="AM33" s="39" t="s">
        <v>66</v>
      </c>
    </row>
    <row r="34" spans="1:39" ht="17.25" customHeight="1">
      <c r="A34" s="145">
        <v>4</v>
      </c>
      <c r="B34" s="39" t="s">
        <v>68</v>
      </c>
      <c r="C34" s="51" t="e">
        <f>C32-C33</f>
        <v>#DIV/0!</v>
      </c>
      <c r="D34" s="51" t="e">
        <f t="shared" ref="D34:J34" si="26">D32-D33</f>
        <v>#DIV/0!</v>
      </c>
      <c r="E34" s="51" t="e">
        <f t="shared" si="26"/>
        <v>#DIV/0!</v>
      </c>
      <c r="F34" s="51" t="e">
        <f t="shared" si="26"/>
        <v>#DIV/0!</v>
      </c>
      <c r="G34" s="51" t="e">
        <f t="shared" si="26"/>
        <v>#DIV/0!</v>
      </c>
      <c r="H34" s="51" t="e">
        <f t="shared" si="26"/>
        <v>#DIV/0!</v>
      </c>
      <c r="I34" s="51" t="e">
        <f t="shared" si="26"/>
        <v>#DIV/0!</v>
      </c>
      <c r="J34" s="51" t="e">
        <f t="shared" si="26"/>
        <v>#DIV/0!</v>
      </c>
      <c r="K34" s="46"/>
      <c r="M34" s="54"/>
      <c r="N34" s="54"/>
      <c r="O34" s="54"/>
      <c r="P34" s="54"/>
      <c r="Q34" s="54"/>
      <c r="R34" s="54"/>
      <c r="V34" s="39" t="s">
        <v>68</v>
      </c>
      <c r="AL34" s="39" t="s">
        <v>67</v>
      </c>
      <c r="AM34" s="39" t="s">
        <v>68</v>
      </c>
    </row>
    <row r="35" spans="1:39">
      <c r="A35" s="39" t="s">
        <v>64</v>
      </c>
      <c r="B35" s="42" t="s">
        <v>8</v>
      </c>
      <c r="C35" s="46"/>
      <c r="D35" s="46"/>
      <c r="E35" s="46"/>
      <c r="F35" s="46"/>
      <c r="G35" s="46"/>
      <c r="H35" s="46"/>
      <c r="I35" s="46"/>
      <c r="J35" s="46"/>
      <c r="K35" s="46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42" t="s">
        <v>8</v>
      </c>
      <c r="AL35" s="39" t="s">
        <v>70</v>
      </c>
      <c r="AM35" s="42" t="s">
        <v>8</v>
      </c>
    </row>
    <row r="36" spans="1:39">
      <c r="A36" s="145">
        <v>1</v>
      </c>
      <c r="B36" s="39" t="s">
        <v>71</v>
      </c>
      <c r="C36" s="45">
        <f>'2023年'!C36</f>
        <v>26.423393595054016</v>
      </c>
      <c r="D36" s="45">
        <f>'2023年'!D36</f>
        <v>26.423393595054016</v>
      </c>
      <c r="E36" s="45">
        <f>'2023年'!E36</f>
        <v>19.676995230359374</v>
      </c>
      <c r="F36" s="45">
        <f>'2023年'!F36</f>
        <v>115.25097206353347</v>
      </c>
      <c r="G36" s="45">
        <f>'2023年'!G36</f>
        <v>87.140978877305798</v>
      </c>
      <c r="H36" s="45">
        <f>'2023年'!H36</f>
        <v>70.837182829293738</v>
      </c>
      <c r="I36" s="45">
        <f>'2023年'!I36</f>
        <v>19.676995230359374</v>
      </c>
      <c r="J36" s="45">
        <f>'2023年'!K36</f>
        <v>26.423393595054016</v>
      </c>
      <c r="K36" s="50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39" t="s">
        <v>71</v>
      </c>
      <c r="AL36" s="39" t="s">
        <v>67</v>
      </c>
      <c r="AM36" s="39" t="s">
        <v>71</v>
      </c>
    </row>
    <row r="37" spans="1:39">
      <c r="A37" s="145">
        <v>2</v>
      </c>
      <c r="B37" s="39" t="s">
        <v>72</v>
      </c>
      <c r="C37" s="45">
        <f>'2023年'!C37</f>
        <v>7.0857151125060041</v>
      </c>
      <c r="D37" s="45">
        <f>'2023年'!D37</f>
        <v>7.0857151125060041</v>
      </c>
      <c r="E37" s="45">
        <f>'2023年'!E37</f>
        <v>5.2765963603768116</v>
      </c>
      <c r="F37" s="45">
        <f>'2023年'!F37</f>
        <v>30.905778682207039</v>
      </c>
      <c r="G37" s="45">
        <f>'2023年'!G37</f>
        <v>23.367783881668739</v>
      </c>
      <c r="H37" s="45">
        <f>'2023年'!H37</f>
        <v>18.995746897356522</v>
      </c>
      <c r="I37" s="45">
        <f>'2023年'!I37</f>
        <v>5.2765963603768116</v>
      </c>
      <c r="J37" s="45">
        <f>'2023年'!K37</f>
        <v>7.0857151125060041</v>
      </c>
      <c r="K37" s="50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39" t="s">
        <v>72</v>
      </c>
      <c r="AL37" s="39" t="s">
        <v>24</v>
      </c>
      <c r="AM37" s="39" t="s">
        <v>72</v>
      </c>
    </row>
    <row r="38" spans="1:39">
      <c r="A38" s="145">
        <v>3</v>
      </c>
      <c r="B38" s="39" t="s">
        <v>73</v>
      </c>
      <c r="C38" s="45">
        <f>'2023年'!C38</f>
        <v>18.799999999999997</v>
      </c>
      <c r="D38" s="45">
        <f>'2023年'!D38</f>
        <v>18.799999999999997</v>
      </c>
      <c r="E38" s="45">
        <f>'2023年'!E38</f>
        <v>13.999999999999998</v>
      </c>
      <c r="F38" s="45">
        <f>'2023年'!F38</f>
        <v>81.999999999999986</v>
      </c>
      <c r="G38" s="45">
        <f>'2023年'!G38</f>
        <v>61.999999999999993</v>
      </c>
      <c r="H38" s="45">
        <f>'2023年'!H38</f>
        <v>50.399999999999991</v>
      </c>
      <c r="I38" s="45">
        <f>'2023年'!I38</f>
        <v>13.999999999999998</v>
      </c>
      <c r="J38" s="45">
        <f>'2023年'!K38</f>
        <v>18.799999999999997</v>
      </c>
      <c r="K38" s="50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39" t="s">
        <v>73</v>
      </c>
      <c r="AL38" s="39" t="s">
        <v>30</v>
      </c>
      <c r="AM38" s="39" t="s">
        <v>73</v>
      </c>
    </row>
    <row r="39" spans="1:39">
      <c r="A39" s="39" t="s">
        <v>70</v>
      </c>
      <c r="B39" s="42" t="s">
        <v>75</v>
      </c>
      <c r="C39" s="46"/>
      <c r="D39" s="46"/>
      <c r="E39" s="46"/>
      <c r="F39" s="46"/>
      <c r="G39" s="46"/>
      <c r="H39" s="46"/>
      <c r="I39" s="46"/>
      <c r="J39" s="46"/>
      <c r="K39" s="46"/>
      <c r="V39" s="42" t="s">
        <v>75</v>
      </c>
      <c r="AL39" s="39" t="s">
        <v>74</v>
      </c>
      <c r="AM39" s="42" t="s">
        <v>75</v>
      </c>
    </row>
    <row r="40" spans="1:39">
      <c r="A40" s="145">
        <v>1</v>
      </c>
      <c r="B40" s="39" t="s">
        <v>76</v>
      </c>
      <c r="C40" s="46" t="e">
        <f>C34-C36-C37-C38</f>
        <v>#DIV/0!</v>
      </c>
      <c r="D40" s="46" t="e">
        <f t="shared" ref="D40:J40" si="27">D34-D36-D37-D38</f>
        <v>#DIV/0!</v>
      </c>
      <c r="E40" s="46" t="e">
        <f t="shared" si="27"/>
        <v>#DIV/0!</v>
      </c>
      <c r="F40" s="46" t="e">
        <f t="shared" si="27"/>
        <v>#DIV/0!</v>
      </c>
      <c r="G40" s="46" t="e">
        <f t="shared" si="27"/>
        <v>#DIV/0!</v>
      </c>
      <c r="H40" s="46" t="e">
        <f t="shared" si="27"/>
        <v>#DIV/0!</v>
      </c>
      <c r="I40" s="46" t="e">
        <f t="shared" si="27"/>
        <v>#DIV/0!</v>
      </c>
      <c r="J40" s="46" t="e">
        <f t="shared" si="27"/>
        <v>#DIV/0!</v>
      </c>
      <c r="K40" s="46"/>
      <c r="V40" s="39" t="s">
        <v>76</v>
      </c>
      <c r="AL40" s="39" t="s">
        <v>19</v>
      </c>
      <c r="AM40" s="39" t="s">
        <v>76</v>
      </c>
    </row>
    <row r="41" spans="1:39">
      <c r="A41" s="145">
        <v>2</v>
      </c>
      <c r="B41" s="39" t="s">
        <v>77</v>
      </c>
      <c r="C41" s="46"/>
      <c r="D41" s="46"/>
      <c r="E41" s="46"/>
      <c r="F41" s="46"/>
      <c r="G41" s="46"/>
      <c r="H41" s="46"/>
      <c r="I41" s="46"/>
      <c r="J41" s="46"/>
      <c r="K41" s="46"/>
      <c r="V41" s="39" t="s">
        <v>77</v>
      </c>
      <c r="AL41" s="39" t="s">
        <v>21</v>
      </c>
      <c r="AM41" s="39" t="s">
        <v>77</v>
      </c>
    </row>
    <row r="42" spans="1:39">
      <c r="A42" s="39" t="s">
        <v>74</v>
      </c>
      <c r="B42" s="42" t="s">
        <v>79</v>
      </c>
      <c r="C42" s="46"/>
      <c r="D42" s="46"/>
      <c r="E42" s="46"/>
      <c r="F42" s="46"/>
      <c r="G42" s="46"/>
      <c r="H42" s="46"/>
      <c r="I42" s="46"/>
      <c r="J42" s="46"/>
      <c r="K42" s="46"/>
      <c r="V42" s="42" t="s">
        <v>79</v>
      </c>
      <c r="AL42" s="39" t="s">
        <v>78</v>
      </c>
      <c r="AM42" s="42" t="s">
        <v>79</v>
      </c>
    </row>
    <row r="43" spans="1:39">
      <c r="A43" s="145">
        <v>1</v>
      </c>
      <c r="B43" s="47" t="s">
        <v>80</v>
      </c>
      <c r="C43" s="45">
        <f>'2023年'!C43</f>
        <v>21.15</v>
      </c>
      <c r="D43" s="45">
        <f>'2023年'!D43</f>
        <v>21.15</v>
      </c>
      <c r="E43" s="45">
        <f>'2023年'!E43</f>
        <v>15.75</v>
      </c>
      <c r="F43" s="45">
        <f>'2023年'!F43</f>
        <v>92.25</v>
      </c>
      <c r="G43" s="45">
        <f>'2023年'!G43</f>
        <v>69.75</v>
      </c>
      <c r="H43" s="45">
        <f>'2023年'!H43</f>
        <v>56.699999999999996</v>
      </c>
      <c r="I43" s="45">
        <f>'2023年'!I43</f>
        <v>15.75</v>
      </c>
      <c r="J43" s="45">
        <f>'2023年'!K43</f>
        <v>21.15</v>
      </c>
      <c r="K43" s="46"/>
      <c r="V43" s="39" t="s">
        <v>80</v>
      </c>
      <c r="AL43" s="39" t="s">
        <v>19</v>
      </c>
      <c r="AM43" s="39" t="s">
        <v>80</v>
      </c>
    </row>
    <row r="44" spans="1:39">
      <c r="A44" s="145">
        <v>2</v>
      </c>
      <c r="B44" s="47" t="s">
        <v>81</v>
      </c>
      <c r="C44" s="45">
        <f>'2023年'!C44</f>
        <v>3.29</v>
      </c>
      <c r="D44" s="45">
        <f>'2023年'!D44</f>
        <v>3.29</v>
      </c>
      <c r="E44" s="45">
        <f>'2023年'!E44</f>
        <v>2.4500000000000002</v>
      </c>
      <c r="F44" s="45">
        <f>'2023年'!F44</f>
        <v>14.35</v>
      </c>
      <c r="G44" s="45">
        <f>'2023年'!G44</f>
        <v>10.85</v>
      </c>
      <c r="H44" s="45">
        <f>'2023年'!H44</f>
        <v>8.82</v>
      </c>
      <c r="I44" s="45">
        <f>'2023年'!I44</f>
        <v>2.4500000000000002</v>
      </c>
      <c r="J44" s="45">
        <f>'2023年'!K44</f>
        <v>3.29</v>
      </c>
      <c r="K44" s="46"/>
      <c r="V44" s="39" t="s">
        <v>81</v>
      </c>
      <c r="AL44" s="39" t="s">
        <v>21</v>
      </c>
      <c r="AM44" s="39" t="s">
        <v>81</v>
      </c>
    </row>
    <row r="45" spans="1:39">
      <c r="A45" s="145">
        <v>3</v>
      </c>
      <c r="B45" s="47" t="s">
        <v>82</v>
      </c>
      <c r="C45" s="45">
        <f>'2023年'!C45</f>
        <v>18.8</v>
      </c>
      <c r="D45" s="45">
        <f>'2023年'!D45</f>
        <v>18.8</v>
      </c>
      <c r="E45" s="45">
        <f>'2023年'!E45</f>
        <v>14</v>
      </c>
      <c r="F45" s="45">
        <f>'2023年'!F45</f>
        <v>82</v>
      </c>
      <c r="G45" s="45">
        <f>'2023年'!G45</f>
        <v>62</v>
      </c>
      <c r="H45" s="45">
        <f>'2023年'!H45</f>
        <v>50.4</v>
      </c>
      <c r="I45" s="45">
        <f>'2023年'!I45</f>
        <v>14</v>
      </c>
      <c r="J45" s="45">
        <f>'2023年'!K45</f>
        <v>18.8</v>
      </c>
      <c r="K45" s="46"/>
      <c r="V45" s="39" t="s">
        <v>82</v>
      </c>
      <c r="AL45" s="39" t="s">
        <v>67</v>
      </c>
      <c r="AM45" s="39" t="s">
        <v>82</v>
      </c>
    </row>
    <row r="46" spans="1:39" s="34" customFormat="1">
      <c r="A46" s="145">
        <v>4</v>
      </c>
      <c r="B46" s="47" t="s">
        <v>83</v>
      </c>
      <c r="C46" s="52" t="e">
        <f>C21/C6</f>
        <v>#DIV/0!</v>
      </c>
      <c r="D46" s="52" t="e">
        <f t="shared" ref="D46:J46" si="28">D21/D6</f>
        <v>#DIV/0!</v>
      </c>
      <c r="E46" s="52" t="e">
        <f t="shared" si="28"/>
        <v>#DIV/0!</v>
      </c>
      <c r="F46" s="52" t="e">
        <f t="shared" si="28"/>
        <v>#DIV/0!</v>
      </c>
      <c r="G46" s="52" t="e">
        <f t="shared" si="28"/>
        <v>#DIV/0!</v>
      </c>
      <c r="H46" s="52" t="e">
        <f t="shared" si="28"/>
        <v>#DIV/0!</v>
      </c>
      <c r="I46" s="52" t="e">
        <f t="shared" si="28"/>
        <v>#DIV/0!</v>
      </c>
      <c r="J46" s="52" t="e">
        <f t="shared" si="28"/>
        <v>#DIV/0!</v>
      </c>
      <c r="K46" s="52"/>
      <c r="V46" s="47" t="s">
        <v>85</v>
      </c>
      <c r="AL46" s="47" t="s">
        <v>27</v>
      </c>
      <c r="AM46" s="47" t="s">
        <v>85</v>
      </c>
    </row>
    <row r="47" spans="1:39" s="34" customFormat="1">
      <c r="A47" s="145">
        <v>5</v>
      </c>
      <c r="B47" s="47" t="s">
        <v>85</v>
      </c>
      <c r="C47" s="52">
        <f>'2023年'!C47</f>
        <v>10.010999999999999</v>
      </c>
      <c r="D47" s="52">
        <f>'2023年'!D47</f>
        <v>10.010999999999999</v>
      </c>
      <c r="E47" s="52">
        <f>'2023年'!E47</f>
        <v>7.4550000000000001</v>
      </c>
      <c r="F47" s="52">
        <f>'2023年'!F47</f>
        <v>43.664999999999999</v>
      </c>
      <c r="G47" s="52">
        <f>'2023年'!G47</f>
        <v>33.015000000000001</v>
      </c>
      <c r="H47" s="52">
        <f>'2023年'!H47</f>
        <v>26.838000000000001</v>
      </c>
      <c r="I47" s="52">
        <f>'2023年'!I47</f>
        <v>7.4550000000000001</v>
      </c>
      <c r="J47" s="52">
        <f>'2023年'!K47</f>
        <v>10.010999999999999</v>
      </c>
      <c r="K47" s="52"/>
      <c r="V47" s="47" t="s">
        <v>85</v>
      </c>
      <c r="AL47" s="47" t="s">
        <v>27</v>
      </c>
      <c r="AM47" s="47" t="s">
        <v>85</v>
      </c>
    </row>
    <row r="48" spans="1:39">
      <c r="A48" s="39" t="s">
        <v>78</v>
      </c>
      <c r="B48" s="42" t="s">
        <v>96</v>
      </c>
      <c r="C48" s="46" t="e">
        <f>C40-C43-C44-C45-C47-C46</f>
        <v>#DIV/0!</v>
      </c>
      <c r="D48" s="46" t="e">
        <f t="shared" ref="D48:J48" si="29">D40-D43-D44-D45-D47-D46</f>
        <v>#DIV/0!</v>
      </c>
      <c r="E48" s="46" t="e">
        <f t="shared" si="29"/>
        <v>#DIV/0!</v>
      </c>
      <c r="F48" s="46" t="e">
        <f t="shared" si="29"/>
        <v>#DIV/0!</v>
      </c>
      <c r="G48" s="46" t="e">
        <f t="shared" si="29"/>
        <v>#DIV/0!</v>
      </c>
      <c r="H48" s="46" t="e">
        <f t="shared" si="29"/>
        <v>#DIV/0!</v>
      </c>
      <c r="I48" s="46" t="e">
        <f t="shared" si="29"/>
        <v>#DIV/0!</v>
      </c>
      <c r="J48" s="46" t="e">
        <f t="shared" si="29"/>
        <v>#DIV/0!</v>
      </c>
      <c r="K48" s="46"/>
      <c r="V48" s="42" t="s">
        <v>96</v>
      </c>
      <c r="AL48" s="39" t="s">
        <v>95</v>
      </c>
      <c r="AM48" s="42" t="s">
        <v>96</v>
      </c>
    </row>
    <row r="51" spans="2:16">
      <c r="C51" s="53"/>
      <c r="D51" s="53"/>
      <c r="E51" s="53"/>
      <c r="F51" s="53"/>
      <c r="G51" s="53"/>
      <c r="H51" s="53"/>
      <c r="I51" s="53"/>
      <c r="J51" s="53"/>
    </row>
    <row r="54" spans="2:16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4"/>
      <c r="M54" s="54"/>
      <c r="N54" s="54"/>
      <c r="O54" s="54"/>
      <c r="P54" s="54"/>
    </row>
    <row r="55" spans="2:16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4"/>
      <c r="M55" s="54"/>
      <c r="N55" s="54"/>
      <c r="O55" s="54"/>
      <c r="P55" s="54"/>
    </row>
    <row r="56" spans="2:16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4"/>
      <c r="M56" s="54"/>
      <c r="N56" s="54"/>
      <c r="O56" s="54"/>
      <c r="P56" s="54"/>
    </row>
    <row r="57" spans="2:16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4"/>
      <c r="M57" s="54"/>
      <c r="N57" s="54"/>
      <c r="O57" s="54"/>
      <c r="P57" s="54"/>
    </row>
    <row r="58" spans="2:16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4"/>
      <c r="M58" s="54"/>
      <c r="N58" s="54"/>
      <c r="O58" s="54"/>
      <c r="P58" s="54"/>
    </row>
    <row r="59" spans="2:16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4"/>
      <c r="M59" s="54"/>
      <c r="N59" s="54"/>
      <c r="O59" s="54"/>
      <c r="P59" s="54"/>
    </row>
    <row r="60" spans="2:16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4"/>
      <c r="M60" s="54"/>
      <c r="N60" s="54"/>
      <c r="O60" s="54"/>
      <c r="P60" s="54"/>
    </row>
    <row r="61" spans="2:16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4"/>
      <c r="M61" s="54"/>
      <c r="N61" s="54"/>
      <c r="O61" s="54"/>
      <c r="P61" s="54"/>
    </row>
    <row r="62" spans="2:16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4"/>
      <c r="M62" s="54"/>
      <c r="N62" s="54"/>
      <c r="O62" s="54"/>
      <c r="P62" s="54"/>
    </row>
    <row r="63" spans="2:16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4"/>
      <c r="M63" s="54"/>
      <c r="N63" s="54"/>
      <c r="O63" s="54"/>
      <c r="P63" s="54"/>
    </row>
    <row r="64" spans="2:16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4"/>
      <c r="M64" s="54"/>
      <c r="N64" s="54"/>
      <c r="O64" s="54"/>
      <c r="P64" s="54"/>
    </row>
    <row r="65" spans="2:16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4"/>
      <c r="M65" s="54"/>
      <c r="N65" s="54"/>
      <c r="O65" s="54"/>
      <c r="P65" s="54"/>
    </row>
    <row r="66" spans="2:16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4"/>
      <c r="M66" s="54"/>
      <c r="N66" s="54"/>
      <c r="O66" s="54"/>
      <c r="P66" s="54"/>
    </row>
    <row r="67" spans="2:16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4"/>
    </row>
    <row r="68" spans="2:16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4"/>
    </row>
    <row r="69" spans="2:16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4"/>
    </row>
    <row r="70" spans="2:16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4"/>
    </row>
    <row r="71" spans="2:16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4"/>
    </row>
    <row r="72" spans="2:16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4"/>
    </row>
    <row r="73" spans="2:16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4"/>
    </row>
    <row r="74" spans="2:16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4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G19" sqref="G19"/>
    </sheetView>
  </sheetViews>
  <sheetFormatPr defaultColWidth="9" defaultRowHeight="13.5"/>
  <cols>
    <col min="1" max="1" width="20.625" customWidth="1"/>
    <col min="2" max="2" width="14.25" style="14" customWidth="1"/>
    <col min="3" max="3" width="13.125" customWidth="1"/>
    <col min="4" max="6" width="14.5" customWidth="1"/>
    <col min="7" max="7" width="14.75" customWidth="1"/>
    <col min="8" max="8" width="26.5" customWidth="1"/>
    <col min="9" max="9" width="16.25" customWidth="1"/>
    <col min="10" max="10" width="14.125" customWidth="1"/>
  </cols>
  <sheetData>
    <row r="1" spans="1:10" ht="20.25">
      <c r="A1" s="256" t="s">
        <v>146</v>
      </c>
      <c r="B1" s="256"/>
      <c r="C1" s="256"/>
      <c r="E1" s="257" t="s">
        <v>237</v>
      </c>
      <c r="F1" s="258"/>
      <c r="G1" s="258"/>
      <c r="H1" s="259"/>
      <c r="J1" s="167"/>
    </row>
    <row r="2" spans="1:10" ht="23.45" customHeight="1">
      <c r="A2" s="15" t="s">
        <v>1</v>
      </c>
      <c r="B2" s="16" t="s">
        <v>147</v>
      </c>
      <c r="C2" s="17" t="s">
        <v>148</v>
      </c>
      <c r="E2" s="1" t="s">
        <v>149</v>
      </c>
      <c r="F2" s="1" t="s">
        <v>1</v>
      </c>
      <c r="G2" s="18" t="s">
        <v>150</v>
      </c>
      <c r="H2" s="1" t="s">
        <v>148</v>
      </c>
      <c r="J2" s="165"/>
    </row>
    <row r="3" spans="1:10" ht="15.75" customHeight="1">
      <c r="A3" s="19" t="s">
        <v>151</v>
      </c>
      <c r="B3" s="20"/>
      <c r="C3" s="21"/>
      <c r="E3" s="264" t="s">
        <v>152</v>
      </c>
      <c r="F3" s="2" t="s">
        <v>153</v>
      </c>
      <c r="G3" s="222">
        <v>9</v>
      </c>
      <c r="H3" s="229" t="s">
        <v>295</v>
      </c>
      <c r="J3" s="255"/>
    </row>
    <row r="4" spans="1:10" ht="15.75" customHeight="1">
      <c r="A4" s="19" t="s">
        <v>154</v>
      </c>
      <c r="B4" s="20"/>
      <c r="C4" s="22"/>
      <c r="E4" s="265"/>
      <c r="F4" s="2" t="s">
        <v>155</v>
      </c>
      <c r="G4" s="222">
        <v>0</v>
      </c>
      <c r="H4" s="230"/>
      <c r="J4" s="255"/>
    </row>
    <row r="5" spans="1:10" ht="15.75" customHeight="1">
      <c r="A5" s="19" t="s">
        <v>156</v>
      </c>
      <c r="B5" s="23">
        <f>SUM(G3:G4)</f>
        <v>9</v>
      </c>
      <c r="C5" s="21"/>
      <c r="E5" s="266" t="s">
        <v>157</v>
      </c>
      <c r="F5" s="24" t="s">
        <v>158</v>
      </c>
      <c r="G5" s="222">
        <v>0</v>
      </c>
      <c r="H5" s="230"/>
      <c r="J5" s="166"/>
    </row>
    <row r="6" spans="1:10" ht="15.75" customHeight="1">
      <c r="A6" s="19" t="s">
        <v>159</v>
      </c>
      <c r="B6" s="20"/>
      <c r="C6" s="21"/>
      <c r="E6" s="267"/>
      <c r="F6" s="24" t="s">
        <v>160</v>
      </c>
      <c r="G6" s="222">
        <v>10</v>
      </c>
      <c r="H6" s="229" t="s">
        <v>296</v>
      </c>
      <c r="J6" s="166"/>
    </row>
    <row r="7" spans="1:10" ht="15.75" customHeight="1">
      <c r="A7" s="25" t="s">
        <v>161</v>
      </c>
      <c r="B7" s="23">
        <f>SUM(B3:B6)</f>
        <v>9</v>
      </c>
      <c r="C7" s="21"/>
      <c r="E7" s="267"/>
      <c r="F7" s="24" t="s">
        <v>162</v>
      </c>
      <c r="G7" s="222">
        <v>5</v>
      </c>
      <c r="H7" s="164" t="s">
        <v>288</v>
      </c>
      <c r="J7" s="166"/>
    </row>
    <row r="8" spans="1:10" ht="15.75" customHeight="1">
      <c r="A8" s="26" t="s">
        <v>163</v>
      </c>
      <c r="B8" s="23">
        <f>SUM(G5:G12)</f>
        <v>25.5</v>
      </c>
      <c r="C8" s="27"/>
      <c r="E8" s="267"/>
      <c r="F8" s="24" t="s">
        <v>164</v>
      </c>
      <c r="G8" s="222">
        <v>0</v>
      </c>
      <c r="H8" s="223"/>
      <c r="J8" s="166"/>
    </row>
    <row r="9" spans="1:10" ht="15.75" customHeight="1">
      <c r="A9" s="19" t="s">
        <v>165</v>
      </c>
      <c r="B9" s="23">
        <f>SUM(G13:G21)</f>
        <v>16.7</v>
      </c>
      <c r="C9" s="21"/>
      <c r="E9" s="267"/>
      <c r="F9" s="2" t="s">
        <v>166</v>
      </c>
      <c r="G9" s="222">
        <v>6.5</v>
      </c>
      <c r="H9" s="223" t="s">
        <v>289</v>
      </c>
      <c r="J9" s="166"/>
    </row>
    <row r="10" spans="1:10" ht="15.75" customHeight="1">
      <c r="A10" s="22" t="s">
        <v>15</v>
      </c>
      <c r="B10" s="23">
        <f>B7+B8+B9</f>
        <v>51.2</v>
      </c>
      <c r="C10" s="21"/>
      <c r="E10" s="267"/>
      <c r="F10" s="2" t="s">
        <v>167</v>
      </c>
      <c r="G10" s="222">
        <v>2.5</v>
      </c>
      <c r="H10" s="164" t="s">
        <v>290</v>
      </c>
      <c r="J10" s="166"/>
    </row>
    <row r="11" spans="1:10" ht="15.75" customHeight="1">
      <c r="E11" s="267"/>
      <c r="F11" s="2" t="s">
        <v>168</v>
      </c>
      <c r="G11" s="222">
        <v>1.5</v>
      </c>
      <c r="H11" s="164" t="s">
        <v>291</v>
      </c>
      <c r="J11" s="166"/>
    </row>
    <row r="12" spans="1:10" ht="15.75" customHeight="1">
      <c r="E12" s="268"/>
      <c r="F12" s="2" t="s">
        <v>169</v>
      </c>
      <c r="G12" s="222">
        <v>0</v>
      </c>
      <c r="H12" s="223"/>
      <c r="J12" s="166"/>
    </row>
    <row r="13" spans="1:10" ht="15.75" customHeight="1">
      <c r="E13" s="264" t="s">
        <v>47</v>
      </c>
      <c r="F13" s="2" t="s">
        <v>170</v>
      </c>
      <c r="G13" s="222">
        <v>0</v>
      </c>
      <c r="H13" s="164"/>
      <c r="J13" s="215"/>
    </row>
    <row r="14" spans="1:10" ht="15.75" customHeight="1">
      <c r="E14" s="265"/>
      <c r="F14" s="2" t="s">
        <v>171</v>
      </c>
      <c r="G14" s="222">
        <v>1</v>
      </c>
      <c r="H14" s="223"/>
      <c r="J14" s="215"/>
    </row>
    <row r="15" spans="1:10" ht="15.75" customHeight="1">
      <c r="E15" s="265"/>
      <c r="F15" s="2" t="s">
        <v>172</v>
      </c>
      <c r="G15" s="222">
        <v>0</v>
      </c>
      <c r="H15" s="223"/>
      <c r="J15" s="215"/>
    </row>
    <row r="16" spans="1:10" ht="15.75" customHeight="1">
      <c r="E16" s="265"/>
      <c r="F16" s="2" t="s">
        <v>173</v>
      </c>
      <c r="G16" s="222">
        <v>1</v>
      </c>
      <c r="H16" s="223"/>
      <c r="J16" s="215"/>
    </row>
    <row r="17" spans="1:10" ht="15.75" customHeight="1">
      <c r="E17" s="265"/>
      <c r="F17" s="2" t="s">
        <v>174</v>
      </c>
      <c r="G17" s="222">
        <v>3</v>
      </c>
      <c r="H17" s="223" t="s">
        <v>292</v>
      </c>
      <c r="J17" s="215"/>
    </row>
    <row r="18" spans="1:10" ht="15.75" customHeight="1">
      <c r="E18" s="265"/>
      <c r="F18" s="2" t="s">
        <v>175</v>
      </c>
      <c r="G18" s="222">
        <f>15-7.3</f>
        <v>7.7</v>
      </c>
      <c r="H18" s="164" t="s">
        <v>293</v>
      </c>
      <c r="J18" s="215"/>
    </row>
    <row r="19" spans="1:10" ht="15.75" customHeight="1">
      <c r="E19" s="265"/>
      <c r="F19" s="2" t="s">
        <v>176</v>
      </c>
      <c r="G19" s="222">
        <v>1</v>
      </c>
      <c r="H19" s="223" t="s">
        <v>294</v>
      </c>
      <c r="J19" s="215"/>
    </row>
    <row r="20" spans="1:10" ht="15.75" customHeight="1">
      <c r="E20" s="265"/>
      <c r="F20" s="2" t="s">
        <v>177</v>
      </c>
      <c r="G20" s="222">
        <v>3</v>
      </c>
      <c r="H20" s="223"/>
      <c r="J20" s="215"/>
    </row>
    <row r="21" spans="1:10" ht="15.75" customHeight="1">
      <c r="E21" s="269"/>
      <c r="F21" s="2" t="s">
        <v>124</v>
      </c>
      <c r="G21" s="222">
        <v>0</v>
      </c>
      <c r="H21" s="223"/>
      <c r="J21" s="215"/>
    </row>
    <row r="22" spans="1:10" ht="15.75" customHeight="1">
      <c r="E22" s="1" t="s">
        <v>15</v>
      </c>
      <c r="F22" s="2"/>
      <c r="G22" s="18">
        <f>SUM(G3:G21)</f>
        <v>51.2</v>
      </c>
      <c r="H22" s="2"/>
      <c r="J22" s="216"/>
    </row>
    <row r="23" spans="1:10" ht="30.75" customHeight="1">
      <c r="E23" s="260" t="s">
        <v>178</v>
      </c>
      <c r="F23" s="260"/>
      <c r="G23" s="260"/>
      <c r="H23" s="260"/>
    </row>
    <row r="25" spans="1:10" ht="17.25">
      <c r="A25" s="10" t="s">
        <v>1</v>
      </c>
      <c r="B25" s="10" t="s">
        <v>147</v>
      </c>
      <c r="C25" s="10" t="s">
        <v>179</v>
      </c>
      <c r="D25" s="155" t="s">
        <v>281</v>
      </c>
      <c r="E25" s="175" t="s">
        <v>181</v>
      </c>
      <c r="F25" s="175" t="s">
        <v>182</v>
      </c>
      <c r="G25" s="175" t="s">
        <v>226</v>
      </c>
      <c r="H25" s="175" t="s">
        <v>238</v>
      </c>
      <c r="I25" s="11" t="s">
        <v>15</v>
      </c>
      <c r="J25" s="31" t="s">
        <v>183</v>
      </c>
    </row>
    <row r="26" spans="1:10" ht="16.5">
      <c r="A26" s="28" t="s">
        <v>142</v>
      </c>
      <c r="B26" s="29">
        <f>(B5+B8)*10000</f>
        <v>345000</v>
      </c>
      <c r="C26" s="30">
        <v>0.05</v>
      </c>
      <c r="D26" s="7">
        <f>B26*(1-C26)/3</f>
        <v>109250</v>
      </c>
      <c r="E26" s="7">
        <f t="shared" ref="E26:F27" si="0">D26</f>
        <v>109250</v>
      </c>
      <c r="F26" s="7">
        <f t="shared" si="0"/>
        <v>109250</v>
      </c>
      <c r="G26" s="7"/>
      <c r="H26" s="7"/>
      <c r="I26" s="7">
        <f>SUM(D26:H26)</f>
        <v>327750</v>
      </c>
      <c r="J26" s="7">
        <f>B26*0.05</f>
        <v>17250</v>
      </c>
    </row>
    <row r="27" spans="1:10" ht="16.5">
      <c r="A27" s="28" t="s">
        <v>184</v>
      </c>
      <c r="B27" s="29">
        <f>B9*10000</f>
        <v>167000</v>
      </c>
      <c r="C27" s="7"/>
      <c r="D27" s="7">
        <f>B27/3</f>
        <v>55666.666666666664</v>
      </c>
      <c r="E27" s="7">
        <f t="shared" si="0"/>
        <v>55666.666666666664</v>
      </c>
      <c r="F27" s="7">
        <f t="shared" si="0"/>
        <v>55666.666666666664</v>
      </c>
      <c r="G27" s="7"/>
      <c r="H27" s="7"/>
      <c r="I27" s="7">
        <f>SUM(D27:H27)</f>
        <v>167000</v>
      </c>
      <c r="J27" s="7"/>
    </row>
    <row r="28" spans="1:10" ht="16.5">
      <c r="A28" s="261" t="s">
        <v>104</v>
      </c>
      <c r="B28" s="262"/>
      <c r="C28" s="263"/>
      <c r="D28" s="7">
        <f>SUM(D26:D27)</f>
        <v>164916.66666666666</v>
      </c>
      <c r="E28" s="7">
        <f t="shared" ref="E28:H28" si="1">SUM(E26:E27)</f>
        <v>164916.66666666666</v>
      </c>
      <c r="F28" s="7">
        <f t="shared" si="1"/>
        <v>164916.66666666666</v>
      </c>
      <c r="G28" s="7"/>
      <c r="H28" s="7">
        <f t="shared" si="1"/>
        <v>0</v>
      </c>
      <c r="I28" s="32"/>
      <c r="J28" s="32"/>
    </row>
    <row r="40" spans="9:9">
      <c r="I40" s="168"/>
    </row>
    <row r="41" spans="9:9" ht="37.5" customHeight="1"/>
  </sheetData>
  <mergeCells count="8">
    <mergeCell ref="J3:J4"/>
    <mergeCell ref="A1:C1"/>
    <mergeCell ref="E1:H1"/>
    <mergeCell ref="E23:H23"/>
    <mergeCell ref="A28:C28"/>
    <mergeCell ref="E3:E4"/>
    <mergeCell ref="E5:E12"/>
    <mergeCell ref="E13:E21"/>
  </mergeCells>
  <phoneticPr fontId="3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'2023年'!Print_Area</vt:lpstr>
      <vt:lpstr>'2024年'!Print_Area</vt:lpstr>
      <vt:lpstr>'2025年'!Print_Area</vt:lpstr>
      <vt:lpstr>'2026年'!Print_Area</vt:lpstr>
      <vt:lpstr>'2027年'!Print_Area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2023-03-27T02:39:34Z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