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北汽福田长沙汽车厂出口土耳其座椅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G23" i="2" l="1"/>
  <c r="J6" i="43"/>
  <c r="I6" i="43"/>
  <c r="H6" i="43"/>
  <c r="J6" i="56"/>
  <c r="I6" i="56"/>
  <c r="H6" i="56"/>
  <c r="J6" i="58"/>
  <c r="I6" i="58"/>
  <c r="H6" i="58"/>
  <c r="J6" i="57"/>
  <c r="I6" i="57"/>
  <c r="H6" i="57"/>
  <c r="G6" i="57"/>
  <c r="F6" i="57"/>
  <c r="E6" i="57"/>
  <c r="D6" i="57"/>
  <c r="C6" i="57"/>
  <c r="J6" i="59"/>
  <c r="I6" i="59"/>
  <c r="H6" i="59"/>
  <c r="G6" i="59"/>
  <c r="F6" i="59"/>
  <c r="E6" i="59"/>
  <c r="D6" i="59"/>
  <c r="C6" i="59"/>
  <c r="G6" i="58"/>
  <c r="F6" i="58"/>
  <c r="E6" i="58"/>
  <c r="D6" i="58"/>
  <c r="C6" i="58"/>
  <c r="G6" i="56"/>
  <c r="F6" i="56"/>
  <c r="E6" i="56"/>
  <c r="D6" i="56"/>
  <c r="C6" i="56"/>
  <c r="N10" i="55"/>
  <c r="O10" i="55"/>
  <c r="D27" i="2"/>
  <c r="E27" i="2"/>
  <c r="F27" i="2"/>
  <c r="G27" i="2"/>
  <c r="C27" i="2"/>
  <c r="A1" i="34" l="1"/>
  <c r="G33" i="43"/>
  <c r="F33" i="43"/>
  <c r="F21" i="53"/>
  <c r="G21" i="53" s="1"/>
  <c r="H21" i="53" s="1"/>
  <c r="F22" i="53"/>
  <c r="G22" i="53"/>
  <c r="H22" i="53"/>
  <c r="F23" i="53"/>
  <c r="G23" i="53"/>
  <c r="H23" i="53"/>
  <c r="F24" i="53"/>
  <c r="G24" i="53"/>
  <c r="H24" i="53"/>
  <c r="G20" i="53"/>
  <c r="H20" i="53" s="1"/>
  <c r="F20" i="53"/>
  <c r="E24" i="53"/>
  <c r="E23" i="53"/>
  <c r="F10" i="43"/>
  <c r="G10" i="43"/>
  <c r="G6" i="43"/>
  <c r="F6" i="43"/>
  <c r="E6" i="43"/>
  <c r="D6" i="43"/>
  <c r="C6" i="43"/>
  <c r="F17" i="55"/>
  <c r="G17" i="55"/>
  <c r="C21" i="55" l="1"/>
  <c r="D12" i="53"/>
  <c r="E20" i="53" s="1"/>
  <c r="E12" i="53"/>
  <c r="D17" i="55" s="1"/>
  <c r="D18" i="55" s="1"/>
  <c r="D19" i="55" s="1"/>
  <c r="E21" i="55"/>
  <c r="D21" i="55"/>
  <c r="K21" i="57"/>
  <c r="B9" i="51"/>
  <c r="F12" i="53"/>
  <c r="E17" i="55" s="1"/>
  <c r="E18" i="55" s="1"/>
  <c r="E19" i="55" s="1"/>
  <c r="M8" i="55"/>
  <c r="B8" i="51"/>
  <c r="H31" i="50"/>
  <c r="D33" i="50" s="1"/>
  <c r="E43" i="43" s="1"/>
  <c r="H3" i="50"/>
  <c r="H17" i="50"/>
  <c r="D23" i="50"/>
  <c r="D44" i="43" s="1"/>
  <c r="H44" i="50"/>
  <c r="D50" i="50" s="1"/>
  <c r="F44" i="43" s="1"/>
  <c r="F44" i="59" s="1"/>
  <c r="F19" i="59" s="1"/>
  <c r="H57" i="50"/>
  <c r="H70" i="50"/>
  <c r="D75" i="50" s="1"/>
  <c r="H45" i="43" s="1"/>
  <c r="H83" i="50"/>
  <c r="D91" i="50"/>
  <c r="I47" i="43"/>
  <c r="I47" i="57"/>
  <c r="H96" i="50"/>
  <c r="D101" i="50"/>
  <c r="J45" i="43"/>
  <c r="D63" i="50"/>
  <c r="G44" i="43" s="1"/>
  <c r="G44" i="59" s="1"/>
  <c r="G19" i="59" s="1"/>
  <c r="D76" i="50"/>
  <c r="H44" i="43" s="1"/>
  <c r="D58" i="50"/>
  <c r="G36" i="43" s="1"/>
  <c r="D90" i="50"/>
  <c r="I38" i="43"/>
  <c r="I38" i="56"/>
  <c r="I7" i="59"/>
  <c r="F33" i="56"/>
  <c r="F33" i="58" s="1"/>
  <c r="G33" i="56"/>
  <c r="G33" i="58" s="1"/>
  <c r="H33" i="56"/>
  <c r="H33" i="58"/>
  <c r="H33" i="59"/>
  <c r="H33" i="57"/>
  <c r="I33" i="56"/>
  <c r="I33" i="58"/>
  <c r="J33" i="56"/>
  <c r="J33" i="58"/>
  <c r="J33" i="59"/>
  <c r="J33" i="57"/>
  <c r="I33" i="59"/>
  <c r="I33" i="57"/>
  <c r="D7" i="57"/>
  <c r="F7" i="57"/>
  <c r="G7" i="57"/>
  <c r="G8" i="57" s="1"/>
  <c r="H8" i="57"/>
  <c r="C7" i="59"/>
  <c r="D7" i="59"/>
  <c r="J7" i="59"/>
  <c r="D7" i="58"/>
  <c r="G7" i="58"/>
  <c r="I7" i="58"/>
  <c r="D7" i="56"/>
  <c r="E7" i="56"/>
  <c r="F10" i="56"/>
  <c r="J10" i="56"/>
  <c r="G12" i="53"/>
  <c r="H12" i="53"/>
  <c r="I12" i="53"/>
  <c r="J12" i="53"/>
  <c r="K12" i="53"/>
  <c r="F18" i="55"/>
  <c r="G18" i="55"/>
  <c r="G19" i="55" s="1"/>
  <c r="H18" i="55"/>
  <c r="H19" i="55" s="1"/>
  <c r="I18" i="55"/>
  <c r="J18" i="55"/>
  <c r="J19" i="55"/>
  <c r="F19" i="55"/>
  <c r="I19" i="55"/>
  <c r="D31" i="43"/>
  <c r="E31" i="43"/>
  <c r="E31" i="59" s="1"/>
  <c r="F31" i="43"/>
  <c r="F31" i="59"/>
  <c r="G31" i="43"/>
  <c r="G31" i="57" s="1"/>
  <c r="H31" i="43"/>
  <c r="H31" i="58" s="1"/>
  <c r="I31" i="43"/>
  <c r="I31" i="59"/>
  <c r="J31" i="43"/>
  <c r="J31" i="57"/>
  <c r="F7" i="43"/>
  <c r="F9" i="43" s="1"/>
  <c r="I10" i="43"/>
  <c r="D3" i="43"/>
  <c r="D3" i="59"/>
  <c r="E3" i="43"/>
  <c r="E3" i="57"/>
  <c r="F3" i="43"/>
  <c r="G3" i="43"/>
  <c r="H3" i="43"/>
  <c r="H3" i="57"/>
  <c r="I3" i="43"/>
  <c r="I3" i="57"/>
  <c r="J3" i="43"/>
  <c r="D4" i="43"/>
  <c r="D4" i="57"/>
  <c r="E4" i="43"/>
  <c r="F4" i="43"/>
  <c r="F4" i="57"/>
  <c r="G4" i="43"/>
  <c r="G4" i="57"/>
  <c r="H4" i="43"/>
  <c r="H4" i="59"/>
  <c r="I4" i="43"/>
  <c r="I4" i="57"/>
  <c r="J4" i="43"/>
  <c r="J4" i="59"/>
  <c r="G113" i="50"/>
  <c r="F113" i="50"/>
  <c r="E113" i="50"/>
  <c r="G100" i="50"/>
  <c r="F100" i="50"/>
  <c r="E100" i="50"/>
  <c r="G87" i="50"/>
  <c r="F87" i="50"/>
  <c r="E87" i="50"/>
  <c r="G74" i="50"/>
  <c r="F74" i="50"/>
  <c r="E74" i="50"/>
  <c r="G61" i="50"/>
  <c r="F61" i="50"/>
  <c r="E61" i="50"/>
  <c r="G48" i="50"/>
  <c r="F48" i="50"/>
  <c r="E48" i="50"/>
  <c r="G35" i="50"/>
  <c r="F35" i="50"/>
  <c r="E35" i="50"/>
  <c r="G21" i="50"/>
  <c r="F21" i="50"/>
  <c r="E21" i="50"/>
  <c r="F7" i="50"/>
  <c r="H109" i="50"/>
  <c r="D117" i="50" s="1"/>
  <c r="D114" i="50"/>
  <c r="D4" i="53"/>
  <c r="E4" i="53"/>
  <c r="F4" i="53"/>
  <c r="G4" i="53"/>
  <c r="H4" i="53"/>
  <c r="I4" i="53"/>
  <c r="J4" i="53"/>
  <c r="K4" i="53"/>
  <c r="D5" i="53"/>
  <c r="E5" i="53"/>
  <c r="F5" i="53"/>
  <c r="G5" i="53"/>
  <c r="H5" i="53"/>
  <c r="I5" i="53"/>
  <c r="J5" i="53"/>
  <c r="K5" i="53"/>
  <c r="D115" i="50"/>
  <c r="D61" i="50"/>
  <c r="K8" i="43"/>
  <c r="C5" i="2"/>
  <c r="D15" i="55"/>
  <c r="E15" i="55"/>
  <c r="F15" i="55"/>
  <c r="G15" i="55"/>
  <c r="H15" i="55"/>
  <c r="I15" i="55"/>
  <c r="J15" i="55"/>
  <c r="K15" i="55"/>
  <c r="E7" i="50"/>
  <c r="L12" i="53"/>
  <c r="N7" i="55"/>
  <c r="N8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4" i="43"/>
  <c r="C7" i="57"/>
  <c r="C8" i="57" s="1"/>
  <c r="B5" i="51"/>
  <c r="L9" i="55"/>
  <c r="G22" i="51"/>
  <c r="B7" i="51"/>
  <c r="C31" i="43"/>
  <c r="C32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/>
  <c r="L13" i="36"/>
  <c r="K13" i="36"/>
  <c r="J13" i="36"/>
  <c r="J10" i="36"/>
  <c r="I13" i="36"/>
  <c r="H13" i="36"/>
  <c r="G13" i="36"/>
  <c r="F13" i="36"/>
  <c r="E13" i="36"/>
  <c r="D13" i="36"/>
  <c r="D10" i="36"/>
  <c r="D17" i="36"/>
  <c r="D19" i="36"/>
  <c r="C13" i="36"/>
  <c r="L12" i="36"/>
  <c r="K12" i="36"/>
  <c r="K10" i="36"/>
  <c r="K17" i="36"/>
  <c r="K19" i="36"/>
  <c r="J12" i="36"/>
  <c r="I12" i="36"/>
  <c r="H12" i="36"/>
  <c r="G12" i="36"/>
  <c r="F12" i="36"/>
  <c r="E12" i="36"/>
  <c r="M12" i="36"/>
  <c r="D12" i="36"/>
  <c r="C12" i="36"/>
  <c r="L11" i="36"/>
  <c r="K11" i="36"/>
  <c r="J11" i="36"/>
  <c r="I11" i="36"/>
  <c r="H11" i="36"/>
  <c r="G11" i="36"/>
  <c r="F11" i="36"/>
  <c r="F10" i="36"/>
  <c r="E11" i="36"/>
  <c r="D11" i="36"/>
  <c r="C11" i="36"/>
  <c r="C10" i="36"/>
  <c r="M9" i="36"/>
  <c r="M8" i="36"/>
  <c r="L7" i="36"/>
  <c r="K7" i="36"/>
  <c r="J7" i="36"/>
  <c r="I7" i="36"/>
  <c r="H7" i="36"/>
  <c r="G7" i="36"/>
  <c r="F7" i="36"/>
  <c r="M7" i="36"/>
  <c r="E7" i="36"/>
  <c r="K6" i="36"/>
  <c r="J6" i="36"/>
  <c r="I6" i="36"/>
  <c r="I5" i="36"/>
  <c r="E6" i="36"/>
  <c r="E5" i="36"/>
  <c r="K5" i="36"/>
  <c r="J5" i="36"/>
  <c r="J17" i="36"/>
  <c r="J19" i="36"/>
  <c r="D5" i="36"/>
  <c r="C5" i="36"/>
  <c r="D4" i="36"/>
  <c r="E4" i="36"/>
  <c r="F4" i="36"/>
  <c r="G4" i="36"/>
  <c r="H4" i="36"/>
  <c r="I4" i="36"/>
  <c r="J4" i="36"/>
  <c r="K4" i="36"/>
  <c r="L4" i="36"/>
  <c r="M6" i="36"/>
  <c r="G10" i="36"/>
  <c r="M15" i="36"/>
  <c r="H10" i="36"/>
  <c r="M5" i="36"/>
  <c r="I10" i="36"/>
  <c r="I17" i="36"/>
  <c r="I19" i="36"/>
  <c r="L10" i="36"/>
  <c r="I10" i="57"/>
  <c r="I4" i="58"/>
  <c r="I13" i="43"/>
  <c r="J7" i="56"/>
  <c r="G7" i="59"/>
  <c r="D88" i="50"/>
  <c r="I45" i="43"/>
  <c r="F31" i="57"/>
  <c r="D116" i="50"/>
  <c r="D112" i="50"/>
  <c r="D111" i="50"/>
  <c r="D113" i="50"/>
  <c r="J3" i="57"/>
  <c r="J3" i="59"/>
  <c r="J3" i="56"/>
  <c r="G3" i="59"/>
  <c r="G3" i="57"/>
  <c r="G3" i="56"/>
  <c r="H10" i="43"/>
  <c r="H9" i="43"/>
  <c r="E7" i="43"/>
  <c r="E9" i="43" s="1"/>
  <c r="D3" i="56"/>
  <c r="I31" i="56"/>
  <c r="H10" i="57"/>
  <c r="J45" i="56"/>
  <c r="J45" i="59"/>
  <c r="J20" i="59"/>
  <c r="D87" i="50"/>
  <c r="I3" i="58"/>
  <c r="D103" i="50"/>
  <c r="J38" i="43"/>
  <c r="J38" i="59"/>
  <c r="J13" i="59"/>
  <c r="D84" i="50"/>
  <c r="I36" i="43"/>
  <c r="D19" i="50"/>
  <c r="D43" i="43"/>
  <c r="D100" i="50"/>
  <c r="D86" i="50"/>
  <c r="I37" i="43"/>
  <c r="D97" i="50"/>
  <c r="J36" i="43"/>
  <c r="D85" i="50"/>
  <c r="I43" i="43"/>
  <c r="D102" i="50"/>
  <c r="J44" i="43"/>
  <c r="J19" i="43"/>
  <c r="D89" i="50"/>
  <c r="I44" i="43"/>
  <c r="I19" i="43"/>
  <c r="E21" i="53"/>
  <c r="C17" i="36"/>
  <c r="M13" i="36"/>
  <c r="M11" i="36"/>
  <c r="E10" i="36"/>
  <c r="E17" i="36"/>
  <c r="E19" i="36"/>
  <c r="G18" i="2"/>
  <c r="B10" i="51"/>
  <c r="G4" i="58"/>
  <c r="J4" i="57"/>
  <c r="J4" i="58"/>
  <c r="F4" i="58"/>
  <c r="D21" i="50"/>
  <c r="E32" i="43"/>
  <c r="D4" i="58"/>
  <c r="D3" i="57"/>
  <c r="C31" i="58"/>
  <c r="C3" i="58"/>
  <c r="C4" i="57"/>
  <c r="C4" i="59"/>
  <c r="C4" i="56"/>
  <c r="C4" i="58"/>
  <c r="H4" i="58"/>
  <c r="H4" i="57"/>
  <c r="I3" i="59"/>
  <c r="I3" i="56"/>
  <c r="J10" i="43"/>
  <c r="J13" i="43"/>
  <c r="J11" i="43"/>
  <c r="J7" i="43"/>
  <c r="J9" i="43"/>
  <c r="J15" i="43" s="1"/>
  <c r="J16" i="43" s="1"/>
  <c r="G7" i="43"/>
  <c r="G9" i="43" s="1"/>
  <c r="J31" i="58"/>
  <c r="J31" i="56"/>
  <c r="J31" i="59"/>
  <c r="J32" i="43"/>
  <c r="J34" i="43"/>
  <c r="G31" i="56"/>
  <c r="D31" i="58"/>
  <c r="D31" i="59"/>
  <c r="D31" i="57"/>
  <c r="D32" i="43"/>
  <c r="F3" i="58"/>
  <c r="I10" i="58"/>
  <c r="F7" i="58"/>
  <c r="J10" i="57"/>
  <c r="J7" i="57"/>
  <c r="J9" i="57" s="1"/>
  <c r="J32" i="57" s="1"/>
  <c r="J34" i="57" s="1"/>
  <c r="J40" i="57" s="1"/>
  <c r="D31" i="56"/>
  <c r="G31" i="59"/>
  <c r="H10" i="59"/>
  <c r="I36" i="57"/>
  <c r="I11" i="57"/>
  <c r="I36" i="58"/>
  <c r="I11" i="58"/>
  <c r="I14" i="58" s="1"/>
  <c r="I36" i="59"/>
  <c r="I11" i="59"/>
  <c r="C31" i="59"/>
  <c r="C31" i="57"/>
  <c r="C31" i="56"/>
  <c r="I11" i="43"/>
  <c r="I14" i="43" s="1"/>
  <c r="J20" i="43"/>
  <c r="H4" i="56"/>
  <c r="I10" i="56"/>
  <c r="I13" i="56"/>
  <c r="I7" i="56"/>
  <c r="F7" i="56"/>
  <c r="K6" i="57"/>
  <c r="E21" i="57" s="1"/>
  <c r="E46" i="57" s="1"/>
  <c r="I36" i="56"/>
  <c r="I11" i="56"/>
  <c r="I38" i="58"/>
  <c r="I13" i="58"/>
  <c r="I38" i="57"/>
  <c r="I38" i="59"/>
  <c r="D71" i="50"/>
  <c r="H36" i="43" s="1"/>
  <c r="D77" i="50"/>
  <c r="H38" i="43" s="1"/>
  <c r="D72" i="50"/>
  <c r="H43" i="43" s="1"/>
  <c r="I45" i="58"/>
  <c r="I20" i="58"/>
  <c r="I45" i="59"/>
  <c r="I45" i="57"/>
  <c r="I20" i="57"/>
  <c r="I45" i="56"/>
  <c r="I20" i="56"/>
  <c r="D39" i="50"/>
  <c r="E47" i="43" s="1"/>
  <c r="D32" i="50"/>
  <c r="E36" i="43" s="1"/>
  <c r="I20" i="43"/>
  <c r="I12" i="43"/>
  <c r="J4" i="56"/>
  <c r="G4" i="56"/>
  <c r="D4" i="56"/>
  <c r="H3" i="58"/>
  <c r="E3" i="58"/>
  <c r="G4" i="59"/>
  <c r="D4" i="59"/>
  <c r="E3" i="59"/>
  <c r="F31" i="58"/>
  <c r="I31" i="57"/>
  <c r="H10" i="56"/>
  <c r="J38" i="57"/>
  <c r="J13" i="57"/>
  <c r="J38" i="56"/>
  <c r="J13" i="56"/>
  <c r="D11" i="50"/>
  <c r="C47" i="43" s="1"/>
  <c r="D5" i="50"/>
  <c r="C43" i="43" s="1"/>
  <c r="D4" i="50"/>
  <c r="C36" i="43" s="1"/>
  <c r="C36" i="56" s="1"/>
  <c r="D8" i="50"/>
  <c r="C45" i="43" s="1"/>
  <c r="C45" i="59" s="1"/>
  <c r="C20" i="59" s="1"/>
  <c r="I7" i="43"/>
  <c r="I9" i="43"/>
  <c r="I22" i="43"/>
  <c r="E31" i="56"/>
  <c r="I32" i="43"/>
  <c r="I34" i="43"/>
  <c r="I40" i="43"/>
  <c r="F32" i="43"/>
  <c r="F34" i="43" s="1"/>
  <c r="I4" i="56"/>
  <c r="F4" i="56"/>
  <c r="H3" i="56"/>
  <c r="E3" i="56"/>
  <c r="J3" i="58"/>
  <c r="G3" i="58"/>
  <c r="D3" i="58"/>
  <c r="I4" i="59"/>
  <c r="F4" i="59"/>
  <c r="H3" i="59"/>
  <c r="J10" i="58"/>
  <c r="I13" i="59"/>
  <c r="F31" i="56"/>
  <c r="I31" i="58"/>
  <c r="E31" i="58"/>
  <c r="G10" i="56"/>
  <c r="J7" i="58"/>
  <c r="F7" i="59"/>
  <c r="I10" i="59"/>
  <c r="E7" i="57"/>
  <c r="J20" i="56"/>
  <c r="J38" i="58"/>
  <c r="J13" i="58"/>
  <c r="I20" i="59"/>
  <c r="J36" i="58"/>
  <c r="J11" i="58"/>
  <c r="J44" i="58"/>
  <c r="J19" i="58"/>
  <c r="J44" i="59"/>
  <c r="J44" i="56"/>
  <c r="J19" i="56"/>
  <c r="D9" i="50"/>
  <c r="C44" i="43" s="1"/>
  <c r="I47" i="58"/>
  <c r="I22" i="58"/>
  <c r="I47" i="59"/>
  <c r="I22" i="59"/>
  <c r="I47" i="56"/>
  <c r="I22" i="56"/>
  <c r="J19" i="59"/>
  <c r="I13" i="57"/>
  <c r="I22" i="57"/>
  <c r="H10" i="58"/>
  <c r="J10" i="59"/>
  <c r="I7" i="57"/>
  <c r="I8" i="57" s="1"/>
  <c r="I9" i="57" s="1"/>
  <c r="J45" i="58"/>
  <c r="J20" i="58"/>
  <c r="J45" i="57"/>
  <c r="J20" i="57"/>
  <c r="D65" i="50"/>
  <c r="G47" i="43" s="1"/>
  <c r="D59" i="50"/>
  <c r="G43" i="43" s="1"/>
  <c r="D60" i="50"/>
  <c r="G37" i="43" s="1"/>
  <c r="D62" i="50"/>
  <c r="G45" i="43" s="1"/>
  <c r="D64" i="50"/>
  <c r="G38" i="43"/>
  <c r="G38" i="59" s="1"/>
  <c r="G13" i="59" s="1"/>
  <c r="D22" i="50"/>
  <c r="D45" i="43" s="1"/>
  <c r="D20" i="50"/>
  <c r="D37" i="43" s="1"/>
  <c r="D25" i="50"/>
  <c r="D47" i="43" s="1"/>
  <c r="D47" i="56" s="1"/>
  <c r="D22" i="56" s="1"/>
  <c r="D18" i="50"/>
  <c r="D36" i="43" s="1"/>
  <c r="D24" i="50"/>
  <c r="D38" i="43" s="1"/>
  <c r="D38" i="56" s="1"/>
  <c r="D13" i="56" s="1"/>
  <c r="D104" i="50"/>
  <c r="J47" i="43"/>
  <c r="D98" i="50"/>
  <c r="J43" i="43"/>
  <c r="D99" i="50"/>
  <c r="J37" i="43"/>
  <c r="I44" i="57"/>
  <c r="I19" i="57"/>
  <c r="I44" i="59"/>
  <c r="I19" i="59"/>
  <c r="I44" i="56"/>
  <c r="I19" i="56"/>
  <c r="I44" i="58"/>
  <c r="I19" i="58"/>
  <c r="J36" i="59"/>
  <c r="J11" i="59"/>
  <c r="J36" i="56"/>
  <c r="J11" i="56"/>
  <c r="J36" i="57"/>
  <c r="J11" i="57"/>
  <c r="I37" i="56"/>
  <c r="I12" i="56"/>
  <c r="I14" i="56"/>
  <c r="I37" i="57"/>
  <c r="I12" i="57"/>
  <c r="I14" i="57" s="1"/>
  <c r="I37" i="59"/>
  <c r="I12" i="59"/>
  <c r="I14" i="59" s="1"/>
  <c r="I37" i="58"/>
  <c r="I12" i="58"/>
  <c r="J44" i="57"/>
  <c r="J19" i="57"/>
  <c r="I43" i="59"/>
  <c r="I43" i="57"/>
  <c r="I43" i="58"/>
  <c r="I43" i="56"/>
  <c r="M10" i="36"/>
  <c r="C18" i="36"/>
  <c r="D18" i="36"/>
  <c r="E18" i="36"/>
  <c r="C19" i="36"/>
  <c r="E22" i="36"/>
  <c r="E23" i="36"/>
  <c r="M17" i="36"/>
  <c r="J43" i="57"/>
  <c r="J43" i="58"/>
  <c r="J43" i="56"/>
  <c r="J43" i="59"/>
  <c r="D45" i="56"/>
  <c r="D20" i="56"/>
  <c r="G37" i="56"/>
  <c r="G12" i="56" s="1"/>
  <c r="C36" i="57"/>
  <c r="C11" i="57" s="1"/>
  <c r="C36" i="58"/>
  <c r="C36" i="59"/>
  <c r="D36" i="57"/>
  <c r="D11" i="57"/>
  <c r="D36" i="56"/>
  <c r="D36" i="59"/>
  <c r="D11" i="59"/>
  <c r="D36" i="58"/>
  <c r="D11" i="58"/>
  <c r="J47" i="59"/>
  <c r="J22" i="59"/>
  <c r="J47" i="57"/>
  <c r="J22" i="57"/>
  <c r="J47" i="56"/>
  <c r="J22" i="56"/>
  <c r="J47" i="58"/>
  <c r="J22" i="58"/>
  <c r="G38" i="58"/>
  <c r="G13" i="58" s="1"/>
  <c r="E8" i="57"/>
  <c r="J40" i="43"/>
  <c r="J37" i="58"/>
  <c r="J12" i="58"/>
  <c r="J14" i="58" s="1"/>
  <c r="J37" i="56"/>
  <c r="J12" i="56"/>
  <c r="J14" i="56" s="1"/>
  <c r="J37" i="57"/>
  <c r="J12" i="57"/>
  <c r="J37" i="59"/>
  <c r="J12" i="59"/>
  <c r="J12" i="43"/>
  <c r="J14" i="43"/>
  <c r="D37" i="57"/>
  <c r="D12" i="57" s="1"/>
  <c r="D37" i="59"/>
  <c r="D12" i="59" s="1"/>
  <c r="J8" i="57"/>
  <c r="J22" i="43"/>
  <c r="J14" i="57"/>
  <c r="J14" i="59"/>
  <c r="I23" i="36"/>
  <c r="M19" i="36"/>
  <c r="C20" i="36"/>
  <c r="D20" i="36"/>
  <c r="E20" i="36"/>
  <c r="I22" i="36"/>
  <c r="D11" i="56"/>
  <c r="H28" i="51"/>
  <c r="I15" i="43" l="1"/>
  <c r="I16" i="43" s="1"/>
  <c r="F21" i="57"/>
  <c r="F46" i="57" s="1"/>
  <c r="G3" i="2"/>
  <c r="I15" i="57"/>
  <c r="I16" i="57" s="1"/>
  <c r="I32" i="57"/>
  <c r="I34" i="57" s="1"/>
  <c r="I40" i="57" s="1"/>
  <c r="J15" i="57"/>
  <c r="J16" i="57" s="1"/>
  <c r="E9" i="57"/>
  <c r="E32" i="57" s="1"/>
  <c r="G33" i="59"/>
  <c r="G33" i="57" s="1"/>
  <c r="G10" i="57" s="1"/>
  <c r="G10" i="58"/>
  <c r="G10" i="59"/>
  <c r="F33" i="59"/>
  <c r="F10" i="58"/>
  <c r="H43" i="57"/>
  <c r="H43" i="56"/>
  <c r="H38" i="59"/>
  <c r="H38" i="57"/>
  <c r="H38" i="56"/>
  <c r="D73" i="50"/>
  <c r="H37" i="43" s="1"/>
  <c r="D74" i="50"/>
  <c r="D78" i="50"/>
  <c r="H47" i="43" s="1"/>
  <c r="H47" i="59" s="1"/>
  <c r="H36" i="57"/>
  <c r="H14" i="57" s="1"/>
  <c r="H36" i="59"/>
  <c r="H14" i="59" s="1"/>
  <c r="H14" i="43"/>
  <c r="H15" i="43" s="1"/>
  <c r="H16" i="43" s="1"/>
  <c r="H45" i="59"/>
  <c r="H43" i="58"/>
  <c r="H38" i="58"/>
  <c r="H37" i="57"/>
  <c r="H44" i="59"/>
  <c r="H44" i="57"/>
  <c r="H44" i="58"/>
  <c r="H44" i="56"/>
  <c r="H9" i="57"/>
  <c r="H43" i="59"/>
  <c r="H45" i="56"/>
  <c r="H45" i="58"/>
  <c r="H36" i="58"/>
  <c r="H14" i="58" s="1"/>
  <c r="H31" i="56"/>
  <c r="H32" i="43"/>
  <c r="H34" i="43" s="1"/>
  <c r="H40" i="43" s="1"/>
  <c r="H45" i="57"/>
  <c r="H36" i="56"/>
  <c r="H14" i="56" s="1"/>
  <c r="H31" i="59"/>
  <c r="H31" i="57"/>
  <c r="E22" i="53"/>
  <c r="E33" i="43" s="1"/>
  <c r="E34" i="43" s="1"/>
  <c r="C33" i="43"/>
  <c r="E33" i="56"/>
  <c r="E33" i="58" s="1"/>
  <c r="E33" i="59" s="1"/>
  <c r="E33" i="57" s="1"/>
  <c r="E10" i="57" s="1"/>
  <c r="E10" i="43"/>
  <c r="C34" i="43"/>
  <c r="E22" i="55"/>
  <c r="D33" i="43"/>
  <c r="D33" i="56" s="1"/>
  <c r="D22" i="55"/>
  <c r="C17" i="55"/>
  <c r="D27" i="51"/>
  <c r="C56" i="2"/>
  <c r="C57" i="2"/>
  <c r="D26" i="51"/>
  <c r="J26" i="51"/>
  <c r="N9" i="55"/>
  <c r="O9" i="55" s="1"/>
  <c r="F8" i="59" s="1"/>
  <c r="F9" i="59" s="1"/>
  <c r="F32" i="59" s="1"/>
  <c r="F34" i="59" s="1"/>
  <c r="O8" i="55"/>
  <c r="G8" i="58"/>
  <c r="G9" i="58" s="1"/>
  <c r="G32" i="58" s="1"/>
  <c r="G34" i="58" s="1"/>
  <c r="O7" i="55"/>
  <c r="E8" i="56" s="1"/>
  <c r="E9" i="56" s="1"/>
  <c r="E32" i="56" s="1"/>
  <c r="D11" i="43"/>
  <c r="D7" i="43"/>
  <c r="D9" i="43" s="1"/>
  <c r="G45" i="58"/>
  <c r="G20" i="58" s="1"/>
  <c r="G45" i="56"/>
  <c r="G45" i="57"/>
  <c r="G20" i="57" s="1"/>
  <c r="G20" i="43"/>
  <c r="G45" i="59"/>
  <c r="G20" i="59" s="1"/>
  <c r="G22" i="43"/>
  <c r="G47" i="56"/>
  <c r="G47" i="59"/>
  <c r="G47" i="58"/>
  <c r="G22" i="58" s="1"/>
  <c r="G47" i="57"/>
  <c r="E36" i="59"/>
  <c r="E36" i="56"/>
  <c r="E36" i="58"/>
  <c r="E11" i="43"/>
  <c r="E36" i="57"/>
  <c r="E11" i="57" s="1"/>
  <c r="C44" i="56"/>
  <c r="C44" i="59"/>
  <c r="C19" i="59" s="1"/>
  <c r="C44" i="57"/>
  <c r="C19" i="57" s="1"/>
  <c r="C44" i="58"/>
  <c r="E47" i="58"/>
  <c r="E22" i="43"/>
  <c r="E47" i="59"/>
  <c r="E47" i="56"/>
  <c r="E47" i="57"/>
  <c r="E22" i="57" s="1"/>
  <c r="G43" i="59"/>
  <c r="G43" i="56"/>
  <c r="G43" i="57"/>
  <c r="G43" i="58"/>
  <c r="C43" i="57"/>
  <c r="C43" i="58"/>
  <c r="C43" i="56"/>
  <c r="C43" i="59"/>
  <c r="E43" i="58"/>
  <c r="E43" i="57"/>
  <c r="E43" i="59"/>
  <c r="E43" i="56"/>
  <c r="G38" i="57"/>
  <c r="G44" i="58"/>
  <c r="G19" i="58" s="1"/>
  <c r="D35" i="50"/>
  <c r="D37" i="50"/>
  <c r="E44" i="43" s="1"/>
  <c r="G32" i="43"/>
  <c r="G34" i="43" s="1"/>
  <c r="G40" i="43" s="1"/>
  <c r="G31" i="58"/>
  <c r="M21" i="55"/>
  <c r="F19" i="43"/>
  <c r="G13" i="43"/>
  <c r="G38" i="56"/>
  <c r="G13" i="56" s="1"/>
  <c r="E31" i="57"/>
  <c r="D34" i="50"/>
  <c r="E37" i="43" s="1"/>
  <c r="D36" i="50"/>
  <c r="E45" i="43" s="1"/>
  <c r="E45" i="56" s="1"/>
  <c r="E20" i="56" s="1"/>
  <c r="D38" i="50"/>
  <c r="E38" i="43" s="1"/>
  <c r="C11" i="59"/>
  <c r="D47" i="50"/>
  <c r="F37" i="43" s="1"/>
  <c r="F37" i="58" s="1"/>
  <c r="F12" i="58" s="1"/>
  <c r="D110" i="50"/>
  <c r="G9" i="57"/>
  <c r="G32" i="57" s="1"/>
  <c r="G34" i="57" s="1"/>
  <c r="F8" i="57"/>
  <c r="F9" i="57" s="1"/>
  <c r="F32" i="57" s="1"/>
  <c r="K7" i="57"/>
  <c r="G4" i="2" s="1"/>
  <c r="H6" i="36" s="1"/>
  <c r="H5" i="36" s="1"/>
  <c r="H17" i="36" s="1"/>
  <c r="H19" i="36" s="1"/>
  <c r="K6" i="56"/>
  <c r="E11" i="58"/>
  <c r="G22" i="57"/>
  <c r="G20" i="56"/>
  <c r="G13" i="57"/>
  <c r="C21" i="57"/>
  <c r="C46" i="57" s="1"/>
  <c r="J21" i="57"/>
  <c r="D21" i="57"/>
  <c r="D46" i="57" s="1"/>
  <c r="G21" i="57"/>
  <c r="G46" i="57" s="1"/>
  <c r="I21" i="57"/>
  <c r="D20" i="43"/>
  <c r="G7" i="56"/>
  <c r="L15" i="55"/>
  <c r="E11" i="56"/>
  <c r="G22" i="56"/>
  <c r="G22" i="59"/>
  <c r="E22" i="56"/>
  <c r="E7" i="59"/>
  <c r="E8" i="59" s="1"/>
  <c r="E9" i="59" s="1"/>
  <c r="E32" i="59" s="1"/>
  <c r="E7" i="58"/>
  <c r="C10" i="43"/>
  <c r="K6" i="43"/>
  <c r="C11" i="43"/>
  <c r="C22" i="43"/>
  <c r="C19" i="43"/>
  <c r="C7" i="56"/>
  <c r="K6" i="58"/>
  <c r="C7" i="58"/>
  <c r="C8" i="58" s="1"/>
  <c r="C9" i="58" s="1"/>
  <c r="C32" i="58" s="1"/>
  <c r="E22" i="58"/>
  <c r="C11" i="56"/>
  <c r="K6" i="59"/>
  <c r="C7" i="43"/>
  <c r="C11" i="58"/>
  <c r="E11" i="59"/>
  <c r="C19" i="56"/>
  <c r="C19" i="58"/>
  <c r="E22" i="59"/>
  <c r="D43" i="59"/>
  <c r="D43" i="58"/>
  <c r="D43" i="57"/>
  <c r="D43" i="56"/>
  <c r="D19" i="43"/>
  <c r="D44" i="58"/>
  <c r="D19" i="58" s="1"/>
  <c r="D44" i="59"/>
  <c r="D19" i="59" s="1"/>
  <c r="D44" i="57"/>
  <c r="D19" i="57" s="1"/>
  <c r="D44" i="56"/>
  <c r="D19" i="56" s="1"/>
  <c r="C20" i="43"/>
  <c r="C45" i="57"/>
  <c r="C20" i="57" s="1"/>
  <c r="C45" i="58"/>
  <c r="C20" i="58" s="1"/>
  <c r="C45" i="56"/>
  <c r="C20" i="56" s="1"/>
  <c r="C47" i="57"/>
  <c r="C22" i="57" s="1"/>
  <c r="C47" i="59"/>
  <c r="C22" i="59" s="1"/>
  <c r="C47" i="58"/>
  <c r="C22" i="58" s="1"/>
  <c r="C47" i="56"/>
  <c r="C22" i="56" s="1"/>
  <c r="D37" i="56"/>
  <c r="D12" i="56" s="1"/>
  <c r="D14" i="56" s="1"/>
  <c r="D37" i="58"/>
  <c r="D12" i="58" s="1"/>
  <c r="D12" i="43"/>
  <c r="G37" i="59"/>
  <c r="G12" i="59" s="1"/>
  <c r="G37" i="57"/>
  <c r="G12" i="57" s="1"/>
  <c r="G12" i="43"/>
  <c r="G37" i="58"/>
  <c r="G12" i="58" s="1"/>
  <c r="E45" i="59"/>
  <c r="E20" i="59" s="1"/>
  <c r="C9" i="57"/>
  <c r="E4" i="58"/>
  <c r="E4" i="59"/>
  <c r="E4" i="57"/>
  <c r="E4" i="56"/>
  <c r="F3" i="59"/>
  <c r="F3" i="57"/>
  <c r="F3" i="56"/>
  <c r="D8" i="58"/>
  <c r="D8" i="59"/>
  <c r="D9" i="59" s="1"/>
  <c r="F44" i="56"/>
  <c r="F19" i="56" s="1"/>
  <c r="F44" i="58"/>
  <c r="F19" i="58" s="1"/>
  <c r="F44" i="57"/>
  <c r="F19" i="57" s="1"/>
  <c r="D38" i="57"/>
  <c r="D13" i="57" s="1"/>
  <c r="D14" i="57" s="1"/>
  <c r="D38" i="59"/>
  <c r="D13" i="59" s="1"/>
  <c r="D14" i="59" s="1"/>
  <c r="D38" i="58"/>
  <c r="D13" i="58" s="1"/>
  <c r="D13" i="43"/>
  <c r="D47" i="58"/>
  <c r="D22" i="58" s="1"/>
  <c r="D22" i="43"/>
  <c r="D47" i="59"/>
  <c r="D22" i="59" s="1"/>
  <c r="D47" i="57"/>
  <c r="D22" i="57" s="1"/>
  <c r="G36" i="59"/>
  <c r="G11" i="43"/>
  <c r="G36" i="57"/>
  <c r="G36" i="58"/>
  <c r="G36" i="56"/>
  <c r="G11" i="56" s="1"/>
  <c r="D45" i="57"/>
  <c r="D20" i="57" s="1"/>
  <c r="D45" i="59"/>
  <c r="D20" i="59" s="1"/>
  <c r="G8" i="56"/>
  <c r="D45" i="58"/>
  <c r="D20" i="58" s="1"/>
  <c r="C3" i="59"/>
  <c r="C3" i="56"/>
  <c r="C3" i="57"/>
  <c r="C8" i="59"/>
  <c r="C9" i="59" s="1"/>
  <c r="D8" i="57"/>
  <c r="D9" i="57" s="1"/>
  <c r="F37" i="57"/>
  <c r="F12" i="57" s="1"/>
  <c r="F37" i="56"/>
  <c r="F12" i="56" s="1"/>
  <c r="F37" i="59"/>
  <c r="F12" i="59" s="1"/>
  <c r="F12" i="43"/>
  <c r="G44" i="57"/>
  <c r="G19" i="57" s="1"/>
  <c r="G44" i="56"/>
  <c r="G19" i="56" s="1"/>
  <c r="G19" i="43"/>
  <c r="D52" i="50"/>
  <c r="F47" i="43" s="1"/>
  <c r="D49" i="50"/>
  <c r="F45" i="43" s="1"/>
  <c r="D45" i="50"/>
  <c r="F36" i="43" s="1"/>
  <c r="D48" i="50"/>
  <c r="D46" i="50"/>
  <c r="F43" i="43" s="1"/>
  <c r="D51" i="50"/>
  <c r="F38" i="43" s="1"/>
  <c r="D7" i="50"/>
  <c r="D6" i="50"/>
  <c r="C37" i="43" s="1"/>
  <c r="C40" i="43" s="1"/>
  <c r="D10" i="50"/>
  <c r="C38" i="43" s="1"/>
  <c r="H47" i="58" l="1"/>
  <c r="H47" i="57"/>
  <c r="H47" i="56"/>
  <c r="F34" i="57"/>
  <c r="F33" i="57"/>
  <c r="F10" i="57" s="1"/>
  <c r="F10" i="59"/>
  <c r="H37" i="59"/>
  <c r="H37" i="56"/>
  <c r="H37" i="58"/>
  <c r="H15" i="57"/>
  <c r="H16" i="57" s="1"/>
  <c r="H32" i="57"/>
  <c r="H34" i="57" s="1"/>
  <c r="H40" i="57" s="1"/>
  <c r="E10" i="58"/>
  <c r="E10" i="59"/>
  <c r="E10" i="56"/>
  <c r="D10" i="56"/>
  <c r="D33" i="58"/>
  <c r="E34" i="57"/>
  <c r="E34" i="59"/>
  <c r="E40" i="59" s="1"/>
  <c r="E34" i="56"/>
  <c r="N17" i="55"/>
  <c r="N18" i="55" s="1"/>
  <c r="N19" i="55" s="1"/>
  <c r="M17" i="55"/>
  <c r="C22" i="55"/>
  <c r="C18" i="55"/>
  <c r="D34" i="43"/>
  <c r="D40" i="43" s="1"/>
  <c r="D10" i="43"/>
  <c r="K10" i="43" s="1"/>
  <c r="C7" i="2" s="1"/>
  <c r="C33" i="56"/>
  <c r="C55" i="2"/>
  <c r="K18" i="57"/>
  <c r="E26" i="51"/>
  <c r="K18" i="58"/>
  <c r="K18" i="56"/>
  <c r="C18" i="56" s="1"/>
  <c r="C17" i="56" s="1"/>
  <c r="K18" i="59"/>
  <c r="G18" i="59" s="1"/>
  <c r="G17" i="59" s="1"/>
  <c r="D28" i="51"/>
  <c r="K18" i="43"/>
  <c r="C60" i="2" s="1"/>
  <c r="E27" i="51"/>
  <c r="K21" i="43"/>
  <c r="C18" i="2" s="1"/>
  <c r="F8" i="56"/>
  <c r="F9" i="56" s="1"/>
  <c r="F32" i="56" s="1"/>
  <c r="F34" i="56" s="1"/>
  <c r="D8" i="56"/>
  <c r="D9" i="56" s="1"/>
  <c r="D32" i="56" s="1"/>
  <c r="D34" i="56" s="1"/>
  <c r="D40" i="56" s="1"/>
  <c r="F8" i="58"/>
  <c r="F9" i="58" s="1"/>
  <c r="F32" i="58" s="1"/>
  <c r="F34" i="58" s="1"/>
  <c r="H8" i="58"/>
  <c r="H9" i="58" s="1"/>
  <c r="J8" i="58"/>
  <c r="J9" i="58" s="1"/>
  <c r="I8" i="58"/>
  <c r="I9" i="58" s="1"/>
  <c r="H8" i="56"/>
  <c r="H9" i="56" s="1"/>
  <c r="I8" i="56"/>
  <c r="I9" i="56" s="1"/>
  <c r="J8" i="56"/>
  <c r="J9" i="56" s="1"/>
  <c r="G8" i="59"/>
  <c r="G9" i="59" s="1"/>
  <c r="G32" i="59" s="1"/>
  <c r="G34" i="59" s="1"/>
  <c r="J8" i="59"/>
  <c r="J9" i="59" s="1"/>
  <c r="I8" i="59"/>
  <c r="I9" i="59" s="1"/>
  <c r="H8" i="59"/>
  <c r="H9" i="59" s="1"/>
  <c r="E45" i="58"/>
  <c r="E20" i="58" s="1"/>
  <c r="G9" i="56"/>
  <c r="G32" i="56" s="1"/>
  <c r="G34" i="56" s="1"/>
  <c r="G40" i="56" s="1"/>
  <c r="E37" i="58"/>
  <c r="E12" i="58" s="1"/>
  <c r="E37" i="59"/>
  <c r="E12" i="59" s="1"/>
  <c r="E14" i="59" s="1"/>
  <c r="E12" i="43"/>
  <c r="E37" i="57"/>
  <c r="E37" i="56"/>
  <c r="E12" i="56" s="1"/>
  <c r="G14" i="56"/>
  <c r="E45" i="57"/>
  <c r="E20" i="57" s="1"/>
  <c r="E20" i="43"/>
  <c r="E38" i="57"/>
  <c r="E13" i="57" s="1"/>
  <c r="E13" i="43"/>
  <c r="E38" i="58"/>
  <c r="E13" i="58" s="1"/>
  <c r="E38" i="59"/>
  <c r="E13" i="59" s="1"/>
  <c r="E38" i="56"/>
  <c r="E13" i="56" s="1"/>
  <c r="E44" i="59"/>
  <c r="E19" i="59" s="1"/>
  <c r="K19" i="59" s="1"/>
  <c r="F16" i="2" s="1"/>
  <c r="E44" i="56"/>
  <c r="E19" i="56" s="1"/>
  <c r="K19" i="56" s="1"/>
  <c r="D16" i="2" s="1"/>
  <c r="E44" i="57"/>
  <c r="E19" i="57" s="1"/>
  <c r="E44" i="58"/>
  <c r="E19" i="58" s="1"/>
  <c r="K19" i="58" s="1"/>
  <c r="E16" i="2" s="1"/>
  <c r="E19" i="43"/>
  <c r="K19" i="43" s="1"/>
  <c r="C16" i="2" s="1"/>
  <c r="E40" i="43"/>
  <c r="H46" i="57"/>
  <c r="K7" i="59"/>
  <c r="F4" i="2" s="1"/>
  <c r="I18" i="56"/>
  <c r="I17" i="56" s="1"/>
  <c r="D3" i="2"/>
  <c r="I46" i="57"/>
  <c r="I48" i="57" s="1"/>
  <c r="J46" i="57"/>
  <c r="J48" i="57" s="1"/>
  <c r="F3" i="2"/>
  <c r="E18" i="59"/>
  <c r="E17" i="59" s="1"/>
  <c r="K7" i="58"/>
  <c r="E4" i="2" s="1"/>
  <c r="C8" i="56"/>
  <c r="K7" i="56"/>
  <c r="D4" i="2" s="1"/>
  <c r="G6" i="36" s="1"/>
  <c r="G5" i="36" s="1"/>
  <c r="G17" i="36" s="1"/>
  <c r="G19" i="36" s="1"/>
  <c r="D14" i="43"/>
  <c r="D15" i="43" s="1"/>
  <c r="D16" i="43" s="1"/>
  <c r="C9" i="43"/>
  <c r="K9" i="43" s="1"/>
  <c r="K7" i="43"/>
  <c r="C4" i="2" s="1"/>
  <c r="G18" i="58"/>
  <c r="G17" i="58" s="1"/>
  <c r="E18" i="58"/>
  <c r="E17" i="58" s="1"/>
  <c r="J18" i="58"/>
  <c r="J17" i="58" s="1"/>
  <c r="C18" i="58"/>
  <c r="C17" i="58" s="1"/>
  <c r="D18" i="58"/>
  <c r="D17" i="58" s="1"/>
  <c r="H18" i="58"/>
  <c r="I18" i="58"/>
  <c r="I17" i="58" s="1"/>
  <c r="E3" i="2"/>
  <c r="F18" i="58"/>
  <c r="G21" i="43"/>
  <c r="G46" i="43" s="1"/>
  <c r="G48" i="43" s="1"/>
  <c r="C21" i="43"/>
  <c r="C46" i="43" s="1"/>
  <c r="C48" i="43" s="1"/>
  <c r="D18" i="43"/>
  <c r="D17" i="43" s="1"/>
  <c r="D21" i="43"/>
  <c r="D46" i="43" s="1"/>
  <c r="D48" i="43" s="1"/>
  <c r="C3" i="2"/>
  <c r="F21" i="43"/>
  <c r="F46" i="43" s="1"/>
  <c r="E21" i="43"/>
  <c r="E46" i="43" s="1"/>
  <c r="J21" i="43"/>
  <c r="I21" i="43"/>
  <c r="E8" i="58"/>
  <c r="K8" i="58" s="1"/>
  <c r="E5" i="2" s="1"/>
  <c r="D32" i="57"/>
  <c r="D32" i="59"/>
  <c r="F38" i="57"/>
  <c r="F13" i="57" s="1"/>
  <c r="F13" i="43"/>
  <c r="F38" i="59"/>
  <c r="F13" i="59" s="1"/>
  <c r="F38" i="56"/>
  <c r="F13" i="56" s="1"/>
  <c r="F38" i="58"/>
  <c r="F13" i="58" s="1"/>
  <c r="F36" i="58"/>
  <c r="F11" i="43"/>
  <c r="F36" i="57"/>
  <c r="F36" i="56"/>
  <c r="F36" i="59"/>
  <c r="F11" i="59" s="1"/>
  <c r="C32" i="59"/>
  <c r="G15" i="56"/>
  <c r="G11" i="57"/>
  <c r="G14" i="57" s="1"/>
  <c r="G15" i="57" s="1"/>
  <c r="G40" i="57"/>
  <c r="G48" i="57" s="1"/>
  <c r="D9" i="58"/>
  <c r="K8" i="57"/>
  <c r="G5" i="2" s="1"/>
  <c r="D14" i="58"/>
  <c r="F40" i="43"/>
  <c r="K19" i="57"/>
  <c r="G16" i="2" s="1"/>
  <c r="G42" i="2" s="1"/>
  <c r="F47" i="56"/>
  <c r="F22" i="56" s="1"/>
  <c r="F22" i="43"/>
  <c r="F47" i="58"/>
  <c r="F22" i="58" s="1"/>
  <c r="F47" i="57"/>
  <c r="F22" i="57" s="1"/>
  <c r="F47" i="59"/>
  <c r="F22" i="59" s="1"/>
  <c r="K22" i="59" s="1"/>
  <c r="G11" i="58"/>
  <c r="G14" i="58" s="1"/>
  <c r="G15" i="58" s="1"/>
  <c r="G40" i="58"/>
  <c r="G11" i="59"/>
  <c r="G14" i="59" s="1"/>
  <c r="G15" i="59" s="1"/>
  <c r="G40" i="59"/>
  <c r="K22" i="58"/>
  <c r="C38" i="56"/>
  <c r="C13" i="56" s="1"/>
  <c r="C38" i="57"/>
  <c r="C13" i="57" s="1"/>
  <c r="C38" i="58"/>
  <c r="C13" i="58" s="1"/>
  <c r="C13" i="43"/>
  <c r="C38" i="59"/>
  <c r="C13" i="59" s="1"/>
  <c r="C37" i="58"/>
  <c r="C12" i="58" s="1"/>
  <c r="C12" i="43"/>
  <c r="C37" i="57"/>
  <c r="C12" i="57" s="1"/>
  <c r="C37" i="56"/>
  <c r="C12" i="56" s="1"/>
  <c r="C37" i="59"/>
  <c r="C12" i="59" s="1"/>
  <c r="F43" i="59"/>
  <c r="F43" i="57"/>
  <c r="F43" i="58"/>
  <c r="F43" i="56"/>
  <c r="F45" i="58"/>
  <c r="F20" i="58" s="1"/>
  <c r="K20" i="58" s="1"/>
  <c r="E17" i="2" s="1"/>
  <c r="F45" i="57"/>
  <c r="F20" i="57" s="1"/>
  <c r="F45" i="59"/>
  <c r="F20" i="59" s="1"/>
  <c r="K20" i="59" s="1"/>
  <c r="F17" i="2" s="1"/>
  <c r="F20" i="43"/>
  <c r="K20" i="43" s="1"/>
  <c r="C17" i="2" s="1"/>
  <c r="F45" i="56"/>
  <c r="F20" i="56" s="1"/>
  <c r="K20" i="56" s="1"/>
  <c r="D17" i="2" s="1"/>
  <c r="G14" i="43"/>
  <c r="G15" i="43" s="1"/>
  <c r="C32" i="57"/>
  <c r="K9" i="57"/>
  <c r="G6" i="2" s="1"/>
  <c r="E9" i="58" l="1"/>
  <c r="E14" i="58"/>
  <c r="E14" i="56"/>
  <c r="K22" i="43"/>
  <c r="C19" i="2" s="1"/>
  <c r="H48" i="57"/>
  <c r="D42" i="2"/>
  <c r="E15" i="59"/>
  <c r="D33" i="59"/>
  <c r="D34" i="59" s="1"/>
  <c r="D40" i="59" s="1"/>
  <c r="D10" i="58"/>
  <c r="D15" i="58" s="1"/>
  <c r="E15" i="56"/>
  <c r="E16" i="56" s="1"/>
  <c r="M18" i="55"/>
  <c r="M19" i="55" s="1"/>
  <c r="C19" i="55"/>
  <c r="C33" i="58"/>
  <c r="C10" i="56"/>
  <c r="K10" i="56" s="1"/>
  <c r="D7" i="2" s="1"/>
  <c r="D30" i="2" s="1"/>
  <c r="M22" i="55"/>
  <c r="I18" i="59"/>
  <c r="I17" i="59" s="1"/>
  <c r="D18" i="59"/>
  <c r="D17" i="59" s="1"/>
  <c r="J18" i="59"/>
  <c r="J17" i="59" s="1"/>
  <c r="C18" i="59"/>
  <c r="C17" i="59" s="1"/>
  <c r="H18" i="59"/>
  <c r="F18" i="59"/>
  <c r="F17" i="59" s="1"/>
  <c r="J18" i="43"/>
  <c r="J17" i="43" s="1"/>
  <c r="J23" i="43" s="1"/>
  <c r="J24" i="43" s="1"/>
  <c r="G18" i="43"/>
  <c r="G17" i="43" s="1"/>
  <c r="G23" i="43" s="1"/>
  <c r="G24" i="43" s="1"/>
  <c r="K21" i="56"/>
  <c r="F27" i="51"/>
  <c r="D60" i="2"/>
  <c r="J18" i="56"/>
  <c r="J17" i="56" s="1"/>
  <c r="E18" i="56"/>
  <c r="E17" i="56" s="1"/>
  <c r="H18" i="56"/>
  <c r="G18" i="56"/>
  <c r="G17" i="56" s="1"/>
  <c r="F18" i="56"/>
  <c r="F17" i="56" s="1"/>
  <c r="F26" i="51"/>
  <c r="E28" i="51"/>
  <c r="C18" i="43"/>
  <c r="C17" i="43" s="1"/>
  <c r="C23" i="43" s="1"/>
  <c r="I18" i="43"/>
  <c r="I17" i="43" s="1"/>
  <c r="I23" i="43" s="1"/>
  <c r="I24" i="43" s="1"/>
  <c r="E18" i="43"/>
  <c r="E17" i="43" s="1"/>
  <c r="E23" i="43" s="1"/>
  <c r="F18" i="43"/>
  <c r="F17" i="43" s="1"/>
  <c r="F23" i="43" s="1"/>
  <c r="H18" i="43"/>
  <c r="H23" i="43" s="1"/>
  <c r="H24" i="43" s="1"/>
  <c r="D18" i="56"/>
  <c r="D17" i="56" s="1"/>
  <c r="C18" i="57"/>
  <c r="C17" i="57" s="1"/>
  <c r="C23" i="57" s="1"/>
  <c r="G60" i="2"/>
  <c r="I18" i="57"/>
  <c r="I17" i="57" s="1"/>
  <c r="I23" i="57" s="1"/>
  <c r="I24" i="57" s="1"/>
  <c r="I25" i="57" s="1"/>
  <c r="I26" i="57" s="1"/>
  <c r="I27" i="57" s="1"/>
  <c r="J18" i="57"/>
  <c r="J17" i="57" s="1"/>
  <c r="J23" i="57" s="1"/>
  <c r="J24" i="57" s="1"/>
  <c r="G18" i="57"/>
  <c r="G17" i="57" s="1"/>
  <c r="G23" i="57" s="1"/>
  <c r="G24" i="57" s="1"/>
  <c r="D18" i="57"/>
  <c r="D17" i="57" s="1"/>
  <c r="D23" i="57" s="1"/>
  <c r="H18" i="57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F18" i="57"/>
  <c r="F17" i="57" s="1"/>
  <c r="J32" i="59"/>
  <c r="J34" i="59" s="1"/>
  <c r="J40" i="59" s="1"/>
  <c r="J15" i="59"/>
  <c r="J16" i="59" s="1"/>
  <c r="I15" i="56"/>
  <c r="I16" i="56" s="1"/>
  <c r="I32" i="56"/>
  <c r="I34" i="56" s="1"/>
  <c r="I40" i="56" s="1"/>
  <c r="J15" i="58"/>
  <c r="J16" i="58" s="1"/>
  <c r="J32" i="58"/>
  <c r="J34" i="58" s="1"/>
  <c r="J40" i="58" s="1"/>
  <c r="D15" i="56"/>
  <c r="D16" i="56" s="1"/>
  <c r="K8" i="59"/>
  <c r="F5" i="2" s="1"/>
  <c r="K9" i="59"/>
  <c r="F6" i="2" s="1"/>
  <c r="F29" i="2" s="1"/>
  <c r="H15" i="59"/>
  <c r="H16" i="59" s="1"/>
  <c r="H32" i="59"/>
  <c r="H34" i="59" s="1"/>
  <c r="H40" i="59" s="1"/>
  <c r="H15" i="56"/>
  <c r="H16" i="56" s="1"/>
  <c r="H32" i="56"/>
  <c r="H34" i="56" s="1"/>
  <c r="H40" i="56" s="1"/>
  <c r="H32" i="58"/>
  <c r="H34" i="58" s="1"/>
  <c r="H40" i="58" s="1"/>
  <c r="H15" i="58"/>
  <c r="H16" i="58" s="1"/>
  <c r="I15" i="59"/>
  <c r="I16" i="59" s="1"/>
  <c r="I32" i="59"/>
  <c r="I34" i="59" s="1"/>
  <c r="I40" i="59" s="1"/>
  <c r="J15" i="56"/>
  <c r="J16" i="56" s="1"/>
  <c r="J32" i="56"/>
  <c r="J34" i="56" s="1"/>
  <c r="J40" i="56" s="1"/>
  <c r="I15" i="58"/>
  <c r="I16" i="58" s="1"/>
  <c r="I32" i="58"/>
  <c r="I34" i="58" s="1"/>
  <c r="I40" i="58" s="1"/>
  <c r="E16" i="59"/>
  <c r="F48" i="43"/>
  <c r="E48" i="43"/>
  <c r="E12" i="57"/>
  <c r="E14" i="57" s="1"/>
  <c r="E15" i="57" s="1"/>
  <c r="E16" i="57" s="1"/>
  <c r="E40" i="57"/>
  <c r="E48" i="57" s="1"/>
  <c r="E40" i="56"/>
  <c r="F40" i="59"/>
  <c r="K20" i="57"/>
  <c r="G17" i="2" s="1"/>
  <c r="H17" i="2" s="1"/>
  <c r="K13" i="59"/>
  <c r="F10" i="2" s="1"/>
  <c r="F36" i="2" s="1"/>
  <c r="E14" i="43"/>
  <c r="E15" i="43" s="1"/>
  <c r="E16" i="43" s="1"/>
  <c r="K13" i="43"/>
  <c r="C10" i="2" s="1"/>
  <c r="C36" i="2" s="1"/>
  <c r="K22" i="57"/>
  <c r="G19" i="2" s="1"/>
  <c r="G51" i="2" s="1"/>
  <c r="K13" i="57"/>
  <c r="G10" i="2" s="1"/>
  <c r="G47" i="2" s="1"/>
  <c r="F17" i="58"/>
  <c r="K17" i="58" s="1"/>
  <c r="E14" i="2" s="1"/>
  <c r="K13" i="56"/>
  <c r="D10" i="2" s="1"/>
  <c r="D36" i="2" s="1"/>
  <c r="H3" i="2"/>
  <c r="J46" i="43"/>
  <c r="J48" i="43" s="1"/>
  <c r="D23" i="43"/>
  <c r="D24" i="43" s="1"/>
  <c r="D25" i="43" s="1"/>
  <c r="D26" i="43" s="1"/>
  <c r="D27" i="43" s="1"/>
  <c r="E15" i="58"/>
  <c r="E32" i="58"/>
  <c r="E34" i="58" s="1"/>
  <c r="E40" i="58" s="1"/>
  <c r="I46" i="43"/>
  <c r="I48" i="43" s="1"/>
  <c r="H46" i="43"/>
  <c r="H48" i="43" s="1"/>
  <c r="C6" i="2"/>
  <c r="F6" i="36"/>
  <c r="F5" i="36" s="1"/>
  <c r="F17" i="36" s="1"/>
  <c r="K8" i="56"/>
  <c r="D5" i="2" s="1"/>
  <c r="C9" i="56"/>
  <c r="H4" i="2"/>
  <c r="L6" i="36" s="1"/>
  <c r="L5" i="36" s="1"/>
  <c r="L17" i="36" s="1"/>
  <c r="L19" i="36" s="1"/>
  <c r="C30" i="2"/>
  <c r="C43" i="2"/>
  <c r="F19" i="2"/>
  <c r="D43" i="2"/>
  <c r="G29" i="2"/>
  <c r="G50" i="2"/>
  <c r="K12" i="59"/>
  <c r="F9" i="2" s="1"/>
  <c r="F35" i="2" s="1"/>
  <c r="C14" i="59"/>
  <c r="C14" i="43"/>
  <c r="K12" i="43"/>
  <c r="C9" i="2" s="1"/>
  <c r="E19" i="2"/>
  <c r="D32" i="58"/>
  <c r="D34" i="58" s="1"/>
  <c r="D40" i="58" s="1"/>
  <c r="K9" i="58"/>
  <c r="E6" i="2" s="1"/>
  <c r="E29" i="2" s="1"/>
  <c r="K22" i="56"/>
  <c r="K12" i="56"/>
  <c r="D9" i="2" s="1"/>
  <c r="D35" i="2" s="1"/>
  <c r="C14" i="56"/>
  <c r="C14" i="58"/>
  <c r="K12" i="58"/>
  <c r="E9" i="2" s="1"/>
  <c r="E35" i="2" s="1"/>
  <c r="K13" i="58"/>
  <c r="E10" i="2" s="1"/>
  <c r="E36" i="2" s="1"/>
  <c r="G16" i="58"/>
  <c r="G16" i="57"/>
  <c r="F14" i="59"/>
  <c r="F15" i="59" s="1"/>
  <c r="K11" i="59"/>
  <c r="F8" i="2" s="1"/>
  <c r="F34" i="2" s="1"/>
  <c r="F14" i="43"/>
  <c r="F15" i="43" s="1"/>
  <c r="K11" i="43"/>
  <c r="C8" i="2" s="1"/>
  <c r="G16" i="43"/>
  <c r="G16" i="56"/>
  <c r="F11" i="57"/>
  <c r="F40" i="57"/>
  <c r="F48" i="57" s="1"/>
  <c r="C14" i="57"/>
  <c r="G16" i="59"/>
  <c r="H16" i="2"/>
  <c r="C42" i="2"/>
  <c r="F11" i="56"/>
  <c r="F40" i="56"/>
  <c r="F11" i="58"/>
  <c r="F40" i="58"/>
  <c r="H5" i="2" l="1"/>
  <c r="C47" i="2"/>
  <c r="D10" i="59"/>
  <c r="D15" i="59" s="1"/>
  <c r="D16" i="59" s="1"/>
  <c r="D33" i="57"/>
  <c r="C33" i="59"/>
  <c r="C10" i="58"/>
  <c r="K10" i="58" s="1"/>
  <c r="E7" i="2" s="1"/>
  <c r="E30" i="2" s="1"/>
  <c r="E31" i="2" s="1"/>
  <c r="E32" i="2" s="1"/>
  <c r="C34" i="58"/>
  <c r="C40" i="58" s="1"/>
  <c r="K17" i="59"/>
  <c r="F14" i="2" s="1"/>
  <c r="J25" i="57"/>
  <c r="J26" i="57" s="1"/>
  <c r="J27" i="57" s="1"/>
  <c r="K17" i="57"/>
  <c r="F23" i="57"/>
  <c r="K17" i="56"/>
  <c r="D14" i="2" s="1"/>
  <c r="D41" i="2" s="1"/>
  <c r="D18" i="2"/>
  <c r="F21" i="56"/>
  <c r="D21" i="56"/>
  <c r="D46" i="56" s="1"/>
  <c r="D48" i="56" s="1"/>
  <c r="C21" i="56"/>
  <c r="E21" i="56"/>
  <c r="G21" i="56"/>
  <c r="I21" i="56"/>
  <c r="J21" i="56"/>
  <c r="K17" i="43"/>
  <c r="C14" i="2" s="1"/>
  <c r="C48" i="2" s="1"/>
  <c r="G26" i="51"/>
  <c r="F28" i="51"/>
  <c r="G27" i="51"/>
  <c r="K21" i="59" s="1"/>
  <c r="K21" i="58"/>
  <c r="G36" i="2"/>
  <c r="G43" i="2"/>
  <c r="C49" i="2"/>
  <c r="H42" i="2"/>
  <c r="K12" i="57"/>
  <c r="G9" i="2" s="1"/>
  <c r="G35" i="2" s="1"/>
  <c r="G49" i="2"/>
  <c r="E24" i="43"/>
  <c r="E25" i="43" s="1"/>
  <c r="E26" i="43" s="1"/>
  <c r="E27" i="43" s="1"/>
  <c r="C50" i="2"/>
  <c r="C29" i="2"/>
  <c r="C31" i="2" s="1"/>
  <c r="C32" i="2" s="1"/>
  <c r="J25" i="43"/>
  <c r="J26" i="43" s="1"/>
  <c r="J27" i="43" s="1"/>
  <c r="K9" i="56"/>
  <c r="D6" i="2" s="1"/>
  <c r="C32" i="56"/>
  <c r="C34" i="56" s="1"/>
  <c r="C40" i="56" s="1"/>
  <c r="H25" i="43"/>
  <c r="H26" i="43" s="1"/>
  <c r="H27" i="43" s="1"/>
  <c r="F19" i="36"/>
  <c r="F20" i="36" s="1"/>
  <c r="G20" i="36" s="1"/>
  <c r="H20" i="36" s="1"/>
  <c r="F18" i="36"/>
  <c r="G18" i="36" s="1"/>
  <c r="H18" i="36" s="1"/>
  <c r="I25" i="43"/>
  <c r="I26" i="43" s="1"/>
  <c r="I27" i="43" s="1"/>
  <c r="E16" i="58"/>
  <c r="D16" i="58"/>
  <c r="F14" i="56"/>
  <c r="F15" i="56" s="1"/>
  <c r="K11" i="56"/>
  <c r="D8" i="2" s="1"/>
  <c r="F14" i="57"/>
  <c r="F15" i="57" s="1"/>
  <c r="K11" i="57"/>
  <c r="G8" i="2" s="1"/>
  <c r="H10" i="2"/>
  <c r="G25" i="43"/>
  <c r="G26" i="43" s="1"/>
  <c r="G27" i="43" s="1"/>
  <c r="G25" i="57"/>
  <c r="G26" i="57" s="1"/>
  <c r="G27" i="57" s="1"/>
  <c r="C15" i="43"/>
  <c r="K14" i="43"/>
  <c r="C11" i="2" s="1"/>
  <c r="C51" i="2"/>
  <c r="F16" i="43"/>
  <c r="F24" i="43"/>
  <c r="C15" i="56"/>
  <c r="K23" i="56"/>
  <c r="D20" i="2" s="1"/>
  <c r="D19" i="2"/>
  <c r="H19" i="2" s="1"/>
  <c r="C35" i="2"/>
  <c r="F14" i="58"/>
  <c r="F15" i="58" s="1"/>
  <c r="K11" i="58"/>
  <c r="E8" i="2" s="1"/>
  <c r="E34" i="2" s="1"/>
  <c r="K14" i="57"/>
  <c r="G11" i="2" s="1"/>
  <c r="C34" i="2"/>
  <c r="F16" i="59"/>
  <c r="K14" i="59"/>
  <c r="F11" i="2" s="1"/>
  <c r="H43" i="2"/>
  <c r="K23" i="57" l="1"/>
  <c r="G41" i="2"/>
  <c r="H9" i="2"/>
  <c r="H35" i="2" s="1"/>
  <c r="C15" i="58"/>
  <c r="C33" i="57"/>
  <c r="C10" i="59"/>
  <c r="C34" i="59"/>
  <c r="C40" i="59" s="1"/>
  <c r="D10" i="57"/>
  <c r="D34" i="57"/>
  <c r="D40" i="57" s="1"/>
  <c r="D48" i="57" s="1"/>
  <c r="I27" i="51"/>
  <c r="D23" i="56"/>
  <c r="D24" i="56" s="1"/>
  <c r="D25" i="56" s="1"/>
  <c r="D26" i="56" s="1"/>
  <c r="D27" i="56" s="1"/>
  <c r="G28" i="51"/>
  <c r="C41" i="2"/>
  <c r="J46" i="56"/>
  <c r="J48" i="56" s="1"/>
  <c r="J23" i="56"/>
  <c r="J24" i="56" s="1"/>
  <c r="J25" i="56" s="1"/>
  <c r="J26" i="56" s="1"/>
  <c r="J27" i="56" s="1"/>
  <c r="G46" i="56"/>
  <c r="G48" i="56" s="1"/>
  <c r="G23" i="56"/>
  <c r="G24" i="56" s="1"/>
  <c r="G25" i="56" s="1"/>
  <c r="G26" i="56" s="1"/>
  <c r="G27" i="56" s="1"/>
  <c r="E18" i="2"/>
  <c r="J21" i="58"/>
  <c r="C21" i="58"/>
  <c r="I21" i="58"/>
  <c r="F21" i="58"/>
  <c r="E21" i="58"/>
  <c r="D21" i="58"/>
  <c r="G21" i="58"/>
  <c r="K23" i="58"/>
  <c r="E20" i="2" s="1"/>
  <c r="I23" i="56"/>
  <c r="I24" i="56" s="1"/>
  <c r="I25" i="56" s="1"/>
  <c r="I26" i="56" s="1"/>
  <c r="I27" i="56" s="1"/>
  <c r="I46" i="56"/>
  <c r="I48" i="56" s="1"/>
  <c r="E46" i="56"/>
  <c r="E48" i="56" s="1"/>
  <c r="E23" i="56"/>
  <c r="E24" i="56" s="1"/>
  <c r="E25" i="56" s="1"/>
  <c r="E26" i="56" s="1"/>
  <c r="E27" i="56" s="1"/>
  <c r="F46" i="56"/>
  <c r="F48" i="56" s="1"/>
  <c r="F23" i="56"/>
  <c r="F24" i="56" s="1"/>
  <c r="C20" i="2"/>
  <c r="K23" i="43"/>
  <c r="I26" i="51"/>
  <c r="H60" i="2" s="1"/>
  <c r="F18" i="2"/>
  <c r="H18" i="2" s="1"/>
  <c r="F21" i="59"/>
  <c r="I21" i="59"/>
  <c r="D21" i="59"/>
  <c r="C21" i="59"/>
  <c r="J21" i="59"/>
  <c r="G21" i="59"/>
  <c r="E21" i="59"/>
  <c r="K23" i="59"/>
  <c r="F20" i="2" s="1"/>
  <c r="H23" i="56"/>
  <c r="H24" i="56" s="1"/>
  <c r="H25" i="56" s="1"/>
  <c r="H26" i="56" s="1"/>
  <c r="H27" i="56" s="1"/>
  <c r="H46" i="56"/>
  <c r="H48" i="56" s="1"/>
  <c r="C46" i="56"/>
  <c r="C48" i="56" s="1"/>
  <c r="C23" i="56"/>
  <c r="C24" i="56" s="1"/>
  <c r="K14" i="58"/>
  <c r="E11" i="2" s="1"/>
  <c r="D51" i="2"/>
  <c r="I18" i="36"/>
  <c r="J18" i="36" s="1"/>
  <c r="K18" i="36" s="1"/>
  <c r="L18" i="36" s="1"/>
  <c r="E24" i="36"/>
  <c r="H6" i="2"/>
  <c r="H47" i="2" s="1"/>
  <c r="D49" i="2"/>
  <c r="D47" i="2"/>
  <c r="D50" i="2"/>
  <c r="D29" i="2"/>
  <c r="D31" i="2" s="1"/>
  <c r="D32" i="2" s="1"/>
  <c r="I20" i="36"/>
  <c r="J20" i="36" s="1"/>
  <c r="K20" i="36" s="1"/>
  <c r="L20" i="36" s="1"/>
  <c r="I24" i="36"/>
  <c r="F16" i="58"/>
  <c r="K15" i="56"/>
  <c r="C16" i="56"/>
  <c r="G34" i="2"/>
  <c r="F25" i="43"/>
  <c r="F26" i="43" s="1"/>
  <c r="F27" i="43" s="1"/>
  <c r="H36" i="2"/>
  <c r="F16" i="56"/>
  <c r="C16" i="58"/>
  <c r="K15" i="58"/>
  <c r="H8" i="2"/>
  <c r="K14" i="56"/>
  <c r="D11" i="2" s="1"/>
  <c r="K15" i="43"/>
  <c r="C24" i="43"/>
  <c r="C16" i="43"/>
  <c r="F24" i="57"/>
  <c r="F16" i="57"/>
  <c r="D34" i="2"/>
  <c r="D48" i="2"/>
  <c r="G48" i="2" l="1"/>
  <c r="H14" i="2"/>
  <c r="H41" i="2" s="1"/>
  <c r="H20" i="2"/>
  <c r="H11" i="2"/>
  <c r="K10" i="59"/>
  <c r="F7" i="2" s="1"/>
  <c r="F30" i="2" s="1"/>
  <c r="F31" i="2" s="1"/>
  <c r="F32" i="2" s="1"/>
  <c r="C15" i="59"/>
  <c r="D15" i="57"/>
  <c r="C10" i="57"/>
  <c r="C15" i="57" s="1"/>
  <c r="C34" i="57"/>
  <c r="C40" i="57" s="1"/>
  <c r="C48" i="57" s="1"/>
  <c r="H23" i="58"/>
  <c r="H24" i="58" s="1"/>
  <c r="H25" i="58" s="1"/>
  <c r="H26" i="58" s="1"/>
  <c r="H27" i="58" s="1"/>
  <c r="H46" i="58"/>
  <c r="H48" i="58" s="1"/>
  <c r="I23" i="58"/>
  <c r="I24" i="58" s="1"/>
  <c r="I25" i="58" s="1"/>
  <c r="I26" i="58" s="1"/>
  <c r="I27" i="58" s="1"/>
  <c r="I46" i="58"/>
  <c r="I48" i="58" s="1"/>
  <c r="J46" i="59"/>
  <c r="J48" i="59" s="1"/>
  <c r="J23" i="59"/>
  <c r="J24" i="59" s="1"/>
  <c r="J25" i="59" s="1"/>
  <c r="J26" i="59" s="1"/>
  <c r="J27" i="59" s="1"/>
  <c r="H46" i="59"/>
  <c r="H48" i="59" s="1"/>
  <c r="H23" i="59"/>
  <c r="H24" i="59" s="1"/>
  <c r="H25" i="59" s="1"/>
  <c r="H26" i="59" s="1"/>
  <c r="H27" i="59" s="1"/>
  <c r="D46" i="58"/>
  <c r="D48" i="58" s="1"/>
  <c r="D23" i="58"/>
  <c r="D24" i="58" s="1"/>
  <c r="D25" i="58" s="1"/>
  <c r="D26" i="58" s="1"/>
  <c r="D27" i="58" s="1"/>
  <c r="F46" i="58"/>
  <c r="F48" i="58" s="1"/>
  <c r="F23" i="58"/>
  <c r="F24" i="58" s="1"/>
  <c r="F25" i="58" s="1"/>
  <c r="F26" i="58" s="1"/>
  <c r="F27" i="58" s="1"/>
  <c r="J23" i="58"/>
  <c r="J24" i="58" s="1"/>
  <c r="J25" i="58" s="1"/>
  <c r="J26" i="58" s="1"/>
  <c r="J27" i="58" s="1"/>
  <c r="J46" i="58"/>
  <c r="J48" i="58" s="1"/>
  <c r="E46" i="59"/>
  <c r="E48" i="59" s="1"/>
  <c r="E23" i="59"/>
  <c r="E24" i="59" s="1"/>
  <c r="E25" i="59" s="1"/>
  <c r="E26" i="59" s="1"/>
  <c r="E27" i="59" s="1"/>
  <c r="C46" i="59"/>
  <c r="C48" i="59" s="1"/>
  <c r="C23" i="59"/>
  <c r="C24" i="59" s="1"/>
  <c r="C25" i="59" s="1"/>
  <c r="C26" i="59" s="1"/>
  <c r="I23" i="59"/>
  <c r="I24" i="59" s="1"/>
  <c r="I25" i="59" s="1"/>
  <c r="I26" i="59" s="1"/>
  <c r="I27" i="59" s="1"/>
  <c r="I46" i="59"/>
  <c r="I48" i="59" s="1"/>
  <c r="G23" i="59"/>
  <c r="G24" i="59" s="1"/>
  <c r="G25" i="59" s="1"/>
  <c r="G26" i="59" s="1"/>
  <c r="G27" i="59" s="1"/>
  <c r="G46" i="59"/>
  <c r="G48" i="59" s="1"/>
  <c r="D46" i="59"/>
  <c r="D48" i="59" s="1"/>
  <c r="D23" i="59"/>
  <c r="D24" i="59" s="1"/>
  <c r="D25" i="59" s="1"/>
  <c r="D26" i="59" s="1"/>
  <c r="D27" i="59" s="1"/>
  <c r="F46" i="59"/>
  <c r="F48" i="59" s="1"/>
  <c r="F23" i="59"/>
  <c r="F24" i="59" s="1"/>
  <c r="F25" i="59" s="1"/>
  <c r="F26" i="59" s="1"/>
  <c r="F27" i="59" s="1"/>
  <c r="G46" i="58"/>
  <c r="G48" i="58" s="1"/>
  <c r="G23" i="58"/>
  <c r="G24" i="58" s="1"/>
  <c r="G25" i="58" s="1"/>
  <c r="G26" i="58" s="1"/>
  <c r="G27" i="58" s="1"/>
  <c r="E46" i="58"/>
  <c r="E48" i="58" s="1"/>
  <c r="E23" i="58"/>
  <c r="E24" i="58" s="1"/>
  <c r="E25" i="58" s="1"/>
  <c r="E26" i="58" s="1"/>
  <c r="E27" i="58" s="1"/>
  <c r="C46" i="58"/>
  <c r="C48" i="58" s="1"/>
  <c r="C23" i="58"/>
  <c r="C24" i="58" s="1"/>
  <c r="C25" i="58" s="1"/>
  <c r="C26" i="58" s="1"/>
  <c r="H29" i="2"/>
  <c r="H49" i="2"/>
  <c r="H50" i="2"/>
  <c r="H51" i="2"/>
  <c r="H34" i="2"/>
  <c r="C25" i="43"/>
  <c r="C26" i="43" s="1"/>
  <c r="C27" i="43" s="1"/>
  <c r="K16" i="58"/>
  <c r="E13" i="2" s="1"/>
  <c r="E12" i="2"/>
  <c r="E38" i="2" s="1"/>
  <c r="E39" i="2" s="1"/>
  <c r="K24" i="58"/>
  <c r="K16" i="56"/>
  <c r="D13" i="2" s="1"/>
  <c r="K24" i="56"/>
  <c r="D12" i="2"/>
  <c r="D38" i="2" s="1"/>
  <c r="D39" i="2" s="1"/>
  <c r="F25" i="57"/>
  <c r="F26" i="57" s="1"/>
  <c r="F27" i="57" s="1"/>
  <c r="C12" i="2"/>
  <c r="K16" i="43"/>
  <c r="K24" i="43"/>
  <c r="F25" i="56"/>
  <c r="F26" i="56" s="1"/>
  <c r="F27" i="56" s="1"/>
  <c r="C25" i="56"/>
  <c r="C26" i="56" s="1"/>
  <c r="C27" i="56" s="1"/>
  <c r="H48" i="2" l="1"/>
  <c r="C24" i="57"/>
  <c r="C25" i="57" s="1"/>
  <c r="C26" i="57" s="1"/>
  <c r="C27" i="57" s="1"/>
  <c r="C16" i="57"/>
  <c r="K15" i="57"/>
  <c r="D16" i="57"/>
  <c r="D24" i="57"/>
  <c r="D25" i="57" s="1"/>
  <c r="D26" i="57" s="1"/>
  <c r="D27" i="57" s="1"/>
  <c r="C16" i="59"/>
  <c r="K15" i="59"/>
  <c r="K10" i="57"/>
  <c r="G7" i="2" s="1"/>
  <c r="K26" i="58"/>
  <c r="C27" i="58"/>
  <c r="D21" i="2"/>
  <c r="D53" i="2" s="1"/>
  <c r="K25" i="56"/>
  <c r="D22" i="2" s="1"/>
  <c r="K26" i="59"/>
  <c r="C27" i="59"/>
  <c r="C38" i="2"/>
  <c r="C39" i="2" s="1"/>
  <c r="C13" i="2"/>
  <c r="C21" i="2"/>
  <c r="K25" i="43"/>
  <c r="K26" i="43" s="1"/>
  <c r="K27" i="43" s="1"/>
  <c r="E21" i="2"/>
  <c r="K25" i="58"/>
  <c r="E22" i="2" s="1"/>
  <c r="G30" i="2" l="1"/>
  <c r="G31" i="2" s="1"/>
  <c r="G32" i="2" s="1"/>
  <c r="H7" i="2"/>
  <c r="G12" i="2"/>
  <c r="G38" i="2" s="1"/>
  <c r="G39" i="2" s="1"/>
  <c r="K16" i="57"/>
  <c r="G13" i="2" s="1"/>
  <c r="K24" i="57"/>
  <c r="K24" i="59"/>
  <c r="K16" i="59"/>
  <c r="F13" i="2" s="1"/>
  <c r="F12" i="2"/>
  <c r="F38" i="2" s="1"/>
  <c r="F39" i="2" s="1"/>
  <c r="C22" i="2"/>
  <c r="C23" i="2" s="1"/>
  <c r="C53" i="2"/>
  <c r="F23" i="2"/>
  <c r="K27" i="59"/>
  <c r="F24" i="2" s="1"/>
  <c r="K26" i="56"/>
  <c r="E23" i="2"/>
  <c r="K27" i="58"/>
  <c r="E24" i="2" s="1"/>
  <c r="F21" i="2" l="1"/>
  <c r="K25" i="59"/>
  <c r="F22" i="2" s="1"/>
  <c r="G53" i="2"/>
  <c r="K25" i="57"/>
  <c r="H30" i="2"/>
  <c r="H31" i="2" s="1"/>
  <c r="H32" i="2" s="1"/>
  <c r="H12" i="2"/>
  <c r="C24" i="2"/>
  <c r="C59" i="2"/>
  <c r="C58" i="2" s="1"/>
  <c r="C52" i="2"/>
  <c r="K27" i="56"/>
  <c r="D24" i="2" s="1"/>
  <c r="D23" i="2"/>
  <c r="H21" i="2" l="1"/>
  <c r="H38" i="2"/>
  <c r="H39" i="2" s="1"/>
  <c r="H13" i="2"/>
  <c r="G22" i="2"/>
  <c r="K26" i="57"/>
  <c r="D52" i="2"/>
  <c r="D59" i="2"/>
  <c r="D58" i="2" s="1"/>
  <c r="K27" i="57" l="1"/>
  <c r="G24" i="2" s="1"/>
  <c r="H53" i="2"/>
  <c r="H22" i="2"/>
  <c r="H23" i="2" s="1"/>
  <c r="H24" i="2" l="1"/>
  <c r="H59" i="2"/>
  <c r="H58" i="2" s="1"/>
  <c r="H52" i="2"/>
  <c r="G59" i="2"/>
  <c r="G58" i="2" s="1"/>
  <c r="G52" i="2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<sst xmlns="http://schemas.openxmlformats.org/spreadsheetml/2006/main" count="1426" uniqueCount="298">
  <si>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</si>
  <si>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</si>
  <si>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</si>
  <si>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</si>
  <si>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</si>
  <si>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</si>
  <si>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</si>
  <si>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</si>
  <si>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</si>
  <si>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</si>
  <si>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</si>
  <si>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</si>
  <si>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</si>
  <si>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</si>
  <si>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</si>
  <si>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</si>
  <si>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</si>
  <si>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</si>
  <si>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</si>
  <si>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</si>
  <si>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</si>
  <si>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</si>
  <si>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</si>
  <si>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</si>
  <si>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</si>
  <si>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</si>
  <si>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</si>
  <si>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</si>
  <si>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</si>
  <si>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</si>
  <si>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</si>
  <si>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</si>
  <si>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</si>
  <si>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</si>
  <si>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</si>
  <si>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</si>
  <si>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</si>
  <si>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</si>
  <si>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</si>
  <si>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</si>
  <si>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</si>
  <si>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</si>
  <si>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</si>
  <si>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</si>
  <si>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</si>
  <si>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</si>
  <si>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</si>
  <si>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</si>
  <si>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</si>
  <si>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</si>
  <si>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</si>
  <si>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</si>
  <si>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</si>
  <si>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</si>
  <si>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</si>
  <si>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</si>
  <si>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</si>
  <si>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</si>
  <si>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</si>
  <si>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</si>
  <si>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</si>
  <si>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</si>
  <si>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</si>
  <si>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</si>
  <si>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</si>
  <si>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</si>
  <si>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</si>
  <si>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</si>
  <si>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</si>
  <si>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</si>
  <si>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</si>
  <si>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</si>
  <si>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</si>
  <si>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</si>
  <si>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</si>
  <si>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</si>
  <si>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</si>
  <si>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</si>
  <si>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</si>
  <si>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</si>
  <si>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</si>
  <si>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</si>
  <si>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</si>
  <si>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</si>
  <si>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</si>
  <si>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</si>
  <si>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</si>
  <si>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</si>
  <si>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</si>
  <si>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</si>
  <si>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</si>
  <si>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</si>
  <si>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</si>
  <si>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</si>
  <si>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</si>
  <si>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</si>
  <si>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</si>
  <si>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</si>
  <si>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</si>
  <si>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</si>
  <si>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</si>
  <si>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</si>
  <si>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</si>
  <si>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</si>
  <si>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</si>
  <si>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</si>
  <si>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</si>
  <si>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</si>
  <si>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</si>
  <si>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</si>
  <si>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</si>
  <si>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</si>
  <si>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</si>
  <si>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</si>
  <si>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</si>
  <si>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</si>
  <si>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</si>
  <si>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</si>
  <si>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</si>
  <si>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</si>
  <si>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</si>
  <si>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</si>
  <si>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</si>
  <si>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</si>
  <si>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</si>
  <si>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</si>
  <si>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</si>
  <si>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</si>
  <si>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</si>
  <si>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</si>
  <si>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</si>
  <si>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</si>
  <si>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</si>
  <si>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</si>
  <si>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</si>
  <si>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</si>
  <si>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</si>
  <si>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</si>
  <si>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</si>
  <si>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</si>
  <si>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</si>
  <si>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</si>
  <si>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</si>
  <si>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</si>
  <si>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</si>
  <si>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</si>
  <si>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</si>
  <si>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</si>
  <si>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</si>
  <si>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</si>
  <si>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</si>
  <si>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</si>
  <si>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</si>
  <si>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</si>
  <si>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</si>
  <si>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</si>
  <si>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</si>
  <si>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</si>
  <si>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</si>
  <si>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</si>
  <si>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</si>
  <si>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</si>
  <si>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</si>
  <si>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</si>
  <si>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</si>
  <si>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</si>
  <si>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</si>
  <si>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</si>
  <si>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</si>
  <si>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</si>
  <si>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</si>
  <si>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</si>
  <si>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</si>
  <si>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</si>
  <si>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</si>
  <si>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</si>
  <si>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</si>
  <si>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</si>
  <si>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</si>
  <si>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</si>
  <si>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</si>
  <si>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</si>
  <si>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</si>
  <si>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</si>
  <si>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</si>
  <si>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</si>
  <si>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</si>
  <si>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</si>
  <si>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</si>
  <si>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</si>
  <si>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</si>
  <si>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</si>
  <si>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</si>
  <si>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</si>
  <si>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</si>
  <si>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</si>
  <si>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</si>
  <si>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</si>
  <si>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</si>
  <si>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</si>
  <si>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</si>
  <si>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</si>
  <si>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</si>
  <si>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</si>
  <si>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</si>
  <si>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</si>
  <si>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</si>
  <si>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</si>
  <si>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</si>
  <si>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</si>
  <si>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</si>
  <si>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</si>
  <si>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</si>
  <si>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</si>
  <si>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</si>
  <si>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</si>
  <si>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</si>
  <si>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</si>
  <si>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</si>
  <si>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</si>
  <si>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</si>
  <si>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</si>
  <si>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</si>
  <si>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</si>
  <si>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</si>
  <si>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</si>
  <si>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</si>
  <si>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</si>
  <si>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</si>
  <si>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</si>
  <si>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</si>
  <si>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</si>
  <si>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</si>
  <si>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</si>
  <si>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</si>
  <si>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</si>
  <si>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</si>
  <si>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</si>
  <si>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驾驶员座椅总成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</si>
  <si>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</si>
  <si>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</si>
  <si>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</si>
  <si>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</si>
  <si>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</si>
  <si>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</si>
  <si>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</si>
  <si>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</si>
  <si>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</si>
  <si>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</si>
  <si>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</si>
  <si>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</si>
  <si>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</si>
  <si>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</si>
  <si>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</si>
  <si>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2022年</t>
    <phoneticPr fontId="37" type="noConversion"/>
  </si>
  <si>
    <t>河北工厂</t>
    <phoneticPr fontId="34" type="noConversion"/>
  </si>
  <si>
    <t>送货地点</t>
    <phoneticPr fontId="34" type="noConversion"/>
  </si>
  <si>
    <t>现汇或承兑的比例</t>
    <phoneticPr fontId="34" type="noConversion"/>
  </si>
  <si>
    <t>其他</t>
    <phoneticPr fontId="34" type="noConversion"/>
  </si>
  <si>
    <t>涂红色处为必填项</t>
    <phoneticPr fontId="34" type="noConversion"/>
  </si>
  <si>
    <t>产品号</t>
    <phoneticPr fontId="37" type="noConversion"/>
  </si>
  <si>
    <t>2022年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</si>
  <si>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</si>
  <si>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</si>
  <si>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</si>
  <si>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加开发费</t>
    <phoneticPr fontId="37" type="noConversion"/>
  </si>
  <si>
    <r>
      <t xml:space="preserve">北汽福田长沙汽车厂出口土耳其座椅项目投资收益分析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7" type="noConversion"/>
  </si>
  <si>
    <t>福田长沙汽车厂</t>
  </si>
  <si>
    <t>福田长沙汽车厂</t>
    <phoneticPr fontId="37" type="noConversion"/>
  </si>
  <si>
    <t>副驾驶员座椅总成</t>
  </si>
  <si>
    <t>L168100000539</t>
  </si>
  <si>
    <t>L168100000540</t>
  </si>
  <si>
    <t>L168100000541</t>
  </si>
  <si>
    <t>L168100000425</t>
  </si>
  <si>
    <t>L168100000426</t>
  </si>
  <si>
    <t>L168100000146基础上取消"AUMARK"刺绣字样，增加E表标签</t>
    <phoneticPr fontId="34" type="noConversion"/>
  </si>
  <si>
    <t>L168100000113基础上取消"AUMARK"刺绣字样，增加E表标签</t>
    <phoneticPr fontId="34" type="noConversion"/>
  </si>
  <si>
    <t>L168100000162基础上取消"AUMARK"刺绣字样，增加E表标签</t>
    <phoneticPr fontId="34" type="noConversion"/>
  </si>
  <si>
    <t>L168100000163基础上增加SBR</t>
    <phoneticPr fontId="34" type="noConversion"/>
  </si>
  <si>
    <t>L168100000147基础上增加SBR</t>
    <phoneticPr fontId="34" type="noConversion"/>
  </si>
  <si>
    <t>客户支付</t>
    <phoneticPr fontId="37" type="noConversion"/>
  </si>
  <si>
    <t>现有要求不变</t>
  </si>
  <si>
    <t>同原座椅</t>
  </si>
  <si>
    <t>原面料不变</t>
  </si>
  <si>
    <t>北汽福田长沙汽车厂出口土耳其座椅</t>
    <phoneticPr fontId="37" type="noConversion"/>
  </si>
  <si>
    <t>ZY2332</t>
    <phoneticPr fontId="37" type="noConversion"/>
  </si>
  <si>
    <t>供应商年降：    连降0%</t>
    <phoneticPr fontId="37" type="noConversion"/>
  </si>
  <si>
    <t>原材料成本</t>
    <phoneticPr fontId="37" type="noConversion"/>
  </si>
  <si>
    <t>含到诸城运费，不含到长沙运费</t>
    <phoneticPr fontId="37" type="noConversion"/>
  </si>
  <si>
    <t>材料成本（连降0%）</t>
    <phoneticPr fontId="37" type="noConversion"/>
  </si>
  <si>
    <t>成本预估根据项目经理提供资料估算。供应商年度降价与销价降价同步。</t>
    <phoneticPr fontId="37" type="noConversion"/>
  </si>
  <si>
    <t xml:space="preserve">   5年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</si>
  <si>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</si>
  <si>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</si>
  <si>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销售价格（未税）：由营销部门提供，预计无年降。含到诸城运费，不含到长沙运费，假设后续客户支付的包装运费与实际包装运费相同。</t>
    <phoneticPr fontId="37" type="noConversion"/>
  </si>
  <si>
    <t>研发费用客户支付。</t>
    <phoneticPr fontId="37" type="noConversion"/>
  </si>
  <si>
    <t>客户承担费用127513.6元（含税）</t>
    <phoneticPr fontId="37" type="noConversion"/>
  </si>
  <si>
    <t>客户支付127513.6元（含税）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</si>
</sst>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0000"/>
      <name val="等线"/>
      <family val="3"/>
      <charset val="134"/>
    </font>
    <font>
      <sz val="14"/>
      <color rgb="FF000000"/>
      <name val="等线"/>
      <family val="3"/>
      <charset val="134"/>
    </font>
    <font>
      <sz val="16"/>
      <color rgb="FF000000"/>
      <name val="等线"/>
      <family val="3"/>
      <charset val="134"/>
    </font>
    <font>
      <b/>
      <sz val="16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0" fillId="8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 wrapText="1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" xfId="11" applyFont="1" applyFill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51" fillId="0" borderId="1" xfId="1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3" fillId="0" borderId="1" xfId="0" applyFont="1" applyFill="1" applyBorder="1" applyAlignment="1">
      <alignment horizontal="center" vertical="center" wrapText="1" readingOrder="1"/>
    </xf>
    <xf numFmtId="178" fontId="53" fillId="3" borderId="1" xfId="1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Alignment="1">
      <alignment horizontal="center" vertical="center" wrapText="1"/>
    </xf>
    <xf numFmtId="178" fontId="53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0" fillId="0" borderId="1" xfId="6" applyFont="1" applyBorder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40" fillId="10" borderId="1" xfId="6" applyFont="1" applyFill="1" applyBorder="1" applyAlignment="1">
      <alignment horizontal="center" vertical="center"/>
    </xf>
    <xf numFmtId="0" fontId="40" fillId="8" borderId="1" xfId="6" applyFont="1" applyFill="1" applyBorder="1" applyAlignment="1">
      <alignment horizontal="center" vertical="center"/>
    </xf>
    <xf numFmtId="0" fontId="40" fillId="2" borderId="1" xfId="6" applyFont="1" applyFill="1" applyBorder="1" applyAlignment="1">
      <alignment horizontal="center" vertical="center"/>
    </xf>
    <xf numFmtId="0" fontId="5" fillId="10" borderId="0" xfId="6" applyFont="1" applyFill="1" applyAlignment="1">
      <alignment vertical="center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40" fillId="0" borderId="0" xfId="6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 readingOrder="1"/>
    </xf>
    <xf numFmtId="0" fontId="40" fillId="0" borderId="1" xfId="6" applyFont="1" applyBorder="1" applyAlignment="1">
      <alignment horizontal="left" vertical="center" wrapText="1"/>
    </xf>
    <xf numFmtId="0" fontId="56" fillId="0" borderId="1" xfId="0" applyFont="1" applyBorder="1" applyAlignment="1">
      <alignment vertical="center"/>
    </xf>
    <xf numFmtId="0" fontId="5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55" fillId="0" borderId="1" xfId="1" applyFont="1" applyBorder="1" applyAlignment="1">
      <alignment horizontal="center" vertical="center" wrapText="1" readingOrder="1"/>
    </xf>
    <xf numFmtId="43" fontId="58" fillId="0" borderId="1" xfId="1" applyFont="1" applyBorder="1" applyAlignment="1">
      <alignment vertical="center"/>
    </xf>
    <xf numFmtId="0" fontId="55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7" fillId="0" borderId="1" xfId="0" applyFont="1" applyBorder="1" applyAlignment="1">
      <alignment vertical="center"/>
    </xf>
    <xf numFmtId="0" fontId="4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80" fontId="14" fillId="0" borderId="1" xfId="3" applyNumberFormat="1" applyFont="1" applyBorder="1" applyAlignment="1">
      <alignment vertical="center"/>
    </xf>
    <xf numFmtId="0" fontId="18" fillId="0" borderId="1" xfId="0" applyFont="1" applyBorder="1">
      <alignment vertical="center"/>
    </xf>
    <xf numFmtId="0" fontId="59" fillId="2" borderId="12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 readingOrder="1"/>
    </xf>
    <xf numFmtId="0" fontId="52" fillId="0" borderId="1" xfId="0" applyFont="1" applyBorder="1" applyAlignment="1">
      <alignment horizontal="center" vertical="center" wrapText="1" readingOrder="1"/>
    </xf>
    <xf numFmtId="0" fontId="52" fillId="9" borderId="1" xfId="0" applyFont="1" applyFill="1" applyBorder="1" applyAlignment="1">
      <alignment horizontal="center" vertical="center" wrapText="1" readingOrder="1"/>
    </xf>
  </cellXfs>
  <cellStyles count="13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5</xdr:col>
      <xdr:colOff>1319036</xdr:colOff>
      <xdr:row>29</xdr:row>
      <xdr:rowOff>58310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357" y="7606393"/>
          <a:ext cx="6857143" cy="16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32</xdr:row>
      <xdr:rowOff>9525</xdr:rowOff>
    </xdr:from>
    <xdr:to>
      <xdr:col>10</xdr:col>
      <xdr:colOff>920216</xdr:colOff>
      <xdr:row>49</xdr:row>
      <xdr:rowOff>75748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12382500"/>
          <a:ext cx="10628572" cy="362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41.25" customHeight="1">
      <c r="A1" s="310" t="str">
        <f>材料成本!D3</f>
        <v>北汽福田长沙汽车厂出口土耳其座椅</v>
      </c>
      <c r="B1" s="311"/>
      <c r="C1" s="311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27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312" t="s">
        <v>294</v>
      </c>
    </row>
    <row r="5" spans="1:4" s="126" customFormat="1" ht="26.25" customHeight="1">
      <c r="A5" s="129">
        <v>3</v>
      </c>
      <c r="B5" s="229" t="s">
        <v>6</v>
      </c>
      <c r="C5" s="131" t="s">
        <v>290</v>
      </c>
    </row>
    <row r="6" spans="1:4" s="126" customFormat="1" ht="26.25" customHeight="1">
      <c r="A6" s="129">
        <v>4</v>
      </c>
      <c r="B6" s="230"/>
      <c r="C6" s="130" t="s">
        <v>7</v>
      </c>
    </row>
    <row r="7" spans="1:4" s="126" customFormat="1" ht="26.25" customHeight="1">
      <c r="A7" s="129">
        <v>5</v>
      </c>
      <c r="B7" s="132" t="s">
        <v>8</v>
      </c>
      <c r="C7" s="130" t="s">
        <v>239</v>
      </c>
    </row>
    <row r="8" spans="1:4" s="126" customFormat="1" ht="26.25" customHeight="1">
      <c r="A8" s="129">
        <v>6</v>
      </c>
      <c r="B8" s="229" t="s">
        <v>9</v>
      </c>
      <c r="C8" s="130" t="s">
        <v>240</v>
      </c>
    </row>
    <row r="9" spans="1:4" s="126" customFormat="1" ht="26.25" customHeight="1">
      <c r="A9" s="129">
        <v>7</v>
      </c>
      <c r="B9" s="230"/>
      <c r="C9" s="312" t="s">
        <v>295</v>
      </c>
    </row>
    <row r="10" spans="1:4" s="126" customFormat="1" ht="26.25" customHeight="1">
      <c r="A10" s="129">
        <v>8</v>
      </c>
      <c r="B10" s="230"/>
      <c r="C10" s="131" t="s">
        <v>231</v>
      </c>
    </row>
    <row r="11" spans="1:4" s="126" customFormat="1" ht="26.25" customHeight="1">
      <c r="A11" s="129">
        <v>9</v>
      </c>
      <c r="B11" s="230"/>
      <c r="C11" s="130" t="s">
        <v>10</v>
      </c>
    </row>
    <row r="12" spans="1:4" s="126" customFormat="1" ht="27.75" customHeight="1">
      <c r="A12" s="129">
        <v>10</v>
      </c>
      <c r="B12" s="132" t="s">
        <v>11</v>
      </c>
      <c r="C12" s="130" t="s">
        <v>12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70" zoomScaleNormal="70" workbookViewId="0">
      <selection activeCell="H11" sqref="H11"/>
    </sheetView>
  </sheetViews>
  <sheetFormatPr defaultColWidth="9" defaultRowHeight="20.25"/>
  <cols>
    <col min="1" max="1" width="14" style="191" customWidth="1"/>
    <col min="2" max="2" width="18" style="191" customWidth="1"/>
    <col min="3" max="5" width="18.25" style="191" customWidth="1"/>
    <col min="6" max="6" width="20.625" style="191" customWidth="1"/>
    <col min="7" max="7" width="20.25" style="191" customWidth="1"/>
    <col min="8" max="11" width="18.25" style="191" customWidth="1"/>
    <col min="12" max="12" width="11.625" style="191" customWidth="1"/>
    <col min="13" max="13" width="15.625" style="191" customWidth="1"/>
    <col min="14" max="14" width="12.25" style="191" customWidth="1"/>
    <col min="15" max="16384" width="9" style="191"/>
  </cols>
  <sheetData>
    <row r="1" spans="1:15" ht="29.25" customHeight="1">
      <c r="A1" s="263" t="s">
        <v>184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5" ht="24" customHeight="1">
      <c r="A2" s="193" t="s">
        <v>185</v>
      </c>
      <c r="E2" s="192"/>
      <c r="F2" s="192"/>
      <c r="G2" s="192"/>
      <c r="H2" s="192"/>
      <c r="I2" s="192"/>
      <c r="J2" s="192"/>
      <c r="K2" s="192"/>
      <c r="L2" s="192"/>
    </row>
    <row r="3" spans="1:15">
      <c r="C3" s="191" t="s">
        <v>186</v>
      </c>
      <c r="D3" s="194" t="s">
        <v>291</v>
      </c>
      <c r="E3" s="195">
        <v>0</v>
      </c>
      <c r="F3" s="196"/>
      <c r="G3" s="196"/>
      <c r="H3" s="196"/>
    </row>
    <row r="4" spans="1:15">
      <c r="K4" s="197"/>
    </row>
    <row r="5" spans="1:15" ht="28.5" customHeight="1">
      <c r="A5" s="262" t="s">
        <v>187</v>
      </c>
      <c r="B5" s="216" t="s">
        <v>137</v>
      </c>
      <c r="C5" s="305" t="s">
        <v>238</v>
      </c>
      <c r="D5" s="305" t="s">
        <v>238</v>
      </c>
      <c r="E5" s="305" t="s">
        <v>238</v>
      </c>
      <c r="F5" s="305" t="s">
        <v>269</v>
      </c>
      <c r="G5" s="305" t="s">
        <v>269</v>
      </c>
      <c r="H5" s="198"/>
      <c r="I5" s="198"/>
      <c r="J5" s="198"/>
      <c r="K5" s="199"/>
      <c r="L5" s="261" t="s">
        <v>14</v>
      </c>
    </row>
    <row r="6" spans="1:15" ht="28.5" customHeight="1">
      <c r="A6" s="262"/>
      <c r="B6" s="216" t="s">
        <v>138</v>
      </c>
      <c r="C6" s="305" t="s">
        <v>270</v>
      </c>
      <c r="D6" s="305" t="s">
        <v>271</v>
      </c>
      <c r="E6" s="305" t="s">
        <v>272</v>
      </c>
      <c r="F6" s="305" t="s">
        <v>273</v>
      </c>
      <c r="G6" s="305" t="s">
        <v>274</v>
      </c>
      <c r="H6" s="198"/>
      <c r="I6" s="198"/>
      <c r="J6" s="198"/>
      <c r="K6" s="200"/>
      <c r="L6" s="261"/>
      <c r="N6" s="191">
        <v>100</v>
      </c>
    </row>
    <row r="7" spans="1:15" ht="76.5" customHeight="1">
      <c r="A7" s="262"/>
      <c r="B7" s="217" t="s">
        <v>188</v>
      </c>
      <c r="C7" s="307" t="s">
        <v>275</v>
      </c>
      <c r="D7" s="307" t="s">
        <v>276</v>
      </c>
      <c r="E7" s="299" t="s">
        <v>277</v>
      </c>
      <c r="F7" s="300" t="s">
        <v>278</v>
      </c>
      <c r="G7" s="300" t="s">
        <v>279</v>
      </c>
      <c r="H7" s="198"/>
      <c r="I7" s="198"/>
      <c r="J7" s="198"/>
      <c r="K7" s="200"/>
      <c r="L7" s="261"/>
      <c r="N7" s="191">
        <f>N6*(1-$E$3)</f>
        <v>100</v>
      </c>
      <c r="O7" s="191">
        <f>N7/$N$6</f>
        <v>1</v>
      </c>
    </row>
    <row r="8" spans="1:15" ht="40.5">
      <c r="A8" s="262"/>
      <c r="B8" s="201" t="s">
        <v>189</v>
      </c>
      <c r="C8" s="302">
        <v>523.00884955752213</v>
      </c>
      <c r="D8" s="302">
        <v>555.75221238938059</v>
      </c>
      <c r="E8" s="302">
        <v>1235.3982300884957</v>
      </c>
      <c r="F8" s="302">
        <v>802.4424778761063</v>
      </c>
      <c r="G8" s="302">
        <v>614.83185840707972</v>
      </c>
      <c r="H8" s="306" t="s">
        <v>288</v>
      </c>
      <c r="I8" s="202"/>
      <c r="J8" s="202"/>
      <c r="K8" s="200"/>
      <c r="L8" s="261"/>
      <c r="M8" s="224">
        <f>SUM(C8:K8)</f>
        <v>3731.4336283185849</v>
      </c>
      <c r="N8" s="191">
        <f>N7*(1-$E$3)</f>
        <v>100</v>
      </c>
      <c r="O8" s="191">
        <f t="shared" ref="O8:O9" si="0">N8/$N$6</f>
        <v>1</v>
      </c>
    </row>
    <row r="9" spans="1:15">
      <c r="A9" s="262" t="s">
        <v>190</v>
      </c>
      <c r="B9" s="203" t="s">
        <v>254</v>
      </c>
      <c r="C9" s="301"/>
      <c r="D9" s="301"/>
      <c r="E9" s="301"/>
      <c r="F9" s="301"/>
      <c r="G9" s="301"/>
      <c r="H9" s="204"/>
      <c r="I9" s="204"/>
      <c r="J9" s="204"/>
      <c r="K9" s="205"/>
      <c r="L9" s="206">
        <f>SUM(C9:K9)</f>
        <v>0</v>
      </c>
      <c r="N9" s="191">
        <f t="shared" ref="N9:N11" si="1">N8*(1-$E$3)</f>
        <v>100</v>
      </c>
      <c r="O9" s="191">
        <f t="shared" si="0"/>
        <v>1</v>
      </c>
    </row>
    <row r="10" spans="1:15">
      <c r="A10" s="262"/>
      <c r="B10" s="213" t="s">
        <v>179</v>
      </c>
      <c r="C10" s="313">
        <v>62</v>
      </c>
      <c r="D10" s="313">
        <v>50</v>
      </c>
      <c r="E10" s="313">
        <v>100</v>
      </c>
      <c r="F10" s="314">
        <v>150</v>
      </c>
      <c r="G10" s="314">
        <v>62</v>
      </c>
      <c r="H10" s="204"/>
      <c r="I10" s="204"/>
      <c r="J10" s="204"/>
      <c r="K10" s="207"/>
      <c r="L10" s="206">
        <f t="shared" ref="L10:L14" si="2">SUM(C10:K10)</f>
        <v>424</v>
      </c>
      <c r="N10" s="191">
        <f t="shared" si="1"/>
        <v>100</v>
      </c>
      <c r="O10" s="191">
        <f t="shared" ref="O10:O11" si="3">N10/$N$6</f>
        <v>1</v>
      </c>
    </row>
    <row r="11" spans="1:15">
      <c r="A11" s="262"/>
      <c r="B11" s="213" t="s">
        <v>180</v>
      </c>
      <c r="C11" s="313">
        <v>112</v>
      </c>
      <c r="D11" s="313">
        <v>100</v>
      </c>
      <c r="E11" s="313">
        <v>100</v>
      </c>
      <c r="F11" s="314">
        <v>200</v>
      </c>
      <c r="G11" s="314">
        <v>112</v>
      </c>
      <c r="H11" s="204"/>
      <c r="I11" s="204"/>
      <c r="J11" s="204"/>
      <c r="K11" s="205"/>
      <c r="L11" s="206">
        <f t="shared" si="2"/>
        <v>624</v>
      </c>
    </row>
    <row r="12" spans="1:15">
      <c r="A12" s="262"/>
      <c r="B12" s="213" t="s">
        <v>181</v>
      </c>
      <c r="C12" s="313">
        <v>148</v>
      </c>
      <c r="D12" s="313">
        <v>130</v>
      </c>
      <c r="E12" s="313">
        <v>130</v>
      </c>
      <c r="F12" s="314">
        <v>260</v>
      </c>
      <c r="G12" s="314">
        <v>148</v>
      </c>
      <c r="H12" s="204"/>
      <c r="I12" s="204"/>
      <c r="J12" s="204"/>
      <c r="K12" s="173"/>
      <c r="L12" s="206">
        <f t="shared" si="2"/>
        <v>816</v>
      </c>
    </row>
    <row r="13" spans="1:15">
      <c r="A13" s="262"/>
      <c r="B13" s="213" t="s">
        <v>225</v>
      </c>
      <c r="C13" s="313">
        <v>184</v>
      </c>
      <c r="D13" s="313">
        <v>150</v>
      </c>
      <c r="E13" s="313">
        <v>150</v>
      </c>
      <c r="F13" s="314">
        <v>300</v>
      </c>
      <c r="G13" s="314">
        <v>184</v>
      </c>
      <c r="H13" s="204"/>
      <c r="I13" s="204"/>
      <c r="J13" s="204"/>
      <c r="K13" s="173"/>
      <c r="L13" s="206">
        <f t="shared" si="2"/>
        <v>968</v>
      </c>
    </row>
    <row r="14" spans="1:15">
      <c r="A14" s="262"/>
      <c r="B14" s="213" t="s">
        <v>236</v>
      </c>
      <c r="C14" s="215"/>
      <c r="D14" s="215"/>
      <c r="E14" s="215"/>
      <c r="F14" s="296"/>
      <c r="G14" s="296"/>
      <c r="H14" s="205"/>
      <c r="I14" s="205"/>
      <c r="J14" s="205"/>
      <c r="K14" s="205"/>
      <c r="L14" s="206">
        <f t="shared" si="2"/>
        <v>0</v>
      </c>
    </row>
    <row r="15" spans="1:15">
      <c r="A15" s="261" t="s">
        <v>14</v>
      </c>
      <c r="B15" s="261"/>
      <c r="C15" s="208">
        <f t="shared" ref="C15:L15" si="4">SUM(C9:C14)</f>
        <v>506</v>
      </c>
      <c r="D15" s="208">
        <f t="shared" si="4"/>
        <v>430</v>
      </c>
      <c r="E15" s="208">
        <f t="shared" si="4"/>
        <v>480</v>
      </c>
      <c r="F15" s="208">
        <f t="shared" si="4"/>
        <v>910</v>
      </c>
      <c r="G15" s="208">
        <f t="shared" si="4"/>
        <v>506</v>
      </c>
      <c r="H15" s="208">
        <f t="shared" si="4"/>
        <v>0</v>
      </c>
      <c r="I15" s="208">
        <f t="shared" si="4"/>
        <v>0</v>
      </c>
      <c r="J15" s="208">
        <f t="shared" si="4"/>
        <v>0</v>
      </c>
      <c r="K15" s="208">
        <f t="shared" si="4"/>
        <v>0</v>
      </c>
      <c r="L15" s="208">
        <f t="shared" si="4"/>
        <v>2832</v>
      </c>
    </row>
    <row r="16" spans="1:15">
      <c r="A16" s="209"/>
      <c r="B16" s="209"/>
      <c r="C16" s="209"/>
    </row>
    <row r="17" spans="2:15" ht="29.25" customHeight="1">
      <c r="B17" s="210" t="s">
        <v>287</v>
      </c>
      <c r="C17" s="211">
        <f>材料成本!D12</f>
        <v>468.41756853752918</v>
      </c>
      <c r="D17" s="211">
        <f>材料成本!E12</f>
        <v>863.52962281752923</v>
      </c>
      <c r="E17" s="211">
        <f>材料成本!F12</f>
        <v>1255.9075788175289</v>
      </c>
      <c r="F17" s="211">
        <f>材料成本!G12</f>
        <v>600.97591970548319</v>
      </c>
      <c r="G17" s="211">
        <f>材料成本!H12</f>
        <v>544.05071970548317</v>
      </c>
      <c r="H17" s="211"/>
      <c r="I17" s="211"/>
      <c r="J17" s="211"/>
      <c r="K17" s="210"/>
      <c r="L17" s="210"/>
      <c r="M17" s="209">
        <f t="shared" ref="M17:M18" si="5">SUM(C17:K17)</f>
        <v>3732.8814095835537</v>
      </c>
      <c r="N17" s="224">
        <f>SUM(C17:K17)+100</f>
        <v>3832.8814095835537</v>
      </c>
      <c r="O17" s="191" t="s">
        <v>265</v>
      </c>
    </row>
    <row r="18" spans="2:15" ht="29.25" customHeight="1">
      <c r="B18" s="210" t="s">
        <v>249</v>
      </c>
      <c r="C18" s="211">
        <f>C8-C17</f>
        <v>54.591281019992948</v>
      </c>
      <c r="D18" s="211">
        <f t="shared" ref="D18:J18" si="6">D8-D17</f>
        <v>-307.77741042814864</v>
      </c>
      <c r="E18" s="211">
        <f t="shared" si="6"/>
        <v>-20.509348729033263</v>
      </c>
      <c r="F18" s="211">
        <f t="shared" si="6"/>
        <v>201.4665581706231</v>
      </c>
      <c r="G18" s="211">
        <f t="shared" si="6"/>
        <v>70.781138701596547</v>
      </c>
      <c r="H18" s="211" t="e">
        <f t="shared" si="6"/>
        <v>#VALUE!</v>
      </c>
      <c r="I18" s="211">
        <f t="shared" si="6"/>
        <v>0</v>
      </c>
      <c r="J18" s="211">
        <f t="shared" si="6"/>
        <v>0</v>
      </c>
      <c r="K18" s="210"/>
      <c r="L18" s="210"/>
      <c r="M18" s="209" t="e">
        <f t="shared" si="5"/>
        <v>#VALUE!</v>
      </c>
      <c r="N18" s="224">
        <f>M8-N17</f>
        <v>-101.44778126496885</v>
      </c>
    </row>
    <row r="19" spans="2:15" ht="29.25" customHeight="1">
      <c r="B19" s="210" t="s">
        <v>250</v>
      </c>
      <c r="C19" s="212">
        <f>C18/C8</f>
        <v>0.10437926827849751</v>
      </c>
      <c r="D19" s="212">
        <f t="shared" ref="D19:J19" si="7">D18/D8</f>
        <v>-0.55380330220351581</v>
      </c>
      <c r="E19" s="212">
        <f t="shared" si="7"/>
        <v>-1.6601406922498271E-2</v>
      </c>
      <c r="F19" s="212">
        <f t="shared" si="7"/>
        <v>0.25106666673960482</v>
      </c>
      <c r="G19" s="212">
        <f t="shared" si="7"/>
        <v>0.1151227571144051</v>
      </c>
      <c r="H19" s="212" t="e">
        <f t="shared" si="7"/>
        <v>#VALUE!</v>
      </c>
      <c r="I19" s="212" t="e">
        <f t="shared" si="7"/>
        <v>#DIV/0!</v>
      </c>
      <c r="J19" s="212" t="e">
        <f t="shared" si="7"/>
        <v>#DIV/0!</v>
      </c>
      <c r="K19" s="210"/>
      <c r="L19" s="210"/>
      <c r="M19" s="225" t="e">
        <f t="shared" ref="M19" si="8">M18/M8</f>
        <v>#VALUE!</v>
      </c>
      <c r="N19" s="225">
        <f>N18/M8</f>
        <v>-2.7187347108377235E-2</v>
      </c>
    </row>
    <row r="21" spans="2:15">
      <c r="B21" s="191" t="s">
        <v>263</v>
      </c>
      <c r="C21" s="224">
        <f>C8*0.7</f>
        <v>366.10619469026545</v>
      </c>
      <c r="D21" s="224">
        <f>D8*0.7</f>
        <v>389.02654867256638</v>
      </c>
      <c r="E21" s="224">
        <f>E8*0.7</f>
        <v>864.77876106194697</v>
      </c>
      <c r="M21" s="224">
        <f>M8*0.7</f>
        <v>2612.0035398230093</v>
      </c>
    </row>
    <row r="22" spans="2:15">
      <c r="B22" s="191" t="s">
        <v>264</v>
      </c>
      <c r="C22" s="224">
        <f>C17-C21</f>
        <v>102.31137384726372</v>
      </c>
      <c r="D22" s="224">
        <f>D17-D21</f>
        <v>474.50307414496285</v>
      </c>
      <c r="E22" s="224">
        <f>E17-E21</f>
        <v>391.12881775558196</v>
      </c>
      <c r="M22" s="224">
        <f>N17-M21</f>
        <v>1220.8778697605444</v>
      </c>
    </row>
  </sheetData>
  <mergeCells count="5">
    <mergeCell ref="A15:B15"/>
    <mergeCell ref="A5:A8"/>
    <mergeCell ref="A9:A14"/>
    <mergeCell ref="L5:L8"/>
    <mergeCell ref="A1:L1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G6" sqref="G6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76" t="s">
        <v>6</v>
      </c>
      <c r="B1" s="276"/>
      <c r="C1" s="5"/>
      <c r="N1" s="8"/>
    </row>
    <row r="2" spans="1:15">
      <c r="A2" s="277" t="s">
        <v>191</v>
      </c>
      <c r="B2" s="277"/>
      <c r="C2" s="278"/>
      <c r="D2" s="278"/>
      <c r="E2" s="279" t="s">
        <v>286</v>
      </c>
      <c r="F2" s="280"/>
      <c r="G2" s="280"/>
      <c r="H2" s="280"/>
      <c r="I2" s="280"/>
      <c r="J2" s="280"/>
      <c r="K2" s="280"/>
      <c r="L2" s="280"/>
      <c r="M2" s="281"/>
    </row>
    <row r="3" spans="1:15" ht="24" customHeight="1">
      <c r="A3" s="266" t="s">
        <v>13</v>
      </c>
      <c r="B3" s="266" t="s">
        <v>192</v>
      </c>
      <c r="C3" s="6" t="s">
        <v>193</v>
      </c>
      <c r="D3" s="282" t="s">
        <v>284</v>
      </c>
      <c r="E3" s="282"/>
      <c r="F3" s="6" t="s">
        <v>194</v>
      </c>
      <c r="G3" s="180" t="s">
        <v>285</v>
      </c>
      <c r="H3" s="180"/>
      <c r="I3" s="180"/>
      <c r="J3" s="180"/>
      <c r="K3" s="180"/>
      <c r="L3" s="174"/>
      <c r="M3" s="283" t="s">
        <v>147</v>
      </c>
    </row>
    <row r="4" spans="1:15">
      <c r="A4" s="266"/>
      <c r="B4" s="266"/>
      <c r="C4" s="6" t="s">
        <v>137</v>
      </c>
      <c r="D4" s="163" t="str">
        <f>销量!C5</f>
        <v>驾驶员座椅总成</v>
      </c>
      <c r="E4" s="163" t="str">
        <f>销量!D5</f>
        <v>驾驶员座椅总成</v>
      </c>
      <c r="F4" s="163" t="str">
        <f>销量!E5</f>
        <v>驾驶员座椅总成</v>
      </c>
      <c r="G4" s="163" t="str">
        <f>销量!F5</f>
        <v>副驾驶员座椅总成</v>
      </c>
      <c r="H4" s="163" t="str">
        <f>销量!G5</f>
        <v>副驾驶员座椅总成</v>
      </c>
      <c r="I4" s="163">
        <f>销量!H5</f>
        <v>0</v>
      </c>
      <c r="J4" s="163">
        <f>销量!I5</f>
        <v>0</v>
      </c>
      <c r="K4" s="163">
        <f>销量!J5</f>
        <v>0</v>
      </c>
      <c r="L4" s="163"/>
      <c r="M4" s="284"/>
    </row>
    <row r="5" spans="1:15" ht="30">
      <c r="A5" s="266"/>
      <c r="B5" s="266"/>
      <c r="C5" s="6" t="s">
        <v>242</v>
      </c>
      <c r="D5" s="164" t="str">
        <f>销量!C6</f>
        <v>L168100000539</v>
      </c>
      <c r="E5" s="164" t="str">
        <f>销量!D6</f>
        <v>L168100000540</v>
      </c>
      <c r="F5" s="164" t="str">
        <f>销量!E6</f>
        <v>L168100000541</v>
      </c>
      <c r="G5" s="164" t="str">
        <f>销量!F6</f>
        <v>L168100000425</v>
      </c>
      <c r="H5" s="164" t="str">
        <f>销量!G6</f>
        <v>L168100000426</v>
      </c>
      <c r="I5" s="164">
        <f>销量!H6</f>
        <v>0</v>
      </c>
      <c r="J5" s="164">
        <f>销量!I6</f>
        <v>0</v>
      </c>
      <c r="K5" s="164">
        <f>销量!J6</f>
        <v>0</v>
      </c>
      <c r="L5" s="164"/>
      <c r="M5" s="285"/>
    </row>
    <row r="6" spans="1:15" s="177" customFormat="1" ht="49.5" customHeight="1">
      <c r="A6" s="179">
        <v>1</v>
      </c>
      <c r="B6" s="303" t="s">
        <v>275</v>
      </c>
      <c r="C6" s="304"/>
      <c r="D6" s="182">
        <v>468.41756853752918</v>
      </c>
      <c r="E6" s="182"/>
      <c r="F6" s="182"/>
      <c r="G6" s="182"/>
      <c r="H6" s="182"/>
      <c r="I6" s="182"/>
      <c r="J6" s="182"/>
      <c r="K6" s="182"/>
      <c r="L6" s="185"/>
      <c r="M6" s="144"/>
    </row>
    <row r="7" spans="1:15" s="177" customFormat="1" ht="50.25" customHeight="1">
      <c r="A7" s="179">
        <v>2</v>
      </c>
      <c r="B7" s="303" t="s">
        <v>276</v>
      </c>
      <c r="C7" s="304"/>
      <c r="D7" s="184"/>
      <c r="E7" s="184">
        <v>863.52962281752923</v>
      </c>
      <c r="F7" s="184"/>
      <c r="G7" s="184"/>
      <c r="H7" s="184"/>
      <c r="I7" s="184"/>
      <c r="J7" s="184"/>
      <c r="K7" s="184"/>
      <c r="L7" s="184"/>
      <c r="M7" s="183"/>
    </row>
    <row r="8" spans="1:15" s="177" customFormat="1" ht="49.5" customHeight="1">
      <c r="A8" s="179">
        <v>3</v>
      </c>
      <c r="B8" s="303" t="s">
        <v>277</v>
      </c>
      <c r="C8" s="304"/>
      <c r="D8" s="185"/>
      <c r="E8" s="184"/>
      <c r="F8" s="185">
        <v>1255.9075788175289</v>
      </c>
      <c r="G8" s="185"/>
      <c r="H8" s="185"/>
      <c r="I8" s="185"/>
      <c r="J8" s="185"/>
      <c r="K8" s="185"/>
      <c r="L8" s="184"/>
      <c r="M8" s="183"/>
    </row>
    <row r="9" spans="1:15" s="177" customFormat="1" ht="33" customHeight="1">
      <c r="A9" s="179">
        <v>4</v>
      </c>
      <c r="B9" s="303" t="s">
        <v>278</v>
      </c>
      <c r="C9" s="304"/>
      <c r="D9" s="185"/>
      <c r="E9" s="184"/>
      <c r="F9" s="185"/>
      <c r="G9" s="185">
        <v>600.97591970548319</v>
      </c>
      <c r="H9" s="185"/>
      <c r="I9" s="185"/>
      <c r="J9" s="185"/>
      <c r="K9" s="185"/>
      <c r="L9" s="184"/>
      <c r="M9" s="183"/>
    </row>
    <row r="10" spans="1:15" s="177" customFormat="1" ht="33.75" customHeight="1">
      <c r="A10" s="179">
        <v>5</v>
      </c>
      <c r="B10" s="303" t="s">
        <v>279</v>
      </c>
      <c r="C10" s="304"/>
      <c r="D10" s="185"/>
      <c r="E10" s="184"/>
      <c r="F10" s="185"/>
      <c r="G10" s="185"/>
      <c r="H10" s="185">
        <v>544.05071970548317</v>
      </c>
      <c r="I10" s="185"/>
      <c r="J10" s="185"/>
      <c r="K10" s="185"/>
      <c r="L10" s="184"/>
      <c r="M10" s="183"/>
      <c r="N10" s="264"/>
      <c r="O10" s="265"/>
    </row>
    <row r="11" spans="1:15" s="177" customFormat="1" ht="16.5" customHeight="1">
      <c r="A11" s="179">
        <v>6</v>
      </c>
      <c r="B11" s="286"/>
      <c r="C11" s="287"/>
      <c r="D11" s="185"/>
      <c r="E11" s="184"/>
      <c r="F11" s="185"/>
      <c r="G11" s="185"/>
      <c r="H11" s="185"/>
      <c r="I11" s="185"/>
      <c r="J11" s="185"/>
      <c r="K11" s="185"/>
      <c r="L11" s="184"/>
      <c r="M11" s="183"/>
      <c r="N11" s="264"/>
      <c r="O11" s="265"/>
    </row>
    <row r="12" spans="1:15" ht="31.5" customHeight="1">
      <c r="A12" s="268" t="s">
        <v>195</v>
      </c>
      <c r="B12" s="269"/>
      <c r="C12" s="270"/>
      <c r="D12" s="7">
        <f>SUM(D6:D11)</f>
        <v>468.41756853752918</v>
      </c>
      <c r="E12" s="7">
        <f>SUM(E6:E11)</f>
        <v>863.52962281752923</v>
      </c>
      <c r="F12" s="7">
        <f>SUM(F6:F11)</f>
        <v>1255.9075788175289</v>
      </c>
      <c r="G12" s="7">
        <f t="shared" ref="G12:K12" si="0">SUM(G6:G11)</f>
        <v>600.97591970548319</v>
      </c>
      <c r="H12" s="7">
        <f t="shared" si="0"/>
        <v>544.05071970548317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90" t="s">
        <v>248</v>
      </c>
    </row>
    <row r="13" spans="1:15">
      <c r="D13" s="148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67" t="s">
        <v>243</v>
      </c>
      <c r="E17" s="267"/>
      <c r="F17" s="267"/>
      <c r="G17" s="267"/>
      <c r="H17" s="267"/>
      <c r="I17" s="267"/>
      <c r="J17" s="267"/>
      <c r="K17" s="267"/>
      <c r="L17" s="267"/>
      <c r="M17" s="267"/>
    </row>
    <row r="18" spans="2:13">
      <c r="C18" s="271" t="s">
        <v>224</v>
      </c>
      <c r="D18" s="271" t="s">
        <v>260</v>
      </c>
      <c r="E18" s="273" t="s">
        <v>289</v>
      </c>
      <c r="F18" s="274"/>
      <c r="G18" s="274"/>
      <c r="H18" s="274"/>
      <c r="I18" s="274"/>
      <c r="J18" s="274"/>
      <c r="K18" s="274"/>
      <c r="L18" s="274"/>
      <c r="M18" s="275"/>
    </row>
    <row r="19" spans="2:13">
      <c r="B19" s="13"/>
      <c r="C19" s="272"/>
      <c r="D19" s="272"/>
      <c r="E19" s="152" t="s">
        <v>261</v>
      </c>
      <c r="F19" s="214" t="s">
        <v>179</v>
      </c>
      <c r="G19" s="214" t="s">
        <v>180</v>
      </c>
      <c r="H19" s="214" t="s">
        <v>181</v>
      </c>
      <c r="I19" s="214" t="s">
        <v>225</v>
      </c>
      <c r="J19" s="214" t="s">
        <v>236</v>
      </c>
      <c r="K19" s="214" t="s">
        <v>237</v>
      </c>
      <c r="L19" s="214" t="s">
        <v>241</v>
      </c>
      <c r="M19" s="152"/>
    </row>
    <row r="20" spans="2:13">
      <c r="C20" s="298" t="s">
        <v>238</v>
      </c>
      <c r="D20" s="298" t="s">
        <v>270</v>
      </c>
      <c r="E20" s="184">
        <f>D12</f>
        <v>468.41756853752918</v>
      </c>
      <c r="F20" s="154">
        <f>E20*(1-0)</f>
        <v>468.41756853752918</v>
      </c>
      <c r="G20" s="154">
        <f t="shared" ref="G20:H20" si="1">F20*(1-0)</f>
        <v>468.41756853752918</v>
      </c>
      <c r="H20" s="154">
        <f t="shared" si="1"/>
        <v>468.41756853752918</v>
      </c>
      <c r="I20" s="154"/>
      <c r="J20" s="154"/>
      <c r="K20" s="154"/>
      <c r="L20" s="154"/>
      <c r="M20" s="154"/>
    </row>
    <row r="21" spans="2:13">
      <c r="C21" s="298" t="s">
        <v>238</v>
      </c>
      <c r="D21" s="298" t="s">
        <v>271</v>
      </c>
      <c r="E21" s="184">
        <f>E12</f>
        <v>863.52962281752923</v>
      </c>
      <c r="F21" s="154">
        <f t="shared" ref="F21:H21" si="2">E21*(1-0)</f>
        <v>863.52962281752923</v>
      </c>
      <c r="G21" s="154">
        <f t="shared" si="2"/>
        <v>863.52962281752923</v>
      </c>
      <c r="H21" s="154">
        <f t="shared" si="2"/>
        <v>863.52962281752923</v>
      </c>
      <c r="I21" s="154"/>
      <c r="J21" s="154"/>
      <c r="K21" s="154"/>
      <c r="L21" s="154"/>
      <c r="M21" s="154"/>
    </row>
    <row r="22" spans="2:13">
      <c r="C22" s="298" t="s">
        <v>238</v>
      </c>
      <c r="D22" s="298" t="s">
        <v>272</v>
      </c>
      <c r="E22" s="184">
        <f>F12</f>
        <v>1255.9075788175289</v>
      </c>
      <c r="F22" s="154">
        <f t="shared" ref="F22:H22" si="3">E22*(1-0)</f>
        <v>1255.9075788175289</v>
      </c>
      <c r="G22" s="154">
        <f t="shared" si="3"/>
        <v>1255.9075788175289</v>
      </c>
      <c r="H22" s="154">
        <f t="shared" si="3"/>
        <v>1255.9075788175289</v>
      </c>
      <c r="I22" s="154"/>
      <c r="J22" s="154"/>
      <c r="K22" s="154"/>
      <c r="L22" s="154"/>
      <c r="M22" s="154"/>
    </row>
    <row r="23" spans="2:13">
      <c r="C23" s="298" t="s">
        <v>269</v>
      </c>
      <c r="D23" s="298" t="s">
        <v>273</v>
      </c>
      <c r="E23" s="184">
        <f>G12</f>
        <v>600.97591970548319</v>
      </c>
      <c r="F23" s="154">
        <f t="shared" ref="F23:H23" si="4">E23*(1-0)</f>
        <v>600.97591970548319</v>
      </c>
      <c r="G23" s="154">
        <f t="shared" si="4"/>
        <v>600.97591970548319</v>
      </c>
      <c r="H23" s="154">
        <f t="shared" si="4"/>
        <v>600.97591970548319</v>
      </c>
      <c r="I23" s="154"/>
      <c r="J23" s="154"/>
      <c r="K23" s="154"/>
      <c r="L23" s="154"/>
      <c r="M23" s="154"/>
    </row>
    <row r="24" spans="2:13">
      <c r="C24" s="298" t="s">
        <v>269</v>
      </c>
      <c r="D24" s="298" t="s">
        <v>274</v>
      </c>
      <c r="E24" s="184">
        <f>H12</f>
        <v>544.05071970548317</v>
      </c>
      <c r="F24" s="154">
        <f t="shared" ref="F24:H24" si="5">E24*(1-0)</f>
        <v>544.05071970548317</v>
      </c>
      <c r="G24" s="154">
        <f t="shared" si="5"/>
        <v>544.05071970548317</v>
      </c>
      <c r="H24" s="154">
        <f t="shared" si="5"/>
        <v>544.05071970548317</v>
      </c>
      <c r="I24" s="154"/>
      <c r="J24" s="154"/>
      <c r="K24" s="154"/>
      <c r="L24" s="154"/>
      <c r="M24" s="154"/>
    </row>
    <row r="25" spans="2:13">
      <c r="C25" s="181"/>
      <c r="D25" s="181"/>
      <c r="E25" s="184"/>
      <c r="F25" s="154"/>
      <c r="G25" s="154"/>
      <c r="H25" s="154"/>
      <c r="I25" s="154"/>
      <c r="J25" s="154"/>
      <c r="K25" s="154"/>
      <c r="L25" s="154"/>
      <c r="M25" s="154"/>
    </row>
    <row r="26" spans="2:13">
      <c r="C26" s="181"/>
      <c r="D26" s="181"/>
      <c r="E26" s="184"/>
      <c r="F26" s="154"/>
      <c r="G26" s="154"/>
      <c r="H26" s="154"/>
      <c r="I26" s="154"/>
      <c r="J26" s="154"/>
      <c r="K26" s="154"/>
      <c r="L26" s="154"/>
      <c r="M26" s="9"/>
    </row>
    <row r="27" spans="2:13">
      <c r="C27" s="181"/>
      <c r="D27" s="181"/>
      <c r="E27" s="184"/>
      <c r="F27" s="154"/>
      <c r="G27" s="154"/>
      <c r="H27" s="154"/>
      <c r="I27" s="154"/>
      <c r="J27" s="154"/>
      <c r="K27" s="154"/>
      <c r="L27" s="154"/>
      <c r="M27" s="9"/>
    </row>
  </sheetData>
  <mergeCells count="20"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  <mergeCell ref="N10:O10"/>
    <mergeCell ref="N11:O11"/>
    <mergeCell ref="A3:A5"/>
    <mergeCell ref="B3:B5"/>
    <mergeCell ref="D17:M17"/>
    <mergeCell ref="A12:C12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8" activePane="bottomRight" state="frozen"/>
      <selection pane="topRight"/>
      <selection pane="bottomLeft"/>
      <selection pane="bottomRight" activeCell="D20" sqref="D20"/>
    </sheetView>
  </sheetViews>
  <sheetFormatPr defaultColWidth="9" defaultRowHeight="13.5"/>
  <cols>
    <col min="1" max="1" width="9" style="219"/>
    <col min="2" max="2" width="29.625" style="219" customWidth="1"/>
    <col min="3" max="3" width="25.5" style="219" customWidth="1"/>
    <col min="4" max="4" width="22" style="219" customWidth="1"/>
    <col min="5" max="16384" width="9" style="219"/>
  </cols>
  <sheetData>
    <row r="1" spans="1:5" ht="27" customHeight="1">
      <c r="A1" s="218" t="s">
        <v>13</v>
      </c>
      <c r="B1" s="218" t="s">
        <v>196</v>
      </c>
      <c r="C1" s="218" t="s">
        <v>197</v>
      </c>
      <c r="D1" s="218" t="s">
        <v>198</v>
      </c>
    </row>
    <row r="2" spans="1:5" ht="19.5" customHeight="1">
      <c r="A2" s="218">
        <v>1</v>
      </c>
      <c r="B2" s="220" t="s">
        <v>199</v>
      </c>
      <c r="C2" s="175" t="s">
        <v>255</v>
      </c>
      <c r="D2" s="218"/>
    </row>
    <row r="3" spans="1:5" ht="36" customHeight="1">
      <c r="A3" s="218">
        <v>2</v>
      </c>
      <c r="B3" s="220" t="s">
        <v>200</v>
      </c>
      <c r="C3" s="176" t="s">
        <v>267</v>
      </c>
      <c r="D3" s="218" t="s">
        <v>256</v>
      </c>
    </row>
    <row r="4" spans="1:5" ht="19.5" customHeight="1">
      <c r="A4" s="218">
        <v>3</v>
      </c>
      <c r="B4" s="220" t="s">
        <v>201</v>
      </c>
      <c r="C4" s="175"/>
      <c r="D4" s="218" t="s">
        <v>257</v>
      </c>
    </row>
    <row r="5" spans="1:5" ht="42.75" customHeight="1">
      <c r="A5" s="218">
        <v>4</v>
      </c>
      <c r="B5" s="220" t="s">
        <v>202</v>
      </c>
      <c r="C5" s="221"/>
      <c r="D5" s="218"/>
    </row>
    <row r="6" spans="1:5" ht="39" customHeight="1">
      <c r="A6" s="218">
        <v>5</v>
      </c>
      <c r="B6" s="220" t="s">
        <v>203</v>
      </c>
      <c r="C6" s="221"/>
      <c r="D6" s="218"/>
    </row>
    <row r="7" spans="1:5" ht="27.75" customHeight="1">
      <c r="A7" s="218">
        <v>6</v>
      </c>
      <c r="B7" s="218" t="s">
        <v>204</v>
      </c>
      <c r="C7" s="186"/>
      <c r="D7" s="218"/>
    </row>
    <row r="8" spans="1:5" ht="36" customHeight="1">
      <c r="A8" s="218">
        <v>7</v>
      </c>
      <c r="B8" s="220" t="s">
        <v>205</v>
      </c>
      <c r="C8" s="175" t="s">
        <v>281</v>
      </c>
      <c r="D8" s="218"/>
    </row>
    <row r="9" spans="1:5" ht="34.5" customHeight="1">
      <c r="A9" s="218">
        <v>8</v>
      </c>
      <c r="B9" s="218" t="s">
        <v>206</v>
      </c>
      <c r="C9" s="175" t="s">
        <v>282</v>
      </c>
      <c r="D9" s="218"/>
    </row>
    <row r="10" spans="1:5" ht="34.5" customHeight="1">
      <c r="A10" s="218">
        <v>9</v>
      </c>
      <c r="B10" s="218" t="s">
        <v>207</v>
      </c>
      <c r="C10" s="175" t="s">
        <v>282</v>
      </c>
      <c r="D10" s="218"/>
      <c r="E10" s="226"/>
    </row>
    <row r="11" spans="1:5" ht="34.5" customHeight="1">
      <c r="A11" s="218">
        <v>10</v>
      </c>
      <c r="B11" s="218" t="s">
        <v>208</v>
      </c>
      <c r="C11" s="176" t="s">
        <v>283</v>
      </c>
      <c r="D11" s="218"/>
    </row>
    <row r="12" spans="1:5" ht="34.5" customHeight="1">
      <c r="A12" s="218">
        <v>11</v>
      </c>
      <c r="B12" s="218" t="s">
        <v>209</v>
      </c>
      <c r="C12" s="222"/>
      <c r="D12" s="218"/>
    </row>
    <row r="13" spans="1:5" ht="29.25" customHeight="1">
      <c r="A13" s="218">
        <v>12</v>
      </c>
      <c r="B13" s="220" t="s">
        <v>244</v>
      </c>
      <c r="C13" s="222" t="s">
        <v>280</v>
      </c>
      <c r="D13" s="297" t="s">
        <v>296</v>
      </c>
    </row>
    <row r="14" spans="1:5" ht="24" customHeight="1">
      <c r="A14" s="218">
        <v>13</v>
      </c>
      <c r="B14" s="220" t="s">
        <v>245</v>
      </c>
      <c r="C14" s="222"/>
      <c r="D14" s="218"/>
    </row>
    <row r="15" spans="1:5" ht="24" customHeight="1">
      <c r="A15" s="218">
        <v>14</v>
      </c>
      <c r="B15" s="220" t="s">
        <v>246</v>
      </c>
      <c r="C15" s="222"/>
      <c r="D15" s="218"/>
    </row>
    <row r="16" spans="1:5" ht="24" customHeight="1">
      <c r="A16" s="218">
        <v>15</v>
      </c>
      <c r="B16" s="218" t="s">
        <v>258</v>
      </c>
      <c r="C16" s="218"/>
      <c r="D16" s="218"/>
    </row>
    <row r="17" spans="2:2" ht="16.5">
      <c r="B17" s="223" t="s">
        <v>259</v>
      </c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90" zoomScaleNormal="90" workbookViewId="0">
      <selection activeCell="H12" sqref="H12"/>
    </sheetView>
  </sheetViews>
  <sheetFormatPr defaultColWidth="9" defaultRowHeight="13.5"/>
  <cols>
    <col min="1" max="2" width="9" style="55"/>
    <col min="3" max="3" width="14.625" style="55" customWidth="1"/>
    <col min="4" max="4" width="12.375" style="55" customWidth="1"/>
    <col min="5" max="7" width="11.125" style="55" customWidth="1"/>
    <col min="8" max="8" width="11" style="137" customWidth="1"/>
    <col min="9" max="16384" width="9" style="55"/>
  </cols>
  <sheetData>
    <row r="1" spans="1:11" s="134" customFormat="1" ht="18.75" customHeight="1">
      <c r="F1" s="288" t="s">
        <v>210</v>
      </c>
      <c r="G1" s="288"/>
      <c r="H1" s="135"/>
    </row>
    <row r="2" spans="1:11" ht="20.25" customHeight="1">
      <c r="A2" s="294" t="s">
        <v>211</v>
      </c>
      <c r="B2" s="294"/>
      <c r="C2" s="295"/>
      <c r="D2" s="295"/>
      <c r="E2" s="295"/>
      <c r="F2" s="295"/>
      <c r="G2" s="291"/>
      <c r="H2" s="136" t="s">
        <v>218</v>
      </c>
      <c r="J2" s="151"/>
      <c r="K2" s="151"/>
    </row>
    <row r="3" spans="1:11" ht="34.5" customHeight="1">
      <c r="A3" s="294"/>
      <c r="B3" s="294"/>
      <c r="C3" s="143" t="s">
        <v>220</v>
      </c>
      <c r="D3" s="143" t="s">
        <v>219</v>
      </c>
      <c r="E3" s="144" t="s">
        <v>223</v>
      </c>
      <c r="F3" s="144" t="s">
        <v>222</v>
      </c>
      <c r="G3" s="144" t="s">
        <v>247</v>
      </c>
      <c r="H3" s="147">
        <f>销量!C8</f>
        <v>523.00884955752213</v>
      </c>
    </row>
    <row r="4" spans="1:11">
      <c r="A4" s="289" t="s">
        <v>212</v>
      </c>
      <c r="B4" s="289"/>
      <c r="C4" s="138"/>
      <c r="D4" s="139">
        <f>$H$3*E4</f>
        <v>30.408048384755272</v>
      </c>
      <c r="E4" s="158">
        <v>5.8140600126520232E-2</v>
      </c>
      <c r="F4" s="158">
        <v>0.10179000000000001</v>
      </c>
      <c r="G4" s="140">
        <v>6.3270000000000007E-2</v>
      </c>
      <c r="I4" s="149"/>
      <c r="J4" s="56"/>
      <c r="K4" s="56"/>
    </row>
    <row r="5" spans="1:11">
      <c r="A5" s="289" t="s">
        <v>213</v>
      </c>
      <c r="B5" s="141" t="s">
        <v>214</v>
      </c>
      <c r="C5" s="138"/>
      <c r="D5" s="139">
        <f>$H$3*E5</f>
        <v>23.535398230088497</v>
      </c>
      <c r="E5" s="140">
        <v>4.4999999999999998E-2</v>
      </c>
      <c r="F5" s="158">
        <v>0.2</v>
      </c>
      <c r="G5" s="140">
        <v>0.08</v>
      </c>
      <c r="I5" s="150"/>
      <c r="J5" s="56"/>
      <c r="K5" s="56"/>
    </row>
    <row r="6" spans="1:11">
      <c r="A6" s="289"/>
      <c r="B6" s="141" t="s">
        <v>215</v>
      </c>
      <c r="C6" s="138"/>
      <c r="D6" s="139">
        <f t="shared" ref="D6" si="0">$H$3*E6</f>
        <v>9.4499105510629118</v>
      </c>
      <c r="E6" s="158">
        <v>1.8068356891203199E-2</v>
      </c>
      <c r="F6" s="158">
        <v>4.0280000000000003E-2</v>
      </c>
      <c r="G6" s="140">
        <v>2.068E-2</v>
      </c>
      <c r="I6" s="149"/>
      <c r="J6" s="56"/>
      <c r="K6" s="56"/>
    </row>
    <row r="7" spans="1:11">
      <c r="A7" s="290" t="s">
        <v>216</v>
      </c>
      <c r="B7" s="291"/>
      <c r="C7" s="142"/>
      <c r="D7" s="187">
        <f>$H$3*E7</f>
        <v>63.393357165906686</v>
      </c>
      <c r="E7" s="188">
        <f>SUM(E4:E6)</f>
        <v>0.12120895701772344</v>
      </c>
      <c r="F7" s="188">
        <f>SUM(F4:F6)</f>
        <v>0.34206999999999999</v>
      </c>
      <c r="G7" s="189">
        <f>SUM(G4:G6)</f>
        <v>0.16395000000000001</v>
      </c>
      <c r="I7" s="149"/>
      <c r="J7" s="56"/>
      <c r="K7" s="56"/>
    </row>
    <row r="8" spans="1:11">
      <c r="A8" s="289" t="s">
        <v>44</v>
      </c>
      <c r="B8" s="289"/>
      <c r="C8" s="138"/>
      <c r="D8" s="139">
        <f>$H$3*E8</f>
        <v>21.214969726730484</v>
      </c>
      <c r="E8" s="159">
        <v>4.0563309291379773E-2</v>
      </c>
      <c r="F8" s="158">
        <v>2.9350000000000001E-2</v>
      </c>
      <c r="G8" s="140">
        <v>4.9200000000000001E-2</v>
      </c>
      <c r="I8" s="150"/>
      <c r="J8" s="56"/>
      <c r="K8" s="56"/>
    </row>
    <row r="9" spans="1:11">
      <c r="A9" s="292" t="s">
        <v>217</v>
      </c>
      <c r="B9" s="141" t="s">
        <v>214</v>
      </c>
      <c r="C9" s="138"/>
      <c r="D9" s="139">
        <f>$H$3*E9</f>
        <v>4.1317699115044251</v>
      </c>
      <c r="E9" s="140">
        <v>7.9000000000000008E-3</v>
      </c>
      <c r="F9" s="158">
        <v>2.1489999999999999E-2</v>
      </c>
      <c r="G9" s="140">
        <v>9.4900000000000002E-3</v>
      </c>
      <c r="I9" s="137"/>
      <c r="J9" s="56"/>
      <c r="K9" s="56"/>
    </row>
    <row r="10" spans="1:11">
      <c r="A10" s="293"/>
      <c r="B10" s="141" t="s">
        <v>215</v>
      </c>
      <c r="C10" s="138"/>
      <c r="D10" s="139">
        <f>$H$3*E10</f>
        <v>5.2300884955752212</v>
      </c>
      <c r="E10" s="137">
        <v>0.01</v>
      </c>
      <c r="F10" s="158">
        <v>5.8119999999999998E-2</v>
      </c>
      <c r="G10" s="140">
        <v>5.4899999999999997E-2</v>
      </c>
      <c r="I10" s="137"/>
      <c r="J10" s="56"/>
      <c r="K10" s="56"/>
    </row>
    <row r="11" spans="1:11">
      <c r="A11" s="289" t="s">
        <v>47</v>
      </c>
      <c r="B11" s="289"/>
      <c r="C11" s="138"/>
      <c r="D11" s="139">
        <f t="shared" ref="D11" si="1">$H$3*E11</f>
        <v>11.14008849557522</v>
      </c>
      <c r="E11" s="140">
        <v>2.1299999999999999E-2</v>
      </c>
      <c r="F11" s="158">
        <v>2.1299999999999999E-2</v>
      </c>
      <c r="G11" s="140">
        <v>2.1299999999999999E-2</v>
      </c>
      <c r="I11" s="137"/>
      <c r="J11" s="56"/>
      <c r="K11" s="56"/>
    </row>
    <row r="15" spans="1:11">
      <c r="A15" s="134"/>
      <c r="B15" s="134"/>
      <c r="C15" s="134"/>
      <c r="D15" s="134"/>
      <c r="E15" s="134"/>
      <c r="F15" s="288" t="s">
        <v>210</v>
      </c>
      <c r="G15" s="288"/>
      <c r="H15" s="135"/>
    </row>
    <row r="16" spans="1:11" ht="22.5" customHeight="1">
      <c r="A16" s="294" t="s">
        <v>211</v>
      </c>
      <c r="B16" s="294"/>
      <c r="C16" s="295"/>
      <c r="D16" s="295"/>
      <c r="E16" s="295"/>
      <c r="F16" s="295"/>
      <c r="G16" s="291"/>
      <c r="H16" s="136" t="s">
        <v>218</v>
      </c>
    </row>
    <row r="17" spans="1:8" ht="27">
      <c r="A17" s="294"/>
      <c r="B17" s="294"/>
      <c r="C17" s="143" t="s">
        <v>220</v>
      </c>
      <c r="D17" s="143" t="s">
        <v>219</v>
      </c>
      <c r="E17" s="144" t="s">
        <v>223</v>
      </c>
      <c r="F17" s="144" t="s">
        <v>222</v>
      </c>
      <c r="G17" s="144" t="s">
        <v>221</v>
      </c>
      <c r="H17" s="147">
        <f>销量!D8</f>
        <v>555.75221238938059</v>
      </c>
    </row>
    <row r="18" spans="1:8">
      <c r="A18" s="289" t="s">
        <v>212</v>
      </c>
      <c r="B18" s="289"/>
      <c r="C18" s="138"/>
      <c r="D18" s="139">
        <f>$H$17*E18</f>
        <v>32.31176714995992</v>
      </c>
      <c r="E18" s="158">
        <v>5.8140600126520232E-2</v>
      </c>
      <c r="F18" s="158">
        <v>0.10179000000000001</v>
      </c>
      <c r="G18" s="140">
        <v>6.3270000000000007E-2</v>
      </c>
    </row>
    <row r="19" spans="1:8">
      <c r="A19" s="289" t="s">
        <v>213</v>
      </c>
      <c r="B19" s="157" t="s">
        <v>214</v>
      </c>
      <c r="C19" s="138"/>
      <c r="D19" s="139">
        <f t="shared" ref="D19:D23" si="2">$H$17*E19</f>
        <v>25.008849557522126</v>
      </c>
      <c r="E19" s="140">
        <v>4.4999999999999998E-2</v>
      </c>
      <c r="F19" s="158">
        <v>0.2</v>
      </c>
      <c r="G19" s="140">
        <v>0.08</v>
      </c>
    </row>
    <row r="20" spans="1:8">
      <c r="A20" s="289"/>
      <c r="B20" s="157" t="s">
        <v>215</v>
      </c>
      <c r="C20" s="138"/>
      <c r="D20" s="139">
        <f t="shared" si="2"/>
        <v>10.041529316527088</v>
      </c>
      <c r="E20" s="158">
        <v>1.8068356891203199E-2</v>
      </c>
      <c r="F20" s="158">
        <v>4.0280000000000003E-2</v>
      </c>
      <c r="G20" s="140">
        <v>2.068E-2</v>
      </c>
    </row>
    <row r="21" spans="1:8">
      <c r="A21" s="290" t="s">
        <v>216</v>
      </c>
      <c r="B21" s="291"/>
      <c r="C21" s="142"/>
      <c r="D21" s="139">
        <f t="shared" si="2"/>
        <v>67.362146024009135</v>
      </c>
      <c r="E21" s="188">
        <f>SUM(E18:E20)</f>
        <v>0.12120895701772344</v>
      </c>
      <c r="F21" s="188">
        <f>SUM(F18:F20)</f>
        <v>0.34206999999999999</v>
      </c>
      <c r="G21" s="189">
        <f>SUM(G18:G20)</f>
        <v>0.16395000000000001</v>
      </c>
    </row>
    <row r="22" spans="1:8">
      <c r="A22" s="289" t="s">
        <v>44</v>
      </c>
      <c r="B22" s="289"/>
      <c r="C22" s="138"/>
      <c r="D22" s="139">
        <f t="shared" si="2"/>
        <v>22.543148880519027</v>
      </c>
      <c r="E22" s="159">
        <v>4.0563309291379773E-2</v>
      </c>
      <c r="F22" s="158">
        <v>2.9350000000000001E-2</v>
      </c>
      <c r="G22" s="140">
        <v>4.9200000000000001E-2</v>
      </c>
    </row>
    <row r="23" spans="1:8">
      <c r="A23" s="292" t="s">
        <v>217</v>
      </c>
      <c r="B23" s="157" t="s">
        <v>214</v>
      </c>
      <c r="C23" s="138"/>
      <c r="D23" s="139">
        <f t="shared" si="2"/>
        <v>4.3904424778761069</v>
      </c>
      <c r="E23" s="140">
        <v>7.9000000000000008E-3</v>
      </c>
      <c r="F23" s="158">
        <v>2.1489999999999999E-2</v>
      </c>
      <c r="G23" s="140">
        <v>9.4900000000000002E-3</v>
      </c>
    </row>
    <row r="24" spans="1:8">
      <c r="A24" s="293"/>
      <c r="B24" s="157" t="s">
        <v>215</v>
      </c>
      <c r="C24" s="138"/>
      <c r="D24" s="139">
        <f>$H$17*E24</f>
        <v>5.557522123893806</v>
      </c>
      <c r="E24" s="137">
        <v>0.01</v>
      </c>
      <c r="F24" s="158">
        <v>5.8119999999999998E-2</v>
      </c>
      <c r="G24" s="140">
        <v>5.4899999999999997E-2</v>
      </c>
    </row>
    <row r="25" spans="1:8">
      <c r="A25" s="289" t="s">
        <v>47</v>
      </c>
      <c r="B25" s="289"/>
      <c r="C25" s="138"/>
      <c r="D25" s="139">
        <f t="shared" ref="D25" si="3">$H$17*E25</f>
        <v>11.837522123893807</v>
      </c>
      <c r="E25" s="140">
        <v>2.1299999999999999E-2</v>
      </c>
      <c r="F25" s="158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288" t="s">
        <v>210</v>
      </c>
      <c r="G29" s="288"/>
      <c r="H29" s="135"/>
    </row>
    <row r="30" spans="1:8" ht="30" customHeight="1">
      <c r="A30" s="294" t="s">
        <v>211</v>
      </c>
      <c r="B30" s="294"/>
      <c r="C30" s="295"/>
      <c r="D30" s="295"/>
      <c r="E30" s="295"/>
      <c r="F30" s="295"/>
      <c r="G30" s="291"/>
      <c r="H30" s="136" t="s">
        <v>218</v>
      </c>
    </row>
    <row r="31" spans="1:8" ht="27">
      <c r="A31" s="294"/>
      <c r="B31" s="294"/>
      <c r="C31" s="143" t="s">
        <v>220</v>
      </c>
      <c r="D31" s="143" t="s">
        <v>219</v>
      </c>
      <c r="E31" s="144" t="s">
        <v>223</v>
      </c>
      <c r="F31" s="144" t="s">
        <v>222</v>
      </c>
      <c r="G31" s="144" t="s">
        <v>221</v>
      </c>
      <c r="H31" s="147">
        <f>销量!E8</f>
        <v>1235.3982300884957</v>
      </c>
    </row>
    <row r="32" spans="1:8">
      <c r="A32" s="289" t="s">
        <v>212</v>
      </c>
      <c r="B32" s="289"/>
      <c r="C32" s="138"/>
      <c r="D32" s="139">
        <f>$H$31*E32</f>
        <v>71.82679449258606</v>
      </c>
      <c r="E32" s="158">
        <v>5.8140600126520232E-2</v>
      </c>
      <c r="F32" s="158">
        <v>0.10179000000000001</v>
      </c>
      <c r="G32" s="140">
        <v>6.3270000000000007E-2</v>
      </c>
    </row>
    <row r="33" spans="1:8">
      <c r="A33" s="289" t="s">
        <v>213</v>
      </c>
      <c r="B33" s="157" t="s">
        <v>214</v>
      </c>
      <c r="C33" s="138"/>
      <c r="D33" s="139">
        <f t="shared" ref="D33:D37" si="4">$H$31*E33</f>
        <v>55.592920353982301</v>
      </c>
      <c r="E33" s="140">
        <v>4.4999999999999998E-2</v>
      </c>
      <c r="F33" s="158">
        <v>0.2</v>
      </c>
      <c r="G33" s="140">
        <v>0.08</v>
      </c>
    </row>
    <row r="34" spans="1:8">
      <c r="A34" s="289"/>
      <c r="B34" s="157" t="s">
        <v>215</v>
      </c>
      <c r="C34" s="138"/>
      <c r="D34" s="139">
        <f t="shared" si="4"/>
        <v>22.321616123999707</v>
      </c>
      <c r="E34" s="158">
        <v>1.8068356891203199E-2</v>
      </c>
      <c r="F34" s="158">
        <v>4.0280000000000003E-2</v>
      </c>
      <c r="G34" s="140">
        <v>2.068E-2</v>
      </c>
    </row>
    <row r="35" spans="1:8">
      <c r="A35" s="290" t="s">
        <v>216</v>
      </c>
      <c r="B35" s="291"/>
      <c r="C35" s="142"/>
      <c r="D35" s="139">
        <f t="shared" si="4"/>
        <v>149.74133097056807</v>
      </c>
      <c r="E35" s="188">
        <f>SUM(E32:E34)</f>
        <v>0.12120895701772344</v>
      </c>
      <c r="F35" s="188">
        <f>SUM(F32:F34)</f>
        <v>0.34206999999999999</v>
      </c>
      <c r="G35" s="189">
        <f>SUM(G32:G34)</f>
        <v>0.16395000000000001</v>
      </c>
    </row>
    <row r="36" spans="1:8">
      <c r="A36" s="289" t="s">
        <v>44</v>
      </c>
      <c r="B36" s="289"/>
      <c r="C36" s="138"/>
      <c r="D36" s="139">
        <f t="shared" si="4"/>
        <v>50.111840505102805</v>
      </c>
      <c r="E36" s="159">
        <v>4.0563309291379773E-2</v>
      </c>
      <c r="F36" s="158">
        <v>2.9350000000000001E-2</v>
      </c>
      <c r="G36" s="140">
        <v>4.9200000000000001E-2</v>
      </c>
    </row>
    <row r="37" spans="1:8">
      <c r="A37" s="292" t="s">
        <v>217</v>
      </c>
      <c r="B37" s="157" t="s">
        <v>214</v>
      </c>
      <c r="C37" s="138"/>
      <c r="D37" s="139">
        <f t="shared" si="4"/>
        <v>9.7596460176991169</v>
      </c>
      <c r="E37" s="140">
        <v>7.9000000000000008E-3</v>
      </c>
      <c r="F37" s="158">
        <v>2.1489999999999999E-2</v>
      </c>
      <c r="G37" s="140">
        <v>9.4900000000000002E-3</v>
      </c>
    </row>
    <row r="38" spans="1:8">
      <c r="A38" s="293"/>
      <c r="B38" s="157" t="s">
        <v>215</v>
      </c>
      <c r="C38" s="138"/>
      <c r="D38" s="139">
        <f>$H$31*E38</f>
        <v>12.353982300884956</v>
      </c>
      <c r="E38" s="137">
        <v>0.01</v>
      </c>
      <c r="F38" s="158">
        <v>5.8119999999999998E-2</v>
      </c>
      <c r="G38" s="140">
        <v>5.4899999999999997E-2</v>
      </c>
    </row>
    <row r="39" spans="1:8">
      <c r="A39" s="289" t="s">
        <v>47</v>
      </c>
      <c r="B39" s="289"/>
      <c r="C39" s="138"/>
      <c r="D39" s="139">
        <f t="shared" ref="D39" si="5">$H$31*E39</f>
        <v>26.313982300884955</v>
      </c>
      <c r="E39" s="140">
        <v>2.1299999999999999E-2</v>
      </c>
      <c r="F39" s="158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288" t="s">
        <v>210</v>
      </c>
      <c r="G42" s="288"/>
      <c r="H42" s="135"/>
    </row>
    <row r="43" spans="1:8" ht="28.5" customHeight="1">
      <c r="A43" s="294" t="s">
        <v>211</v>
      </c>
      <c r="B43" s="294"/>
      <c r="C43" s="295"/>
      <c r="D43" s="295"/>
      <c r="E43" s="295"/>
      <c r="F43" s="295"/>
      <c r="G43" s="291"/>
      <c r="H43" s="136" t="s">
        <v>218</v>
      </c>
    </row>
    <row r="44" spans="1:8" ht="27">
      <c r="A44" s="294"/>
      <c r="B44" s="294"/>
      <c r="C44" s="143" t="s">
        <v>220</v>
      </c>
      <c r="D44" s="143" t="s">
        <v>219</v>
      </c>
      <c r="E44" s="144" t="s">
        <v>223</v>
      </c>
      <c r="F44" s="144" t="s">
        <v>222</v>
      </c>
      <c r="G44" s="144" t="s">
        <v>221</v>
      </c>
      <c r="H44" s="147">
        <f>销量!F8</f>
        <v>802.4424778761063</v>
      </c>
    </row>
    <row r="45" spans="1:8">
      <c r="A45" s="289" t="s">
        <v>212</v>
      </c>
      <c r="B45" s="289"/>
      <c r="C45" s="138"/>
      <c r="D45" s="139">
        <f>$H$44*E45</f>
        <v>46.654487230728755</v>
      </c>
      <c r="E45" s="158">
        <v>5.8140600126520232E-2</v>
      </c>
      <c r="F45" s="158">
        <v>0.10179000000000001</v>
      </c>
      <c r="G45" s="140">
        <v>6.3270000000000007E-2</v>
      </c>
    </row>
    <row r="46" spans="1:8">
      <c r="A46" s="289" t="s">
        <v>213</v>
      </c>
      <c r="B46" s="157" t="s">
        <v>214</v>
      </c>
      <c r="C46" s="138"/>
      <c r="D46" s="139">
        <f t="shared" ref="D46:D50" si="6">$H$44*E46</f>
        <v>36.10991150442478</v>
      </c>
      <c r="E46" s="140">
        <v>4.4999999999999998E-2</v>
      </c>
      <c r="F46" s="158">
        <v>0.2</v>
      </c>
      <c r="G46" s="140">
        <v>0.08</v>
      </c>
    </row>
    <row r="47" spans="1:8">
      <c r="A47" s="289"/>
      <c r="B47" s="157" t="s">
        <v>215</v>
      </c>
      <c r="C47" s="138"/>
      <c r="D47" s="139">
        <f t="shared" si="6"/>
        <v>14.498817074926915</v>
      </c>
      <c r="E47" s="158">
        <v>1.8068356891203199E-2</v>
      </c>
      <c r="F47" s="158">
        <v>4.0280000000000003E-2</v>
      </c>
      <c r="G47" s="140">
        <v>2.068E-2</v>
      </c>
    </row>
    <row r="48" spans="1:8">
      <c r="A48" s="290" t="s">
        <v>216</v>
      </c>
      <c r="B48" s="291"/>
      <c r="C48" s="142"/>
      <c r="D48" s="139">
        <f t="shared" si="6"/>
        <v>97.263215810080467</v>
      </c>
      <c r="E48" s="188">
        <f>SUM(E45:E47)</f>
        <v>0.12120895701772344</v>
      </c>
      <c r="F48" s="188">
        <f>SUM(F45:F47)</f>
        <v>0.34206999999999999</v>
      </c>
      <c r="G48" s="189">
        <f>SUM(G45:G47)</f>
        <v>0.16395000000000001</v>
      </c>
    </row>
    <row r="49" spans="1:8">
      <c r="A49" s="289" t="s">
        <v>44</v>
      </c>
      <c r="B49" s="289"/>
      <c r="C49" s="138"/>
      <c r="D49" s="139">
        <f t="shared" si="6"/>
        <v>32.549722418629671</v>
      </c>
      <c r="E49" s="159">
        <v>4.0563309291379773E-2</v>
      </c>
      <c r="F49" s="158">
        <v>2.9350000000000001E-2</v>
      </c>
      <c r="G49" s="140">
        <v>4.9200000000000001E-2</v>
      </c>
    </row>
    <row r="50" spans="1:8">
      <c r="A50" s="292" t="s">
        <v>217</v>
      </c>
      <c r="B50" s="157" t="s">
        <v>214</v>
      </c>
      <c r="C50" s="138"/>
      <c r="D50" s="139">
        <f t="shared" si="6"/>
        <v>6.3392955752212403</v>
      </c>
      <c r="E50" s="140">
        <v>7.9000000000000008E-3</v>
      </c>
      <c r="F50" s="158">
        <v>2.1489999999999999E-2</v>
      </c>
      <c r="G50" s="140">
        <v>9.4900000000000002E-3</v>
      </c>
    </row>
    <row r="51" spans="1:8">
      <c r="A51" s="293"/>
      <c r="B51" s="157" t="s">
        <v>215</v>
      </c>
      <c r="C51" s="138"/>
      <c r="D51" s="139">
        <f>$H$44*E51</f>
        <v>8.0244247787610625</v>
      </c>
      <c r="E51" s="137">
        <v>0.01</v>
      </c>
      <c r="F51" s="158">
        <v>5.8119999999999998E-2</v>
      </c>
      <c r="G51" s="140">
        <v>5.4899999999999997E-2</v>
      </c>
    </row>
    <row r="52" spans="1:8">
      <c r="A52" s="289" t="s">
        <v>47</v>
      </c>
      <c r="B52" s="289"/>
      <c r="C52" s="138"/>
      <c r="D52" s="139">
        <f t="shared" ref="D52" si="7">$H$44*E52</f>
        <v>17.092024778761065</v>
      </c>
      <c r="E52" s="140">
        <v>2.1299999999999999E-2</v>
      </c>
      <c r="F52" s="158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288" t="s">
        <v>210</v>
      </c>
      <c r="G55" s="288"/>
      <c r="H55" s="135"/>
    </row>
    <row r="56" spans="1:8">
      <c r="A56" s="294" t="s">
        <v>211</v>
      </c>
      <c r="B56" s="294"/>
      <c r="C56" s="295"/>
      <c r="D56" s="295"/>
      <c r="E56" s="295"/>
      <c r="F56" s="295"/>
      <c r="G56" s="291"/>
      <c r="H56" s="136" t="s">
        <v>218</v>
      </c>
    </row>
    <row r="57" spans="1:8" ht="27">
      <c r="A57" s="294"/>
      <c r="B57" s="294"/>
      <c r="C57" s="143" t="s">
        <v>220</v>
      </c>
      <c r="D57" s="143" t="s">
        <v>219</v>
      </c>
      <c r="E57" s="144" t="s">
        <v>223</v>
      </c>
      <c r="F57" s="144" t="s">
        <v>222</v>
      </c>
      <c r="G57" s="144" t="s">
        <v>221</v>
      </c>
      <c r="H57" s="147">
        <f>销量!G8</f>
        <v>614.83185840707972</v>
      </c>
    </row>
    <row r="58" spans="1:8">
      <c r="A58" s="289" t="s">
        <v>212</v>
      </c>
      <c r="B58" s="289"/>
      <c r="C58" s="138"/>
      <c r="D58" s="139">
        <f>$H$57*E58</f>
        <v>35.746693224691327</v>
      </c>
      <c r="E58" s="158">
        <v>5.8140600126520232E-2</v>
      </c>
      <c r="F58" s="158">
        <v>0.10179000000000001</v>
      </c>
      <c r="G58" s="140">
        <v>6.3270000000000007E-2</v>
      </c>
    </row>
    <row r="59" spans="1:8">
      <c r="A59" s="289" t="s">
        <v>213</v>
      </c>
      <c r="B59" s="157" t="s">
        <v>214</v>
      </c>
      <c r="C59" s="138"/>
      <c r="D59" s="139">
        <f t="shared" ref="D59:D63" si="8">$H$57*E59</f>
        <v>27.667433628318587</v>
      </c>
      <c r="E59" s="140">
        <v>4.4999999999999998E-2</v>
      </c>
      <c r="F59" s="158">
        <v>0.2</v>
      </c>
      <c r="G59" s="140">
        <v>0.08</v>
      </c>
    </row>
    <row r="60" spans="1:8">
      <c r="A60" s="289"/>
      <c r="B60" s="157" t="s">
        <v>215</v>
      </c>
      <c r="C60" s="138"/>
      <c r="D60" s="139">
        <f t="shared" si="8"/>
        <v>11.109001445780828</v>
      </c>
      <c r="E60" s="158">
        <v>1.8068356891203199E-2</v>
      </c>
      <c r="F60" s="158">
        <v>4.0280000000000003E-2</v>
      </c>
      <c r="G60" s="140">
        <v>2.068E-2</v>
      </c>
    </row>
    <row r="61" spans="1:8">
      <c r="A61" s="290" t="s">
        <v>216</v>
      </c>
      <c r="B61" s="291"/>
      <c r="C61" s="142"/>
      <c r="D61" s="139">
        <f t="shared" si="8"/>
        <v>74.523128298790752</v>
      </c>
      <c r="E61" s="188">
        <f>SUM(E58:E60)</f>
        <v>0.12120895701772344</v>
      </c>
      <c r="F61" s="188">
        <f>SUM(F58:F60)</f>
        <v>0.34206999999999999</v>
      </c>
      <c r="G61" s="189">
        <f>SUM(G58:G60)</f>
        <v>0.16395000000000001</v>
      </c>
    </row>
    <row r="62" spans="1:8">
      <c r="A62" s="289" t="s">
        <v>44</v>
      </c>
      <c r="B62" s="289"/>
      <c r="C62" s="138"/>
      <c r="D62" s="139">
        <f t="shared" si="8"/>
        <v>24.939614834760189</v>
      </c>
      <c r="E62" s="159">
        <v>4.0563309291379773E-2</v>
      </c>
      <c r="F62" s="158">
        <v>2.9350000000000001E-2</v>
      </c>
      <c r="G62" s="140">
        <v>4.9200000000000001E-2</v>
      </c>
    </row>
    <row r="63" spans="1:8">
      <c r="A63" s="292" t="s">
        <v>217</v>
      </c>
      <c r="B63" s="157" t="s">
        <v>214</v>
      </c>
      <c r="C63" s="138"/>
      <c r="D63" s="139">
        <f t="shared" si="8"/>
        <v>4.85717168141593</v>
      </c>
      <c r="E63" s="140">
        <v>7.9000000000000008E-3</v>
      </c>
      <c r="F63" s="158">
        <v>2.1489999999999999E-2</v>
      </c>
      <c r="G63" s="140">
        <v>9.4900000000000002E-3</v>
      </c>
    </row>
    <row r="64" spans="1:8">
      <c r="A64" s="293"/>
      <c r="B64" s="157" t="s">
        <v>215</v>
      </c>
      <c r="C64" s="138"/>
      <c r="D64" s="139">
        <f>$H$57*E64</f>
        <v>6.1483185840707977</v>
      </c>
      <c r="E64" s="137">
        <v>0.01</v>
      </c>
      <c r="F64" s="158">
        <v>5.8119999999999998E-2</v>
      </c>
      <c r="G64" s="140">
        <v>5.4899999999999997E-2</v>
      </c>
    </row>
    <row r="65" spans="1:8">
      <c r="A65" s="289" t="s">
        <v>47</v>
      </c>
      <c r="B65" s="289"/>
      <c r="C65" s="138"/>
      <c r="D65" s="139">
        <f t="shared" ref="D65" si="9">$H$57*E65</f>
        <v>13.095918584070798</v>
      </c>
      <c r="E65" s="140">
        <v>2.1299999999999999E-2</v>
      </c>
      <c r="F65" s="158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288" t="s">
        <v>210</v>
      </c>
      <c r="G68" s="288"/>
      <c r="H68" s="135"/>
    </row>
    <row r="69" spans="1:8">
      <c r="A69" s="294" t="s">
        <v>211</v>
      </c>
      <c r="B69" s="294"/>
      <c r="C69" s="295"/>
      <c r="D69" s="295"/>
      <c r="E69" s="295"/>
      <c r="F69" s="295"/>
      <c r="G69" s="291"/>
      <c r="H69" s="136" t="s">
        <v>218</v>
      </c>
    </row>
    <row r="70" spans="1:8" ht="27">
      <c r="A70" s="294"/>
      <c r="B70" s="294"/>
      <c r="C70" s="143" t="s">
        <v>220</v>
      </c>
      <c r="D70" s="143" t="s">
        <v>219</v>
      </c>
      <c r="E70" s="144" t="s">
        <v>223</v>
      </c>
      <c r="F70" s="144" t="s">
        <v>222</v>
      </c>
      <c r="G70" s="144" t="s">
        <v>221</v>
      </c>
      <c r="H70" s="147" t="str">
        <f>销量!H8</f>
        <v>含到诸城运费，不含到长沙运费</v>
      </c>
    </row>
    <row r="71" spans="1:8">
      <c r="A71" s="289" t="s">
        <v>212</v>
      </c>
      <c r="B71" s="289"/>
      <c r="C71" s="138"/>
      <c r="D71" s="139" t="e">
        <f>$H$70*E71</f>
        <v>#VALUE!</v>
      </c>
      <c r="E71" s="158">
        <v>5.8140600126520232E-2</v>
      </c>
      <c r="F71" s="158">
        <v>0.10179000000000001</v>
      </c>
      <c r="G71" s="140">
        <v>6.3270000000000007E-2</v>
      </c>
    </row>
    <row r="72" spans="1:8">
      <c r="A72" s="289" t="s">
        <v>213</v>
      </c>
      <c r="B72" s="157" t="s">
        <v>214</v>
      </c>
      <c r="C72" s="138"/>
      <c r="D72" s="139" t="e">
        <f t="shared" ref="D72:D76" si="10">$H$70*E72</f>
        <v>#VALUE!</v>
      </c>
      <c r="E72" s="140">
        <v>4.4999999999999998E-2</v>
      </c>
      <c r="F72" s="158">
        <v>0.2</v>
      </c>
      <c r="G72" s="140">
        <v>0.08</v>
      </c>
    </row>
    <row r="73" spans="1:8">
      <c r="A73" s="289"/>
      <c r="B73" s="157" t="s">
        <v>215</v>
      </c>
      <c r="C73" s="138"/>
      <c r="D73" s="139" t="e">
        <f t="shared" si="10"/>
        <v>#VALUE!</v>
      </c>
      <c r="E73" s="158">
        <v>1.8068356891203199E-2</v>
      </c>
      <c r="F73" s="158">
        <v>4.0280000000000003E-2</v>
      </c>
      <c r="G73" s="140">
        <v>2.068E-2</v>
      </c>
    </row>
    <row r="74" spans="1:8">
      <c r="A74" s="290" t="s">
        <v>216</v>
      </c>
      <c r="B74" s="291"/>
      <c r="C74" s="142"/>
      <c r="D74" s="139" t="e">
        <f t="shared" si="10"/>
        <v>#VALUE!</v>
      </c>
      <c r="E74" s="188">
        <f>SUM(E71:E73)</f>
        <v>0.12120895701772344</v>
      </c>
      <c r="F74" s="188">
        <f>SUM(F71:F73)</f>
        <v>0.34206999999999999</v>
      </c>
      <c r="G74" s="189">
        <f>SUM(G71:G73)</f>
        <v>0.16395000000000001</v>
      </c>
    </row>
    <row r="75" spans="1:8">
      <c r="A75" s="289" t="s">
        <v>44</v>
      </c>
      <c r="B75" s="289"/>
      <c r="C75" s="138"/>
      <c r="D75" s="139" t="e">
        <f t="shared" si="10"/>
        <v>#VALUE!</v>
      </c>
      <c r="E75" s="159">
        <v>4.0563309291379773E-2</v>
      </c>
      <c r="F75" s="158">
        <v>2.9350000000000001E-2</v>
      </c>
      <c r="G75" s="140">
        <v>4.9200000000000001E-2</v>
      </c>
    </row>
    <row r="76" spans="1:8">
      <c r="A76" s="292" t="s">
        <v>217</v>
      </c>
      <c r="B76" s="157" t="s">
        <v>214</v>
      </c>
      <c r="C76" s="138"/>
      <c r="D76" s="139" t="e">
        <f t="shared" si="10"/>
        <v>#VALUE!</v>
      </c>
      <c r="E76" s="140">
        <v>7.9000000000000008E-3</v>
      </c>
      <c r="F76" s="158">
        <v>2.1489999999999999E-2</v>
      </c>
      <c r="G76" s="140">
        <v>9.4900000000000002E-3</v>
      </c>
    </row>
    <row r="77" spans="1:8">
      <c r="A77" s="293"/>
      <c r="B77" s="157" t="s">
        <v>215</v>
      </c>
      <c r="C77" s="138"/>
      <c r="D77" s="139" t="e">
        <f>$H$70*E77</f>
        <v>#VALUE!</v>
      </c>
      <c r="E77" s="137">
        <v>0.01</v>
      </c>
      <c r="F77" s="158">
        <v>5.8119999999999998E-2</v>
      </c>
      <c r="G77" s="140">
        <v>5.4899999999999997E-2</v>
      </c>
    </row>
    <row r="78" spans="1:8">
      <c r="A78" s="289" t="s">
        <v>47</v>
      </c>
      <c r="B78" s="289"/>
      <c r="C78" s="138"/>
      <c r="D78" s="139" t="e">
        <f t="shared" ref="D78" si="11">$H$70*E78</f>
        <v>#VALUE!</v>
      </c>
      <c r="E78" s="140">
        <v>2.1299999999999999E-2</v>
      </c>
      <c r="F78" s="158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288" t="s">
        <v>210</v>
      </c>
      <c r="G81" s="288"/>
      <c r="H81" s="135"/>
    </row>
    <row r="82" spans="1:8">
      <c r="A82" s="294" t="s">
        <v>211</v>
      </c>
      <c r="B82" s="294"/>
      <c r="C82" s="295"/>
      <c r="D82" s="295"/>
      <c r="E82" s="295"/>
      <c r="F82" s="295"/>
      <c r="G82" s="291"/>
      <c r="H82" s="136" t="s">
        <v>218</v>
      </c>
    </row>
    <row r="83" spans="1:8" ht="27">
      <c r="A83" s="294"/>
      <c r="B83" s="294"/>
      <c r="C83" s="143" t="s">
        <v>220</v>
      </c>
      <c r="D83" s="143" t="s">
        <v>219</v>
      </c>
      <c r="E83" s="144" t="s">
        <v>223</v>
      </c>
      <c r="F83" s="144" t="s">
        <v>222</v>
      </c>
      <c r="G83" s="144" t="s">
        <v>221</v>
      </c>
      <c r="H83" s="147">
        <f>销量!I8</f>
        <v>0</v>
      </c>
    </row>
    <row r="84" spans="1:8">
      <c r="A84" s="289" t="s">
        <v>212</v>
      </c>
      <c r="B84" s="289"/>
      <c r="C84" s="138"/>
      <c r="D84" s="139">
        <f>$H$83*E84</f>
        <v>0</v>
      </c>
      <c r="E84" s="158">
        <v>5.8140600126520232E-2</v>
      </c>
      <c r="F84" s="158">
        <v>0.10179000000000001</v>
      </c>
      <c r="G84" s="140">
        <v>6.3270000000000007E-2</v>
      </c>
    </row>
    <row r="85" spans="1:8">
      <c r="A85" s="289" t="s">
        <v>213</v>
      </c>
      <c r="B85" s="171" t="s">
        <v>214</v>
      </c>
      <c r="C85" s="138"/>
      <c r="D85" s="139">
        <f t="shared" ref="D85:D89" si="12">$H$83*E85</f>
        <v>0</v>
      </c>
      <c r="E85" s="140">
        <v>4.4999999999999998E-2</v>
      </c>
      <c r="F85" s="158">
        <v>0.2</v>
      </c>
      <c r="G85" s="140">
        <v>0.08</v>
      </c>
    </row>
    <row r="86" spans="1:8">
      <c r="A86" s="289"/>
      <c r="B86" s="171" t="s">
        <v>215</v>
      </c>
      <c r="C86" s="138"/>
      <c r="D86" s="139">
        <f t="shared" si="12"/>
        <v>0</v>
      </c>
      <c r="E86" s="158">
        <v>1.8068356891203199E-2</v>
      </c>
      <c r="F86" s="158">
        <v>4.0280000000000003E-2</v>
      </c>
      <c r="G86" s="140">
        <v>2.068E-2</v>
      </c>
    </row>
    <row r="87" spans="1:8">
      <c r="A87" s="290" t="s">
        <v>216</v>
      </c>
      <c r="B87" s="291"/>
      <c r="C87" s="142"/>
      <c r="D87" s="139">
        <f t="shared" si="12"/>
        <v>0</v>
      </c>
      <c r="E87" s="188">
        <f>SUM(E84:E86)</f>
        <v>0.12120895701772344</v>
      </c>
      <c r="F87" s="188">
        <f>SUM(F84:F86)</f>
        <v>0.34206999999999999</v>
      </c>
      <c r="G87" s="189">
        <f>SUM(G84:G86)</f>
        <v>0.16395000000000001</v>
      </c>
    </row>
    <row r="88" spans="1:8">
      <c r="A88" s="289" t="s">
        <v>44</v>
      </c>
      <c r="B88" s="289"/>
      <c r="C88" s="138"/>
      <c r="D88" s="139">
        <f t="shared" si="12"/>
        <v>0</v>
      </c>
      <c r="E88" s="159">
        <v>4.0563309291379773E-2</v>
      </c>
      <c r="F88" s="158">
        <v>2.9350000000000001E-2</v>
      </c>
      <c r="G88" s="140">
        <v>4.9200000000000001E-2</v>
      </c>
    </row>
    <row r="89" spans="1:8">
      <c r="A89" s="292" t="s">
        <v>217</v>
      </c>
      <c r="B89" s="171" t="s">
        <v>214</v>
      </c>
      <c r="C89" s="138"/>
      <c r="D89" s="139">
        <f t="shared" si="12"/>
        <v>0</v>
      </c>
      <c r="E89" s="140">
        <v>7.9000000000000008E-3</v>
      </c>
      <c r="F89" s="158">
        <v>2.1489999999999999E-2</v>
      </c>
      <c r="G89" s="140">
        <v>9.4900000000000002E-3</v>
      </c>
    </row>
    <row r="90" spans="1:8">
      <c r="A90" s="293"/>
      <c r="B90" s="171" t="s">
        <v>215</v>
      </c>
      <c r="C90" s="138"/>
      <c r="D90" s="139">
        <f t="shared" ref="D90:D91" si="13">$H$83*E90</f>
        <v>0</v>
      </c>
      <c r="E90" s="137">
        <v>0.01</v>
      </c>
      <c r="F90" s="158">
        <v>5.8119999999999998E-2</v>
      </c>
      <c r="G90" s="140">
        <v>5.4899999999999997E-2</v>
      </c>
    </row>
    <row r="91" spans="1:8">
      <c r="A91" s="289" t="s">
        <v>47</v>
      </c>
      <c r="B91" s="289"/>
      <c r="C91" s="138"/>
      <c r="D91" s="139">
        <f t="shared" si="13"/>
        <v>0</v>
      </c>
      <c r="E91" s="140">
        <v>2.1299999999999999E-2</v>
      </c>
      <c r="F91" s="158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288" t="s">
        <v>210</v>
      </c>
      <c r="G94" s="288"/>
      <c r="H94" s="135"/>
    </row>
    <row r="95" spans="1:8">
      <c r="A95" s="294" t="s">
        <v>211</v>
      </c>
      <c r="B95" s="294"/>
      <c r="C95" s="295"/>
      <c r="D95" s="295"/>
      <c r="E95" s="295"/>
      <c r="F95" s="295"/>
      <c r="G95" s="291"/>
      <c r="H95" s="136" t="s">
        <v>218</v>
      </c>
    </row>
    <row r="96" spans="1:8" ht="27">
      <c r="A96" s="294"/>
      <c r="B96" s="294"/>
      <c r="C96" s="143" t="s">
        <v>220</v>
      </c>
      <c r="D96" s="143" t="s">
        <v>219</v>
      </c>
      <c r="E96" s="144" t="s">
        <v>223</v>
      </c>
      <c r="F96" s="144" t="s">
        <v>222</v>
      </c>
      <c r="G96" s="144" t="s">
        <v>221</v>
      </c>
      <c r="H96" s="147">
        <f>销量!J8</f>
        <v>0</v>
      </c>
    </row>
    <row r="97" spans="1:8">
      <c r="A97" s="289" t="s">
        <v>212</v>
      </c>
      <c r="B97" s="289"/>
      <c r="C97" s="138"/>
      <c r="D97" s="139">
        <f>$H$96*E97</f>
        <v>0</v>
      </c>
      <c r="E97" s="158">
        <v>5.8140600126520232E-2</v>
      </c>
      <c r="F97" s="158">
        <v>0.10179000000000001</v>
      </c>
      <c r="G97" s="140">
        <v>6.3270000000000007E-2</v>
      </c>
    </row>
    <row r="98" spans="1:8">
      <c r="A98" s="289" t="s">
        <v>213</v>
      </c>
      <c r="B98" s="171" t="s">
        <v>214</v>
      </c>
      <c r="C98" s="138"/>
      <c r="D98" s="139">
        <f t="shared" ref="D98:D103" si="14">$H$96*E98</f>
        <v>0</v>
      </c>
      <c r="E98" s="140">
        <v>4.4999999999999998E-2</v>
      </c>
      <c r="F98" s="158">
        <v>0.2</v>
      </c>
      <c r="G98" s="140">
        <v>0.08</v>
      </c>
    </row>
    <row r="99" spans="1:8">
      <c r="A99" s="289"/>
      <c r="B99" s="171" t="s">
        <v>215</v>
      </c>
      <c r="C99" s="138"/>
      <c r="D99" s="139">
        <f t="shared" si="14"/>
        <v>0</v>
      </c>
      <c r="E99" s="158">
        <v>1.8068356891203199E-2</v>
      </c>
      <c r="F99" s="158">
        <v>4.0280000000000003E-2</v>
      </c>
      <c r="G99" s="140">
        <v>2.068E-2</v>
      </c>
    </row>
    <row r="100" spans="1:8">
      <c r="A100" s="290" t="s">
        <v>216</v>
      </c>
      <c r="B100" s="291"/>
      <c r="C100" s="142"/>
      <c r="D100" s="139">
        <f t="shared" si="14"/>
        <v>0</v>
      </c>
      <c r="E100" s="188">
        <f>SUM(E97:E99)</f>
        <v>0.12120895701772344</v>
      </c>
      <c r="F100" s="188">
        <f>SUM(F97:F99)</f>
        <v>0.34206999999999999</v>
      </c>
      <c r="G100" s="189">
        <f>SUM(G97:G99)</f>
        <v>0.16395000000000001</v>
      </c>
    </row>
    <row r="101" spans="1:8">
      <c r="A101" s="289" t="s">
        <v>44</v>
      </c>
      <c r="B101" s="289"/>
      <c r="C101" s="138"/>
      <c r="D101" s="139">
        <f t="shared" si="14"/>
        <v>0</v>
      </c>
      <c r="E101" s="159">
        <v>4.0563309291379773E-2</v>
      </c>
      <c r="F101" s="158">
        <v>2.9350000000000001E-2</v>
      </c>
      <c r="G101" s="140">
        <v>4.9200000000000001E-2</v>
      </c>
    </row>
    <row r="102" spans="1:8">
      <c r="A102" s="292" t="s">
        <v>217</v>
      </c>
      <c r="B102" s="171" t="s">
        <v>214</v>
      </c>
      <c r="C102" s="138"/>
      <c r="D102" s="139">
        <f t="shared" si="14"/>
        <v>0</v>
      </c>
      <c r="E102" s="140">
        <v>7.9000000000000008E-3</v>
      </c>
      <c r="F102" s="158">
        <v>2.1489999999999999E-2</v>
      </c>
      <c r="G102" s="140">
        <v>9.4900000000000002E-3</v>
      </c>
    </row>
    <row r="103" spans="1:8">
      <c r="A103" s="293"/>
      <c r="B103" s="171" t="s">
        <v>215</v>
      </c>
      <c r="C103" s="138"/>
      <c r="D103" s="139">
        <f t="shared" si="14"/>
        <v>0</v>
      </c>
      <c r="E103" s="137">
        <v>0.01</v>
      </c>
      <c r="F103" s="158">
        <v>5.8119999999999998E-2</v>
      </c>
      <c r="G103" s="140">
        <v>5.4899999999999997E-2</v>
      </c>
    </row>
    <row r="104" spans="1:8">
      <c r="A104" s="289" t="s">
        <v>47</v>
      </c>
      <c r="B104" s="289"/>
      <c r="C104" s="138"/>
      <c r="D104" s="139">
        <f t="shared" ref="D104" si="15">$H$96*E104</f>
        <v>0</v>
      </c>
      <c r="E104" s="140">
        <v>2.1299999999999999E-2</v>
      </c>
      <c r="F104" s="158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288" t="s">
        <v>210</v>
      </c>
      <c r="G107" s="288"/>
      <c r="H107" s="135"/>
    </row>
    <row r="108" spans="1:8">
      <c r="A108" s="294" t="s">
        <v>211</v>
      </c>
      <c r="B108" s="294"/>
      <c r="C108" s="295"/>
      <c r="D108" s="295"/>
      <c r="E108" s="295"/>
      <c r="F108" s="295"/>
      <c r="G108" s="291"/>
      <c r="H108" s="136" t="s">
        <v>218</v>
      </c>
    </row>
    <row r="109" spans="1:8" ht="27">
      <c r="A109" s="294"/>
      <c r="B109" s="294"/>
      <c r="C109" s="143" t="s">
        <v>220</v>
      </c>
      <c r="D109" s="143" t="s">
        <v>219</v>
      </c>
      <c r="E109" s="144" t="s">
        <v>223</v>
      </c>
      <c r="F109" s="144" t="s">
        <v>222</v>
      </c>
      <c r="G109" s="144" t="s">
        <v>221</v>
      </c>
      <c r="H109" s="147">
        <f>销量!K8</f>
        <v>0</v>
      </c>
    </row>
    <row r="110" spans="1:8">
      <c r="A110" s="289" t="s">
        <v>212</v>
      </c>
      <c r="B110" s="289"/>
      <c r="C110" s="138"/>
      <c r="D110" s="139">
        <f>$H$109*E110</f>
        <v>0</v>
      </c>
      <c r="E110" s="158">
        <v>5.8140600126520232E-2</v>
      </c>
      <c r="F110" s="158">
        <v>0.10179000000000001</v>
      </c>
      <c r="G110" s="140">
        <v>6.3270000000000007E-2</v>
      </c>
    </row>
    <row r="111" spans="1:8">
      <c r="A111" s="289" t="s">
        <v>213</v>
      </c>
      <c r="B111" s="171" t="s">
        <v>214</v>
      </c>
      <c r="C111" s="138"/>
      <c r="D111" s="139">
        <f t="shared" ref="D111:D115" si="16">$H$109*E111</f>
        <v>0</v>
      </c>
      <c r="E111" s="140">
        <v>4.4999999999999998E-2</v>
      </c>
      <c r="F111" s="158">
        <v>0.2</v>
      </c>
      <c r="G111" s="140">
        <v>0.08</v>
      </c>
    </row>
    <row r="112" spans="1:8">
      <c r="A112" s="289"/>
      <c r="B112" s="171" t="s">
        <v>215</v>
      </c>
      <c r="C112" s="138"/>
      <c r="D112" s="139">
        <f t="shared" si="16"/>
        <v>0</v>
      </c>
      <c r="E112" s="158">
        <v>1.8068356891203199E-2</v>
      </c>
      <c r="F112" s="158">
        <v>4.0280000000000003E-2</v>
      </c>
      <c r="G112" s="140">
        <v>2.068E-2</v>
      </c>
    </row>
    <row r="113" spans="1:7">
      <c r="A113" s="290" t="s">
        <v>216</v>
      </c>
      <c r="B113" s="291"/>
      <c r="C113" s="142"/>
      <c r="D113" s="139">
        <f t="shared" si="16"/>
        <v>0</v>
      </c>
      <c r="E113" s="188">
        <f>SUM(E110:E112)</f>
        <v>0.12120895701772344</v>
      </c>
      <c r="F113" s="188">
        <f>SUM(F110:F112)</f>
        <v>0.34206999999999999</v>
      </c>
      <c r="G113" s="189">
        <f>SUM(G110:G112)</f>
        <v>0.16395000000000001</v>
      </c>
    </row>
    <row r="114" spans="1:7">
      <c r="A114" s="289" t="s">
        <v>44</v>
      </c>
      <c r="B114" s="289"/>
      <c r="C114" s="138"/>
      <c r="D114" s="139">
        <f t="shared" si="16"/>
        <v>0</v>
      </c>
      <c r="E114" s="159">
        <v>4.0563309291379773E-2</v>
      </c>
      <c r="F114" s="158">
        <v>2.9350000000000001E-2</v>
      </c>
      <c r="G114" s="140">
        <v>4.9200000000000001E-2</v>
      </c>
    </row>
    <row r="115" spans="1:7">
      <c r="A115" s="292" t="s">
        <v>217</v>
      </c>
      <c r="B115" s="171" t="s">
        <v>214</v>
      </c>
      <c r="C115" s="138"/>
      <c r="D115" s="139">
        <f t="shared" si="16"/>
        <v>0</v>
      </c>
      <c r="E115" s="140">
        <v>7.9000000000000008E-3</v>
      </c>
      <c r="F115" s="158">
        <v>2.1489999999999999E-2</v>
      </c>
      <c r="G115" s="140">
        <v>9.4900000000000002E-3</v>
      </c>
    </row>
    <row r="116" spans="1:7">
      <c r="A116" s="293"/>
      <c r="B116" s="171" t="s">
        <v>215</v>
      </c>
      <c r="C116" s="138"/>
      <c r="D116" s="139">
        <f>$H$109*E116</f>
        <v>0</v>
      </c>
      <c r="E116" s="137">
        <v>0.01</v>
      </c>
      <c r="F116" s="158">
        <v>5.8119999999999998E-2</v>
      </c>
      <c r="G116" s="140">
        <v>5.4899999999999997E-2</v>
      </c>
    </row>
    <row r="117" spans="1:7">
      <c r="A117" s="289" t="s">
        <v>47</v>
      </c>
      <c r="B117" s="289"/>
      <c r="C117" s="138"/>
      <c r="D117" s="139">
        <f t="shared" ref="D117" si="17">$H$109*E117</f>
        <v>0</v>
      </c>
      <c r="E117" s="140">
        <v>2.1299999999999999E-2</v>
      </c>
      <c r="F117" s="158">
        <v>2.1299999999999999E-2</v>
      </c>
      <c r="G117" s="140">
        <v>2.1299999999999999E-2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C4" sqref="C4"/>
    </sheetView>
  </sheetViews>
  <sheetFormatPr defaultColWidth="9" defaultRowHeight="16.5"/>
  <cols>
    <col min="1" max="1" width="5.125" style="98" customWidth="1"/>
    <col min="2" max="2" width="35.375" style="98" customWidth="1"/>
    <col min="3" max="3" width="14.5" style="99" customWidth="1"/>
    <col min="4" max="7" width="13" style="99" customWidth="1"/>
    <col min="8" max="8" width="15.125" style="99" customWidth="1"/>
    <col min="9" max="9" width="15.5" style="98" customWidth="1"/>
    <col min="10" max="35" width="9" style="98"/>
    <col min="36" max="36" width="4.375" style="98" customWidth="1"/>
    <col min="37" max="37" width="13.875" style="98" customWidth="1"/>
    <col min="38" max="16384" width="9" style="98"/>
  </cols>
  <sheetData>
    <row r="1" spans="1:38" ht="27" customHeight="1">
      <c r="A1" s="231" t="s">
        <v>266</v>
      </c>
      <c r="B1" s="231"/>
      <c r="C1" s="231"/>
      <c r="D1" s="231"/>
      <c r="E1" s="231"/>
      <c r="F1" s="231"/>
      <c r="G1" s="231"/>
      <c r="H1" s="231"/>
    </row>
    <row r="2" spans="1:38" ht="15.75" customHeight="1">
      <c r="A2" s="232" t="s">
        <v>13</v>
      </c>
      <c r="B2" s="100" t="s">
        <v>1</v>
      </c>
      <c r="C2" s="100" t="s">
        <v>292</v>
      </c>
      <c r="D2" s="100" t="s">
        <v>251</v>
      </c>
      <c r="E2" s="100" t="s">
        <v>252</v>
      </c>
      <c r="F2" s="100" t="s">
        <v>253</v>
      </c>
      <c r="G2" s="100" t="s">
        <v>293</v>
      </c>
      <c r="H2" s="39" t="s">
        <v>14</v>
      </c>
      <c r="AL2" s="98" t="s">
        <v>15</v>
      </c>
    </row>
    <row r="3" spans="1:38" s="36" customFormat="1" ht="15.75" customHeight="1">
      <c r="A3" s="233"/>
      <c r="B3" s="41" t="s">
        <v>3</v>
      </c>
      <c r="C3" s="101">
        <f>'2023年'!K6</f>
        <v>424</v>
      </c>
      <c r="D3" s="101">
        <f>'2024年'!K6</f>
        <v>624</v>
      </c>
      <c r="E3" s="101">
        <f>'2025年'!K6</f>
        <v>816</v>
      </c>
      <c r="F3" s="101">
        <f>'2026年'!K6</f>
        <v>968</v>
      </c>
      <c r="G3" s="101">
        <f>'2027年'!K6</f>
        <v>0</v>
      </c>
      <c r="H3" s="101">
        <f>SUM(C3:G3)</f>
        <v>2832</v>
      </c>
      <c r="I3" s="57"/>
      <c r="AJ3" s="40" t="s">
        <v>13</v>
      </c>
      <c r="AK3" s="41" t="s">
        <v>3</v>
      </c>
      <c r="AL3" s="36" t="s">
        <v>16</v>
      </c>
    </row>
    <row r="4" spans="1:38" s="36" customFormat="1" ht="15.75" customHeight="1">
      <c r="A4" s="50">
        <v>1</v>
      </c>
      <c r="B4" s="41" t="s">
        <v>17</v>
      </c>
      <c r="C4" s="101">
        <f>'2023年'!K7</f>
        <v>342239.92920353985</v>
      </c>
      <c r="D4" s="101">
        <f>'2024年'!K7</f>
        <v>467041.69911504426</v>
      </c>
      <c r="E4" s="101">
        <f>'2025年'!K7</f>
        <v>609885.0265486727</v>
      </c>
      <c r="F4" s="101">
        <f>'2026年'!K7</f>
        <v>718768</v>
      </c>
      <c r="G4" s="101">
        <f>'2027年'!K7</f>
        <v>0</v>
      </c>
      <c r="H4" s="101">
        <f t="shared" ref="H4:H11" si="0">SUM(C4:G4)</f>
        <v>2137934.654867257</v>
      </c>
      <c r="I4" s="57"/>
      <c r="AJ4" s="40" t="s">
        <v>18</v>
      </c>
      <c r="AK4" s="41" t="s">
        <v>17</v>
      </c>
      <c r="AL4" s="36" t="s">
        <v>16</v>
      </c>
    </row>
    <row r="5" spans="1:38" s="36" customFormat="1" ht="15.75" customHeight="1">
      <c r="A5" s="50">
        <v>2</v>
      </c>
      <c r="B5" s="38" t="s">
        <v>19</v>
      </c>
      <c r="C5" s="101">
        <f>'2023年'!K8</f>
        <v>0</v>
      </c>
      <c r="D5" s="101">
        <f>'2024年'!K8</f>
        <v>0</v>
      </c>
      <c r="E5" s="101">
        <f>'2025年'!K8</f>
        <v>0</v>
      </c>
      <c r="F5" s="101">
        <f>'2026年'!K8</f>
        <v>0</v>
      </c>
      <c r="G5" s="101">
        <f>'2027年'!K8</f>
        <v>0</v>
      </c>
      <c r="H5" s="101">
        <f t="shared" si="0"/>
        <v>0</v>
      </c>
      <c r="I5" s="57"/>
      <c r="AJ5" s="40" t="s">
        <v>20</v>
      </c>
      <c r="AK5" s="38" t="s">
        <v>21</v>
      </c>
      <c r="AL5" s="36" t="s">
        <v>16</v>
      </c>
    </row>
    <row r="6" spans="1:38" s="36" customFormat="1" ht="15.75" customHeight="1">
      <c r="A6" s="50">
        <v>3</v>
      </c>
      <c r="B6" s="41" t="s">
        <v>22</v>
      </c>
      <c r="C6" s="102">
        <f>+C4-C5</f>
        <v>342239.92920353985</v>
      </c>
      <c r="D6" s="102">
        <f>'2024年'!K9</f>
        <v>467041.69911504426</v>
      </c>
      <c r="E6" s="102">
        <f>'2025年'!K9</f>
        <v>609885.0265486727</v>
      </c>
      <c r="F6" s="102">
        <f>'2026年'!K9</f>
        <v>718768</v>
      </c>
      <c r="G6" s="102">
        <f>'2027年'!K9</f>
        <v>0</v>
      </c>
      <c r="H6" s="101">
        <f t="shared" si="0"/>
        <v>2137934.654867257</v>
      </c>
      <c r="I6" s="57"/>
      <c r="AJ6" s="40" t="s">
        <v>23</v>
      </c>
      <c r="AK6" s="41" t="s">
        <v>22</v>
      </c>
      <c r="AL6" s="36" t="s">
        <v>24</v>
      </c>
    </row>
    <row r="7" spans="1:38" s="36" customFormat="1" ht="15.75" customHeight="1">
      <c r="A7" s="50">
        <v>4</v>
      </c>
      <c r="B7" s="40" t="s">
        <v>25</v>
      </c>
      <c r="C7" s="101">
        <f>'2023年'!K10</f>
        <v>321686.66084951861</v>
      </c>
      <c r="D7" s="101">
        <f>'2024年'!K10</f>
        <v>441604.62654070364</v>
      </c>
      <c r="E7" s="101">
        <f>'2025年'!K10</f>
        <v>570737.85236565082</v>
      </c>
      <c r="F7" s="101">
        <f>'2026年'!K10</f>
        <v>665016.84856006573</v>
      </c>
      <c r="G7" s="101">
        <f>'2027年'!K10</f>
        <v>0</v>
      </c>
      <c r="H7" s="101">
        <f t="shared" si="0"/>
        <v>1999045.9883159387</v>
      </c>
      <c r="I7" s="57"/>
      <c r="AJ7" s="40" t="s">
        <v>26</v>
      </c>
      <c r="AK7" s="40" t="s">
        <v>25</v>
      </c>
      <c r="AL7" s="36" t="s">
        <v>27</v>
      </c>
    </row>
    <row r="8" spans="1:38" s="36" customFormat="1" ht="15.75" customHeight="1">
      <c r="A8" s="50">
        <v>5</v>
      </c>
      <c r="B8" s="40" t="s">
        <v>28</v>
      </c>
      <c r="C8" s="101">
        <f>'2023年'!K11</f>
        <v>19898.034871151605</v>
      </c>
      <c r="D8" s="101">
        <f>'2024年'!K11</f>
        <v>27154.084670658369</v>
      </c>
      <c r="E8" s="101">
        <f>'2025年'!K11</f>
        <v>35459.08145171855</v>
      </c>
      <c r="F8" s="101">
        <f>'2026年'!K11</f>
        <v>41789.602871738694</v>
      </c>
      <c r="G8" s="101">
        <f>'2027年'!K11</f>
        <v>0</v>
      </c>
      <c r="H8" s="101">
        <f t="shared" si="0"/>
        <v>124300.80386526723</v>
      </c>
      <c r="I8" s="57"/>
      <c r="AJ8" s="40" t="s">
        <v>29</v>
      </c>
      <c r="AK8" s="40" t="s">
        <v>28</v>
      </c>
    </row>
    <row r="9" spans="1:38" s="36" customFormat="1" ht="15.75" customHeight="1">
      <c r="A9" s="50">
        <v>6</v>
      </c>
      <c r="B9" s="40" t="s">
        <v>30</v>
      </c>
      <c r="C9" s="101">
        <f>'2023年'!K12</f>
        <v>6183.7131832696741</v>
      </c>
      <c r="D9" s="101">
        <f>'2024年'!K12</f>
        <v>8438.6761026845616</v>
      </c>
      <c r="E9" s="101">
        <f>'2025年'!K12</f>
        <v>11019.620322282355</v>
      </c>
      <c r="F9" s="101">
        <f>'2026年'!K12</f>
        <v>12986.956745976342</v>
      </c>
      <c r="G9" s="101">
        <f>'2027年'!K12</f>
        <v>0</v>
      </c>
      <c r="H9" s="101">
        <f t="shared" si="0"/>
        <v>38628.966354212935</v>
      </c>
      <c r="I9" s="57"/>
      <c r="AJ9" s="40" t="s">
        <v>31</v>
      </c>
      <c r="AK9" s="40" t="s">
        <v>30</v>
      </c>
    </row>
    <row r="10" spans="1:38" s="36" customFormat="1" ht="15.75" customHeight="1">
      <c r="A10" s="50">
        <v>7</v>
      </c>
      <c r="B10" s="103" t="s">
        <v>32</v>
      </c>
      <c r="C10" s="101">
        <f>'2023年'!K13</f>
        <v>3422.3992920353985</v>
      </c>
      <c r="D10" s="101">
        <f>'2024年'!K13</f>
        <v>4670.4169911504432</v>
      </c>
      <c r="E10" s="101">
        <f>'2025年'!K13</f>
        <v>6098.8502654867261</v>
      </c>
      <c r="F10" s="101">
        <f>'2026年'!K13</f>
        <v>7187.6800000000012</v>
      </c>
      <c r="G10" s="101">
        <f>'2027年'!K13</f>
        <v>0</v>
      </c>
      <c r="H10" s="101">
        <f t="shared" si="0"/>
        <v>21379.346548672569</v>
      </c>
      <c r="I10" s="57"/>
      <c r="AJ10" s="40" t="s">
        <v>33</v>
      </c>
      <c r="AK10" s="40" t="s">
        <v>32</v>
      </c>
      <c r="AL10" s="36" t="s">
        <v>16</v>
      </c>
    </row>
    <row r="11" spans="1:38" s="36" customFormat="1" ht="15.75" customHeight="1">
      <c r="A11" s="50">
        <v>8</v>
      </c>
      <c r="B11" s="104" t="s">
        <v>34</v>
      </c>
      <c r="C11" s="105">
        <f>'2023年'!K14</f>
        <v>29504.147346456681</v>
      </c>
      <c r="D11" s="105">
        <f>'2024年'!K14</f>
        <v>40263.177764493368</v>
      </c>
      <c r="E11" s="105">
        <f>'2025年'!K14</f>
        <v>52577.552039487629</v>
      </c>
      <c r="F11" s="105">
        <f>'2026年'!K14</f>
        <v>61964.239617715037</v>
      </c>
      <c r="G11" s="105">
        <f>'2027年'!K14</f>
        <v>0</v>
      </c>
      <c r="H11" s="105">
        <f t="shared" si="0"/>
        <v>184309.11676815271</v>
      </c>
      <c r="I11" s="57"/>
      <c r="AJ11" s="40" t="s">
        <v>35</v>
      </c>
      <c r="AK11" s="43" t="s">
        <v>34</v>
      </c>
    </row>
    <row r="12" spans="1:38" s="36" customFormat="1" ht="15.75" customHeight="1">
      <c r="A12" s="50">
        <v>9</v>
      </c>
      <c r="B12" s="106" t="s">
        <v>36</v>
      </c>
      <c r="C12" s="101">
        <f>'2023年'!K15</f>
        <v>-8950.878992435426</v>
      </c>
      <c r="D12" s="101">
        <f>'2024年'!K15</f>
        <v>-14826.105190152757</v>
      </c>
      <c r="E12" s="101">
        <f>'2025年'!K15</f>
        <v>-13430.377856465821</v>
      </c>
      <c r="F12" s="101">
        <f>'2026年'!K15</f>
        <v>-8213.0881777807699</v>
      </c>
      <c r="G12" s="101">
        <f>'2027年'!K15</f>
        <v>0</v>
      </c>
      <c r="H12" s="101">
        <f>H6-H7-H11</f>
        <v>-45420.450216834462</v>
      </c>
      <c r="I12" s="57"/>
      <c r="K12" s="98"/>
      <c r="L12" s="98"/>
      <c r="M12" s="98"/>
      <c r="N12" s="98"/>
      <c r="O12" s="98"/>
      <c r="P12" s="98"/>
      <c r="AJ12" s="40" t="s">
        <v>37</v>
      </c>
      <c r="AK12" s="43" t="s">
        <v>36</v>
      </c>
    </row>
    <row r="13" spans="1:38" ht="15.75" customHeight="1">
      <c r="A13" s="50">
        <v>10</v>
      </c>
      <c r="B13" s="107" t="s">
        <v>38</v>
      </c>
      <c r="C13" s="308">
        <f>+C12/C6</f>
        <v>-2.6153812657879798E-2</v>
      </c>
      <c r="D13" s="308">
        <f>'2024年'!K16</f>
        <v>-3.1744714054966448E-2</v>
      </c>
      <c r="E13" s="308">
        <f>'2025年'!K16</f>
        <v>-2.2021163451852659E-2</v>
      </c>
      <c r="F13" s="308">
        <f>'2026年'!K16</f>
        <v>-1.1426619128537678E-2</v>
      </c>
      <c r="G13" s="308" t="e">
        <f>'2027年'!K16</f>
        <v>#DIV/0!</v>
      </c>
      <c r="H13" s="308">
        <f>+H12/H6</f>
        <v>-2.1245013318545319E-2</v>
      </c>
      <c r="I13" s="57"/>
      <c r="AJ13" s="107" t="s">
        <v>39</v>
      </c>
      <c r="AK13" s="107" t="s">
        <v>38</v>
      </c>
    </row>
    <row r="14" spans="1:38" ht="15.75" customHeight="1">
      <c r="A14" s="50">
        <v>11</v>
      </c>
      <c r="B14" s="107" t="s">
        <v>40</v>
      </c>
      <c r="C14" s="101">
        <f>'2023年'!K17</f>
        <v>15400.796814159292</v>
      </c>
      <c r="D14" s="101">
        <f>'2024年'!K17</f>
        <v>21016.876460176991</v>
      </c>
      <c r="E14" s="101">
        <f>'2025年'!K17</f>
        <v>27444.826194690268</v>
      </c>
      <c r="F14" s="101">
        <f>'2026年'!K17</f>
        <v>32344.560000000005</v>
      </c>
      <c r="G14" s="101"/>
      <c r="H14" s="101">
        <f>SUM(C14:G14)</f>
        <v>96207.059469026543</v>
      </c>
      <c r="I14" s="57"/>
      <c r="AJ14" s="107" t="s">
        <v>41</v>
      </c>
      <c r="AK14" s="107" t="s">
        <v>40</v>
      </c>
    </row>
    <row r="15" spans="1:38" ht="15.75" hidden="1" customHeight="1">
      <c r="A15" s="145"/>
      <c r="B15" s="107"/>
      <c r="C15" s="101"/>
      <c r="D15" s="101"/>
      <c r="E15" s="101"/>
      <c r="F15" s="101"/>
      <c r="G15" s="101"/>
      <c r="H15" s="101"/>
      <c r="I15" s="57"/>
      <c r="AJ15" s="107"/>
      <c r="AK15" s="107"/>
    </row>
    <row r="16" spans="1:38" ht="15.75" customHeight="1">
      <c r="A16" s="50">
        <v>12</v>
      </c>
      <c r="B16" s="107" t="s">
        <v>42</v>
      </c>
      <c r="C16" s="108">
        <f>'2023年'!K19</f>
        <v>2703.6954407079652</v>
      </c>
      <c r="D16" s="108">
        <f>'2024年'!K19</f>
        <v>3689.6294230088502</v>
      </c>
      <c r="E16" s="108">
        <f>'2025年'!K19</f>
        <v>4818.0917097345136</v>
      </c>
      <c r="F16" s="108">
        <f>'2026年'!K19</f>
        <v>5678.2672000000011</v>
      </c>
      <c r="G16" s="108">
        <f>'2027年'!K19</f>
        <v>0</v>
      </c>
      <c r="H16" s="101">
        <f>SUM(C16:G16)</f>
        <v>16889.683773451332</v>
      </c>
      <c r="I16" s="57"/>
      <c r="Q16" s="57"/>
      <c r="AJ16" s="107" t="s">
        <v>43</v>
      </c>
      <c r="AK16" s="107" t="s">
        <v>42</v>
      </c>
      <c r="AL16" s="98" t="s">
        <v>16</v>
      </c>
    </row>
    <row r="17" spans="1:38" ht="15.75" customHeight="1">
      <c r="A17" s="50">
        <v>13</v>
      </c>
      <c r="B17" s="107" t="s">
        <v>44</v>
      </c>
      <c r="C17" s="108">
        <f>'2023年'!K20</f>
        <v>13882.384100143105</v>
      </c>
      <c r="D17" s="108">
        <f>'2024年'!K20</f>
        <v>18944.756893175072</v>
      </c>
      <c r="E17" s="108">
        <f>'2025年'!K20</f>
        <v>24738.954964075172</v>
      </c>
      <c r="F17" s="108">
        <f>'2026年'!K20</f>
        <v>29155.60869274646</v>
      </c>
      <c r="G17" s="108">
        <f>'2027年'!K20</f>
        <v>0</v>
      </c>
      <c r="H17" s="101">
        <f>SUM(C17:G17)</f>
        <v>86721.704650139814</v>
      </c>
      <c r="I17" s="57"/>
      <c r="AJ17" s="107" t="s">
        <v>45</v>
      </c>
      <c r="AK17" s="107" t="s">
        <v>44</v>
      </c>
    </row>
    <row r="18" spans="1:38" s="35" customFormat="1" ht="15.75" customHeight="1">
      <c r="A18" s="50">
        <v>14</v>
      </c>
      <c r="B18" s="48" t="s">
        <v>46</v>
      </c>
      <c r="C18" s="109">
        <f>'2023年'!K21</f>
        <v>0</v>
      </c>
      <c r="D18" s="109">
        <f>'2024年'!K21</f>
        <v>0</v>
      </c>
      <c r="E18" s="109">
        <f>'2025年'!K21</f>
        <v>0</v>
      </c>
      <c r="F18" s="109">
        <f>'2026年'!K21</f>
        <v>0</v>
      </c>
      <c r="G18" s="109">
        <f>'2027年'!K21</f>
        <v>0</v>
      </c>
      <c r="H18" s="101">
        <f>SUM(C18:G18)</f>
        <v>0</v>
      </c>
      <c r="I18" s="57"/>
      <c r="AJ18" s="48"/>
      <c r="AK18" s="48"/>
    </row>
    <row r="19" spans="1:38" s="36" customFormat="1" ht="15.75" customHeight="1">
      <c r="A19" s="50">
        <v>15</v>
      </c>
      <c r="B19" s="40" t="s">
        <v>47</v>
      </c>
      <c r="C19" s="108">
        <f>'2023年'!K22</f>
        <v>7289.7104920353977</v>
      </c>
      <c r="D19" s="108">
        <f>'2024年'!K22</f>
        <v>9947.9881911504417</v>
      </c>
      <c r="E19" s="108">
        <f>'2025年'!K22</f>
        <v>12990.551065486725</v>
      </c>
      <c r="F19" s="108">
        <f>'2026年'!K22</f>
        <v>15309.758400000001</v>
      </c>
      <c r="G19" s="108">
        <f>'2027年'!K22</f>
        <v>0</v>
      </c>
      <c r="H19" s="101">
        <f>SUM(C19:G19)</f>
        <v>45538.008148672561</v>
      </c>
      <c r="I19" s="57"/>
      <c r="AJ19" s="40" t="s">
        <v>48</v>
      </c>
      <c r="AK19" s="40" t="s">
        <v>47</v>
      </c>
    </row>
    <row r="20" spans="1:38" s="96" customFormat="1" ht="15.75" customHeight="1">
      <c r="A20" s="50">
        <v>16</v>
      </c>
      <c r="B20" s="110" t="s">
        <v>49</v>
      </c>
      <c r="C20" s="105">
        <f t="shared" ref="C20" si="1">+C19+C18+C17+C16+C14</f>
        <v>39276.586847045757</v>
      </c>
      <c r="D20" s="105">
        <f>'2024年'!K23</f>
        <v>53599.250967511354</v>
      </c>
      <c r="E20" s="105">
        <f>'2025年'!K23</f>
        <v>69992.423933986676</v>
      </c>
      <c r="F20" s="105">
        <f>'2026年'!K23</f>
        <v>82488.19429274647</v>
      </c>
      <c r="G20" s="105"/>
      <c r="H20" s="105">
        <f>SUM(C20:G20)</f>
        <v>245356.45604129025</v>
      </c>
      <c r="I20" s="57"/>
      <c r="AJ20" s="123" t="s">
        <v>50</v>
      </c>
      <c r="AK20" s="124" t="s">
        <v>49</v>
      </c>
    </row>
    <row r="21" spans="1:38" ht="15.75" customHeight="1">
      <c r="A21" s="50">
        <v>17</v>
      </c>
      <c r="B21" s="107" t="s">
        <v>51</v>
      </c>
      <c r="C21" s="111">
        <f>+C12-C20</f>
        <v>-48227.465839481185</v>
      </c>
      <c r="D21" s="111">
        <f>'2024年'!K24</f>
        <v>-68425.356157664108</v>
      </c>
      <c r="E21" s="111">
        <f>'2025年'!K24</f>
        <v>-83422.801790452504</v>
      </c>
      <c r="F21" s="111">
        <f>'2026年'!K24</f>
        <v>-90701.282470527236</v>
      </c>
      <c r="G21" s="111"/>
      <c r="H21" s="111">
        <f>+H12-H20</f>
        <v>-290776.90625812474</v>
      </c>
      <c r="I21" s="57"/>
      <c r="AJ21" s="107" t="s">
        <v>52</v>
      </c>
      <c r="AK21" s="107" t="s">
        <v>51</v>
      </c>
    </row>
    <row r="22" spans="1:38" ht="15.75" customHeight="1">
      <c r="A22" s="50">
        <v>18</v>
      </c>
      <c r="B22" s="107" t="s">
        <v>53</v>
      </c>
      <c r="C22" s="111">
        <f>IF(C21&lt;0,0,C21*0.15)</f>
        <v>0</v>
      </c>
      <c r="D22" s="111">
        <f>'2024年'!K25</f>
        <v>0</v>
      </c>
      <c r="E22" s="111">
        <f>'2025年'!K25</f>
        <v>0</v>
      </c>
      <c r="F22" s="111">
        <f>'2026年'!K25</f>
        <v>0</v>
      </c>
      <c r="G22" s="111" t="e">
        <f>'2027年'!K25</f>
        <v>#DIV/0!</v>
      </c>
      <c r="H22" s="111">
        <f>IF(H21&lt;0,0,H21*0.15)</f>
        <v>0</v>
      </c>
      <c r="I22" s="57"/>
      <c r="AJ22" s="107" t="s">
        <v>54</v>
      </c>
      <c r="AK22" s="107" t="s">
        <v>53</v>
      </c>
    </row>
    <row r="23" spans="1:38" ht="15.75" customHeight="1">
      <c r="A23" s="50">
        <v>19</v>
      </c>
      <c r="B23" s="107" t="s">
        <v>55</v>
      </c>
      <c r="C23" s="111">
        <f>C21-C22</f>
        <v>-48227.465839481185</v>
      </c>
      <c r="D23" s="111">
        <f>'2024年'!K26</f>
        <v>-68425.356157664108</v>
      </c>
      <c r="E23" s="111">
        <f>'2025年'!K26</f>
        <v>-85456.936319293556</v>
      </c>
      <c r="F23" s="111">
        <f>'2026年'!K26</f>
        <v>-93313.418197542618</v>
      </c>
      <c r="G23" s="111" t="e">
        <f>'2027年'!K26</f>
        <v>#DIV/0!</v>
      </c>
      <c r="H23" s="111">
        <f>H21-H22</f>
        <v>-290776.90625812474</v>
      </c>
      <c r="I23" s="57"/>
      <c r="AJ23" s="107" t="s">
        <v>56</v>
      </c>
      <c r="AK23" s="107" t="s">
        <v>55</v>
      </c>
    </row>
    <row r="24" spans="1:38" ht="15.75" customHeight="1">
      <c r="A24" s="50">
        <v>20</v>
      </c>
      <c r="B24" s="107" t="s">
        <v>57</v>
      </c>
      <c r="C24" s="112">
        <f>(C23/C4)*100%</f>
        <v>-0.14091712194925957</v>
      </c>
      <c r="D24" s="112">
        <f>'2024年'!K27</f>
        <v>-0.14650802334634622</v>
      </c>
      <c r="E24" s="112">
        <f>'2025年'!K27</f>
        <v>-0.14011974814809386</v>
      </c>
      <c r="F24" s="112">
        <f>'2026年'!K27</f>
        <v>-0.12982411320139825</v>
      </c>
      <c r="G24" s="112" t="e">
        <f>'2027年'!K27</f>
        <v>#DIV/0!</v>
      </c>
      <c r="H24" s="112">
        <f>(H23/H4)*100%</f>
        <v>-0.1360083226099251</v>
      </c>
      <c r="I24" s="57"/>
      <c r="AJ24" s="125" t="s">
        <v>58</v>
      </c>
      <c r="AK24" s="125" t="s">
        <v>59</v>
      </c>
    </row>
    <row r="25" spans="1:38" s="97" customFormat="1" ht="15.75" customHeight="1">
      <c r="C25" s="113"/>
      <c r="D25" s="113"/>
      <c r="E25" s="113"/>
      <c r="F25" s="113"/>
      <c r="G25" s="113"/>
      <c r="H25" s="113"/>
      <c r="I25" s="122"/>
    </row>
    <row r="26" spans="1:38" s="97" customFormat="1" ht="15.75" customHeight="1">
      <c r="A26" s="97" t="s">
        <v>60</v>
      </c>
      <c r="C26" s="114"/>
      <c r="D26" s="114"/>
      <c r="E26" s="114"/>
      <c r="F26" s="114"/>
      <c r="G26" s="114"/>
      <c r="H26" s="114"/>
      <c r="I26" s="122"/>
      <c r="AJ26" s="97" t="s">
        <v>60</v>
      </c>
    </row>
    <row r="27" spans="1:38" ht="15.75" customHeight="1">
      <c r="A27" s="107" t="s">
        <v>13</v>
      </c>
      <c r="B27" s="115" t="s">
        <v>1</v>
      </c>
      <c r="C27" s="100" t="str">
        <f>C2</f>
        <v>2023年</v>
      </c>
      <c r="D27" s="100" t="str">
        <f t="shared" ref="D27:G27" si="2">D2</f>
        <v>2024年</v>
      </c>
      <c r="E27" s="100" t="str">
        <f t="shared" si="2"/>
        <v>2025年</v>
      </c>
      <c r="F27" s="100" t="str">
        <f t="shared" si="2"/>
        <v>2026年</v>
      </c>
      <c r="G27" s="100" t="str">
        <f t="shared" si="2"/>
        <v>2027年</v>
      </c>
      <c r="H27" s="39" t="s">
        <v>14</v>
      </c>
      <c r="AL27" s="98" t="s">
        <v>15</v>
      </c>
    </row>
    <row r="28" spans="1:38" s="36" customFormat="1" ht="15.75" customHeight="1">
      <c r="A28" s="40" t="s">
        <v>61</v>
      </c>
      <c r="B28" s="43" t="s">
        <v>62</v>
      </c>
      <c r="C28" s="47"/>
      <c r="D28" s="47"/>
      <c r="E28" s="47"/>
      <c r="F28" s="47"/>
      <c r="G28" s="47"/>
      <c r="H28" s="47"/>
      <c r="I28" s="57"/>
      <c r="AJ28" s="40" t="s">
        <v>63</v>
      </c>
      <c r="AK28" s="43" t="s">
        <v>62</v>
      </c>
    </row>
    <row r="29" spans="1:38" s="36" customFormat="1" ht="15.75" customHeight="1">
      <c r="A29" s="40" t="s">
        <v>18</v>
      </c>
      <c r="B29" s="40" t="s">
        <v>64</v>
      </c>
      <c r="C29" s="42">
        <f>+C6/C3</f>
        <v>807.16964434797137</v>
      </c>
      <c r="D29" s="42">
        <f t="shared" ref="D29:G29" si="3">+D6/D3</f>
        <v>748.46426140231449</v>
      </c>
      <c r="E29" s="42">
        <f t="shared" si="3"/>
        <v>747.40812077043222</v>
      </c>
      <c r="F29" s="42">
        <f t="shared" si="3"/>
        <v>742.52892561983469</v>
      </c>
      <c r="G29" s="42" t="e">
        <f t="shared" si="3"/>
        <v>#DIV/0!</v>
      </c>
      <c r="H29" s="42">
        <f>+H6/H3</f>
        <v>754.92042897855117</v>
      </c>
      <c r="I29" s="57"/>
      <c r="AJ29" s="40" t="s">
        <v>18</v>
      </c>
      <c r="AK29" s="40" t="s">
        <v>64</v>
      </c>
    </row>
    <row r="30" spans="1:38" s="36" customFormat="1" ht="15.75" customHeight="1">
      <c r="A30" s="40" t="s">
        <v>20</v>
      </c>
      <c r="B30" s="40" t="s">
        <v>65</v>
      </c>
      <c r="C30" s="42">
        <f>+C7/C3</f>
        <v>758.69495483377034</v>
      </c>
      <c r="D30" s="42">
        <f t="shared" ref="D30:G30" si="4">+D7/D3</f>
        <v>707.69972202035842</v>
      </c>
      <c r="E30" s="42">
        <f t="shared" si="4"/>
        <v>699.43364260496423</v>
      </c>
      <c r="F30" s="42">
        <f t="shared" si="4"/>
        <v>687.0008766116382</v>
      </c>
      <c r="G30" s="42" t="e">
        <f t="shared" si="4"/>
        <v>#DIV/0!</v>
      </c>
      <c r="H30" s="42">
        <f>+H7/H3</f>
        <v>705.87782073302924</v>
      </c>
      <c r="I30" s="57"/>
      <c r="AJ30" s="40" t="s">
        <v>20</v>
      </c>
      <c r="AK30" s="40" t="s">
        <v>65</v>
      </c>
    </row>
    <row r="31" spans="1:38" s="36" customFormat="1" ht="15.75" customHeight="1">
      <c r="A31" s="40" t="s">
        <v>66</v>
      </c>
      <c r="B31" s="40" t="s">
        <v>67</v>
      </c>
      <c r="C31" s="47">
        <f t="shared" ref="C31:H31" si="5">C29-C30</f>
        <v>48.474689514201032</v>
      </c>
      <c r="D31" s="47">
        <f t="shared" ref="D31:G31" si="6">D29-D30</f>
        <v>40.76453938195607</v>
      </c>
      <c r="E31" s="47">
        <f t="shared" si="6"/>
        <v>47.974478165467985</v>
      </c>
      <c r="F31" s="47">
        <f t="shared" si="6"/>
        <v>55.52804900819649</v>
      </c>
      <c r="G31" s="47" t="e">
        <f t="shared" si="6"/>
        <v>#DIV/0!</v>
      </c>
      <c r="H31" s="47">
        <f t="shared" si="5"/>
        <v>49.042608245521933</v>
      </c>
      <c r="I31" s="57"/>
      <c r="AJ31" s="40" t="s">
        <v>66</v>
      </c>
      <c r="AK31" s="40" t="s">
        <v>67</v>
      </c>
    </row>
    <row r="32" spans="1:38" s="36" customFormat="1" ht="15.75" customHeight="1">
      <c r="A32" s="40">
        <v>3.1</v>
      </c>
      <c r="B32" s="40" t="s">
        <v>68</v>
      </c>
      <c r="C32" s="116">
        <f t="shared" ref="C32:H32" si="7">C31/C29</f>
        <v>6.005514435984359E-2</v>
      </c>
      <c r="D32" s="116">
        <f t="shared" ref="D32:G32" si="8">D31/D29</f>
        <v>5.4464242962756926E-2</v>
      </c>
      <c r="E32" s="116">
        <f t="shared" si="8"/>
        <v>6.4187793565870871E-2</v>
      </c>
      <c r="F32" s="116">
        <f t="shared" si="8"/>
        <v>7.478233788918566E-2</v>
      </c>
      <c r="G32" s="116" t="e">
        <f t="shared" si="8"/>
        <v>#DIV/0!</v>
      </c>
      <c r="H32" s="116">
        <f t="shared" si="7"/>
        <v>6.4963943699178045E-2</v>
      </c>
      <c r="I32" s="57"/>
      <c r="AJ32" s="40"/>
      <c r="AK32" s="40"/>
    </row>
    <row r="33" spans="1:37" s="36" customFormat="1" ht="15.75" customHeight="1">
      <c r="A33" s="40" t="s">
        <v>63</v>
      </c>
      <c r="B33" s="43" t="s">
        <v>8</v>
      </c>
      <c r="C33" s="47"/>
      <c r="D33" s="47"/>
      <c r="E33" s="47"/>
      <c r="F33" s="47"/>
      <c r="G33" s="47"/>
      <c r="H33" s="47"/>
      <c r="I33" s="57"/>
      <c r="AJ33" s="40" t="s">
        <v>69</v>
      </c>
      <c r="AK33" s="43" t="s">
        <v>8</v>
      </c>
    </row>
    <row r="34" spans="1:37" s="36" customFormat="1" ht="15.75" customHeight="1">
      <c r="A34" s="40" t="s">
        <v>18</v>
      </c>
      <c r="B34" s="48" t="s">
        <v>70</v>
      </c>
      <c r="C34" s="42">
        <f>+C8/C3</f>
        <v>46.929327526300959</v>
      </c>
      <c r="D34" s="42">
        <f t="shared" ref="D34:G34" si="9">+D8/D3</f>
        <v>43.516161331183284</v>
      </c>
      <c r="E34" s="42">
        <f t="shared" si="9"/>
        <v>43.454756681027632</v>
      </c>
      <c r="F34" s="42">
        <f t="shared" si="9"/>
        <v>43.171077346837492</v>
      </c>
      <c r="G34" s="42" t="e">
        <f t="shared" si="9"/>
        <v>#DIV/0!</v>
      </c>
      <c r="H34" s="42">
        <f>+H8/H3</f>
        <v>43.891526788583057</v>
      </c>
      <c r="I34" s="57"/>
      <c r="AJ34" s="40" t="s">
        <v>66</v>
      </c>
      <c r="AK34" s="40" t="s">
        <v>70</v>
      </c>
    </row>
    <row r="35" spans="1:37" s="36" customFormat="1" ht="15.75" customHeight="1">
      <c r="A35" s="40" t="s">
        <v>20</v>
      </c>
      <c r="B35" s="48" t="s">
        <v>71</v>
      </c>
      <c r="C35" s="42">
        <f>+C9/C3</f>
        <v>14.584229205824704</v>
      </c>
      <c r="D35" s="42">
        <f t="shared" ref="D35:G35" si="10">+D9/D3</f>
        <v>13.523519395327822</v>
      </c>
      <c r="E35" s="42">
        <f t="shared" si="10"/>
        <v>13.50443666946367</v>
      </c>
      <c r="F35" s="42">
        <f t="shared" si="10"/>
        <v>13.416277630140849</v>
      </c>
      <c r="G35" s="42" t="e">
        <f t="shared" si="10"/>
        <v>#DIV/0!</v>
      </c>
      <c r="H35" s="42">
        <f>+H9/H3</f>
        <v>13.64017173524468</v>
      </c>
      <c r="I35" s="57"/>
      <c r="AJ35" s="40" t="s">
        <v>23</v>
      </c>
      <c r="AK35" s="40" t="s">
        <v>71</v>
      </c>
    </row>
    <row r="36" spans="1:37" s="36" customFormat="1" ht="15.75" customHeight="1">
      <c r="A36" s="40" t="s">
        <v>66</v>
      </c>
      <c r="B36" s="48" t="s">
        <v>72</v>
      </c>
      <c r="C36" s="42">
        <f>+C10/C3</f>
        <v>8.0716964434797127</v>
      </c>
      <c r="D36" s="42">
        <f t="shared" ref="D36:G36" si="11">+D10/D3</f>
        <v>7.4846426140231461</v>
      </c>
      <c r="E36" s="42">
        <f t="shared" si="11"/>
        <v>7.4740812077043213</v>
      </c>
      <c r="F36" s="42">
        <f t="shared" si="11"/>
        <v>7.4252892561983481</v>
      </c>
      <c r="G36" s="42" t="e">
        <f t="shared" si="11"/>
        <v>#DIV/0!</v>
      </c>
      <c r="H36" s="42">
        <f>+H10/H3</f>
        <v>7.5492042897855116</v>
      </c>
      <c r="I36" s="57"/>
      <c r="AJ36" s="40" t="s">
        <v>29</v>
      </c>
      <c r="AK36" s="40" t="s">
        <v>72</v>
      </c>
    </row>
    <row r="37" spans="1:37" s="36" customFormat="1" ht="15.75" customHeight="1">
      <c r="A37" s="40" t="s">
        <v>73</v>
      </c>
      <c r="B37" s="106" t="s">
        <v>74</v>
      </c>
      <c r="C37" s="42"/>
      <c r="D37" s="42"/>
      <c r="E37" s="42"/>
      <c r="F37" s="42"/>
      <c r="G37" s="42"/>
      <c r="H37" s="42"/>
      <c r="I37" s="57"/>
      <c r="AJ37" s="40" t="s">
        <v>73</v>
      </c>
      <c r="AK37" s="43" t="s">
        <v>74</v>
      </c>
    </row>
    <row r="38" spans="1:37" s="36" customFormat="1">
      <c r="A38" s="40" t="s">
        <v>18</v>
      </c>
      <c r="B38" s="48" t="s">
        <v>262</v>
      </c>
      <c r="C38" s="42">
        <f>+C12/C3</f>
        <v>-21.110563661404306</v>
      </c>
      <c r="D38" s="42">
        <f t="shared" ref="D38:G38" si="12">+D12/D3</f>
        <v>-23.759783958578137</v>
      </c>
      <c r="E38" s="42">
        <f t="shared" si="12"/>
        <v>-16.45879639272772</v>
      </c>
      <c r="F38" s="42">
        <f t="shared" si="12"/>
        <v>-8.4845952249801346</v>
      </c>
      <c r="G38" s="42" t="e">
        <f t="shared" si="12"/>
        <v>#DIV/0!</v>
      </c>
      <c r="H38" s="42">
        <f>+H12/H3</f>
        <v>-16.038294568091263</v>
      </c>
      <c r="I38" s="57"/>
      <c r="AJ38" s="40" t="s">
        <v>18</v>
      </c>
      <c r="AK38" s="40" t="s">
        <v>75</v>
      </c>
    </row>
    <row r="39" spans="1:37" s="36" customFormat="1" ht="15.75" customHeight="1">
      <c r="A39" s="40" t="s">
        <v>20</v>
      </c>
      <c r="B39" s="48" t="s">
        <v>76</v>
      </c>
      <c r="C39" s="101">
        <f t="shared" ref="C39" si="13">+C20/C38</f>
        <v>-1860.5181499181733</v>
      </c>
      <c r="D39" s="101">
        <f t="shared" ref="D39:G39" si="14">+D20/D38</f>
        <v>-2255.8812428999422</v>
      </c>
      <c r="E39" s="101">
        <f t="shared" si="14"/>
        <v>-4252.5845914779447</v>
      </c>
      <c r="F39" s="101">
        <f t="shared" si="14"/>
        <v>-9722.1130891296707</v>
      </c>
      <c r="G39" s="101" t="e">
        <f t="shared" si="14"/>
        <v>#DIV/0!</v>
      </c>
      <c r="H39" s="161">
        <f t="shared" ref="H39" si="15">+H20/H38</f>
        <v>-15298.163716822817</v>
      </c>
      <c r="I39" s="57"/>
      <c r="AJ39" s="40" t="s">
        <v>20</v>
      </c>
      <c r="AK39" s="40" t="s">
        <v>76</v>
      </c>
    </row>
    <row r="40" spans="1:37" s="36" customFormat="1" ht="15.75" hidden="1" customHeight="1">
      <c r="A40" s="40" t="s">
        <v>77</v>
      </c>
      <c r="B40" s="43" t="s">
        <v>78</v>
      </c>
      <c r="C40" s="47"/>
      <c r="D40" s="47"/>
      <c r="E40" s="47"/>
      <c r="F40" s="47"/>
      <c r="G40" s="47"/>
      <c r="H40" s="47"/>
      <c r="I40" s="57"/>
      <c r="AJ40" s="40" t="s">
        <v>77</v>
      </c>
      <c r="AK40" s="43" t="s">
        <v>78</v>
      </c>
    </row>
    <row r="41" spans="1:37" s="36" customFormat="1" ht="15.75" hidden="1" customHeight="1">
      <c r="A41" s="40" t="s">
        <v>18</v>
      </c>
      <c r="B41" s="40" t="s">
        <v>79</v>
      </c>
      <c r="C41" s="47">
        <f>+C14/C3</f>
        <v>36.322633995658705</v>
      </c>
      <c r="D41" s="47">
        <f t="shared" ref="D41:G41" si="16">+D14/D3</f>
        <v>33.68089176310415</v>
      </c>
      <c r="E41" s="47"/>
      <c r="F41" s="47"/>
      <c r="G41" s="47" t="e">
        <f t="shared" si="16"/>
        <v>#DIV/0!</v>
      </c>
      <c r="H41" s="47">
        <f>+H14/H3</f>
        <v>33.971419304034796</v>
      </c>
      <c r="I41" s="57"/>
      <c r="AJ41" s="40" t="s">
        <v>18</v>
      </c>
      <c r="AK41" s="40" t="s">
        <v>79</v>
      </c>
    </row>
    <row r="42" spans="1:37" s="36" customFormat="1" ht="15.75" hidden="1" customHeight="1">
      <c r="A42" s="40" t="s">
        <v>20</v>
      </c>
      <c r="B42" s="40" t="s">
        <v>80</v>
      </c>
      <c r="C42" s="47">
        <f>+C16/C3</f>
        <v>6.3766401903489749</v>
      </c>
      <c r="D42" s="47">
        <f t="shared" ref="D42:G42" si="17">+D16/D3</f>
        <v>5.9128676650782852</v>
      </c>
      <c r="E42" s="47"/>
      <c r="F42" s="47"/>
      <c r="G42" s="47" t="e">
        <f t="shared" si="17"/>
        <v>#DIV/0!</v>
      </c>
      <c r="H42" s="47">
        <f>+H16/H3</f>
        <v>5.9638713889305555</v>
      </c>
      <c r="I42" s="57"/>
      <c r="AJ42" s="40" t="s">
        <v>20</v>
      </c>
      <c r="AK42" s="40" t="s">
        <v>80</v>
      </c>
    </row>
    <row r="43" spans="1:37" s="36" customFormat="1" ht="15.75" hidden="1" customHeight="1">
      <c r="A43" s="40" t="s">
        <v>66</v>
      </c>
      <c r="B43" s="40" t="s">
        <v>81</v>
      </c>
      <c r="C43" s="47">
        <f>+C17/C3</f>
        <v>32.741471934299774</v>
      </c>
      <c r="D43" s="47">
        <f t="shared" ref="D43:G43" si="18">+D17/D3</f>
        <v>30.360187328806205</v>
      </c>
      <c r="E43" s="47"/>
      <c r="F43" s="47"/>
      <c r="G43" s="47" t="e">
        <f t="shared" si="18"/>
        <v>#DIV/0!</v>
      </c>
      <c r="H43" s="47">
        <f>+H17/H3</f>
        <v>30.622070851038071</v>
      </c>
      <c r="I43" s="57"/>
      <c r="AJ43" s="40" t="s">
        <v>66</v>
      </c>
      <c r="AK43" s="40" t="s">
        <v>81</v>
      </c>
    </row>
    <row r="44" spans="1:37" s="36" customFormat="1" ht="15.75" hidden="1" customHeight="1">
      <c r="A44" s="40" t="s">
        <v>23</v>
      </c>
      <c r="B44" s="40" t="s">
        <v>82</v>
      </c>
      <c r="C44" s="47"/>
      <c r="D44" s="47"/>
      <c r="E44" s="47"/>
      <c r="F44" s="47"/>
      <c r="G44" s="47"/>
      <c r="H44" s="47"/>
      <c r="I44" s="57"/>
      <c r="AJ44" s="40" t="s">
        <v>23</v>
      </c>
      <c r="AK44" s="40" t="s">
        <v>83</v>
      </c>
    </row>
    <row r="45" spans="1:37" s="36" customFormat="1" ht="15.75" hidden="1" customHeight="1">
      <c r="A45" s="40" t="s">
        <v>26</v>
      </c>
      <c r="B45" s="40" t="s">
        <v>84</v>
      </c>
      <c r="C45" s="47"/>
      <c r="D45" s="47"/>
      <c r="E45" s="47"/>
      <c r="F45" s="47"/>
      <c r="G45" s="47"/>
      <c r="H45" s="47"/>
      <c r="I45" s="57"/>
      <c r="AJ45" s="40" t="s">
        <v>26</v>
      </c>
      <c r="AK45" s="40" t="s">
        <v>84</v>
      </c>
    </row>
    <row r="46" spans="1:37" s="36" customFormat="1" ht="15.75" hidden="1" customHeight="1">
      <c r="A46" s="40" t="s">
        <v>85</v>
      </c>
      <c r="B46" s="43" t="s">
        <v>86</v>
      </c>
      <c r="C46" s="47"/>
      <c r="D46" s="47"/>
      <c r="E46" s="47"/>
      <c r="F46" s="47"/>
      <c r="G46" s="47"/>
      <c r="H46" s="47"/>
      <c r="I46" s="57"/>
      <c r="AJ46" s="40" t="s">
        <v>85</v>
      </c>
      <c r="AK46" s="43" t="s">
        <v>86</v>
      </c>
    </row>
    <row r="47" spans="1:37" s="36" customFormat="1" ht="15.75" hidden="1" customHeight="1">
      <c r="A47" s="40" t="s">
        <v>18</v>
      </c>
      <c r="B47" s="40" t="s">
        <v>87</v>
      </c>
      <c r="C47" s="117">
        <f>+(C10+C16)/C6</f>
        <v>1.7900000000000003E-2</v>
      </c>
      <c r="D47" s="117">
        <f t="shared" ref="D47:G47" si="19">+(D10+D16)/D6</f>
        <v>1.7900000000000003E-2</v>
      </c>
      <c r="E47" s="117"/>
      <c r="F47" s="117"/>
      <c r="G47" s="117" t="e">
        <f t="shared" si="19"/>
        <v>#DIV/0!</v>
      </c>
      <c r="H47" s="117">
        <f>+(H10+H16)/H6</f>
        <v>1.7899999999999999E-2</v>
      </c>
      <c r="I47" s="57"/>
      <c r="AJ47" s="40" t="s">
        <v>18</v>
      </c>
      <c r="AK47" s="40" t="s">
        <v>87</v>
      </c>
    </row>
    <row r="48" spans="1:37" s="36" customFormat="1" ht="15.75" hidden="1" customHeight="1">
      <c r="A48" s="40" t="s">
        <v>20</v>
      </c>
      <c r="B48" s="40" t="s">
        <v>88</v>
      </c>
      <c r="C48" s="117">
        <f>+(C8+C9+C14)/C6</f>
        <v>0.12120895701772344</v>
      </c>
      <c r="D48" s="117">
        <f t="shared" ref="D48:G48" si="20">+(D8+D9+D14)/D6</f>
        <v>0.12120895701772344</v>
      </c>
      <c r="E48" s="117"/>
      <c r="F48" s="117"/>
      <c r="G48" s="117" t="e">
        <f t="shared" si="20"/>
        <v>#DIV/0!</v>
      </c>
      <c r="H48" s="117">
        <f>+(H8+H9+H14)/H6</f>
        <v>0.12120895701772341</v>
      </c>
      <c r="I48" s="57"/>
      <c r="AJ48" s="40" t="s">
        <v>20</v>
      </c>
      <c r="AK48" s="40" t="s">
        <v>88</v>
      </c>
    </row>
    <row r="49" spans="1:37" s="36" customFormat="1" ht="15.75" hidden="1" customHeight="1">
      <c r="A49" s="40" t="s">
        <v>66</v>
      </c>
      <c r="B49" s="40" t="s">
        <v>89</v>
      </c>
      <c r="C49" s="117">
        <f>+C17/C6</f>
        <v>4.0563309291379773E-2</v>
      </c>
      <c r="D49" s="117">
        <f t="shared" ref="D49:G49" si="21">+D17/D6</f>
        <v>4.0563309291379773E-2</v>
      </c>
      <c r="E49" s="117"/>
      <c r="F49" s="117"/>
      <c r="G49" s="117" t="e">
        <f t="shared" si="21"/>
        <v>#DIV/0!</v>
      </c>
      <c r="H49" s="117">
        <f>+H17/H6</f>
        <v>4.0563309291379773E-2</v>
      </c>
      <c r="I49" s="57"/>
      <c r="AJ49" s="40" t="s">
        <v>66</v>
      </c>
      <c r="AK49" s="40" t="s">
        <v>89</v>
      </c>
    </row>
    <row r="50" spans="1:37" s="36" customFormat="1" ht="15.75" hidden="1" customHeight="1">
      <c r="A50" s="40" t="s">
        <v>23</v>
      </c>
      <c r="B50" s="40" t="s">
        <v>90</v>
      </c>
      <c r="C50" s="117">
        <f>+C18/C6</f>
        <v>0</v>
      </c>
      <c r="D50" s="117">
        <f t="shared" ref="D50:G50" si="22">+D18/D6</f>
        <v>0</v>
      </c>
      <c r="E50" s="117"/>
      <c r="F50" s="117"/>
      <c r="G50" s="117" t="e">
        <f t="shared" si="22"/>
        <v>#DIV/0!</v>
      </c>
      <c r="H50" s="117">
        <f>+H18/H6</f>
        <v>0</v>
      </c>
      <c r="I50" s="57"/>
      <c r="AJ50" s="40" t="s">
        <v>23</v>
      </c>
      <c r="AK50" s="40" t="s">
        <v>90</v>
      </c>
    </row>
    <row r="51" spans="1:37" s="36" customFormat="1" ht="15.75" hidden="1" customHeight="1">
      <c r="A51" s="40" t="s">
        <v>26</v>
      </c>
      <c r="B51" s="40" t="s">
        <v>91</v>
      </c>
      <c r="C51" s="117">
        <f>+C19/C6</f>
        <v>2.1299999999999996E-2</v>
      </c>
      <c r="D51" s="117">
        <f t="shared" ref="D51:G51" si="23">+D19/D6</f>
        <v>2.1299999999999996E-2</v>
      </c>
      <c r="E51" s="117"/>
      <c r="F51" s="117"/>
      <c r="G51" s="117" t="e">
        <f t="shared" si="23"/>
        <v>#DIV/0!</v>
      </c>
      <c r="H51" s="117">
        <f>+H19/H6</f>
        <v>2.1299999999999993E-2</v>
      </c>
      <c r="I51" s="57"/>
      <c r="AJ51" s="40" t="s">
        <v>26</v>
      </c>
      <c r="AK51" s="40" t="s">
        <v>91</v>
      </c>
    </row>
    <row r="52" spans="1:37" s="36" customFormat="1" ht="15.75" hidden="1" customHeight="1">
      <c r="A52" s="40" t="s">
        <v>29</v>
      </c>
      <c r="B52" s="40" t="s">
        <v>92</v>
      </c>
      <c r="C52" s="117">
        <f>+C23/C6</f>
        <v>-0.14091712194925957</v>
      </c>
      <c r="D52" s="117">
        <f t="shared" ref="D52:G52" si="24">+D23/D6</f>
        <v>-0.14650802334634622</v>
      </c>
      <c r="E52" s="117"/>
      <c r="F52" s="117"/>
      <c r="G52" s="117" t="e">
        <f t="shared" si="24"/>
        <v>#DIV/0!</v>
      </c>
      <c r="H52" s="117">
        <f>+H23/H6</f>
        <v>-0.1360083226099251</v>
      </c>
      <c r="I52" s="57"/>
      <c r="AJ52" s="40" t="s">
        <v>29</v>
      </c>
      <c r="AK52" s="40" t="s">
        <v>93</v>
      </c>
    </row>
    <row r="53" spans="1:37" s="36" customFormat="1" ht="15.75" hidden="1" customHeight="1">
      <c r="A53" s="40" t="s">
        <v>94</v>
      </c>
      <c r="B53" s="43" t="s">
        <v>95</v>
      </c>
      <c r="C53" s="47">
        <f>+C21/C3</f>
        <v>-113.74402320632355</v>
      </c>
      <c r="D53" s="47">
        <f t="shared" ref="D53:G53" si="25">+D21/D3</f>
        <v>-109.65601948343607</v>
      </c>
      <c r="E53" s="47"/>
      <c r="F53" s="47"/>
      <c r="G53" s="47" t="e">
        <f t="shared" si="25"/>
        <v>#DIV/0!</v>
      </c>
      <c r="H53" s="47">
        <f>+H21/H3</f>
        <v>-102.67546124933783</v>
      </c>
      <c r="I53" s="57"/>
      <c r="AJ53" s="40" t="s">
        <v>94</v>
      </c>
      <c r="AK53" s="43" t="s">
        <v>95</v>
      </c>
    </row>
    <row r="54" spans="1:37" s="36" customFormat="1" ht="15.75" hidden="1" customHeight="1">
      <c r="A54" s="40" t="s">
        <v>96</v>
      </c>
      <c r="B54" s="118" t="s">
        <v>97</v>
      </c>
      <c r="C54" s="47"/>
      <c r="D54" s="47"/>
      <c r="E54" s="47"/>
      <c r="F54" s="47"/>
      <c r="G54" s="47"/>
      <c r="H54" s="47"/>
      <c r="I54" s="57"/>
      <c r="AJ54" s="40"/>
      <c r="AK54" s="43"/>
    </row>
    <row r="55" spans="1:37" s="36" customFormat="1" ht="15.75" hidden="1" customHeight="1">
      <c r="A55" s="40" t="s">
        <v>18</v>
      </c>
      <c r="B55" s="40" t="s">
        <v>98</v>
      </c>
      <c r="C55" s="47">
        <f>C56+C57</f>
        <v>0</v>
      </c>
      <c r="D55" s="47"/>
      <c r="E55" s="47"/>
      <c r="F55" s="47"/>
      <c r="G55" s="47"/>
      <c r="H55" s="47"/>
      <c r="I55" s="57"/>
    </row>
    <row r="56" spans="1:37" s="36" customFormat="1" ht="15.75" hidden="1" customHeight="1">
      <c r="A56" s="40">
        <v>1.1000000000000001</v>
      </c>
      <c r="B56" s="119" t="s">
        <v>99</v>
      </c>
      <c r="C56" s="47">
        <f>项目投资!B27</f>
        <v>0</v>
      </c>
      <c r="D56" s="47"/>
      <c r="E56" s="47"/>
      <c r="F56" s="47"/>
      <c r="G56" s="47"/>
      <c r="H56" s="47"/>
      <c r="I56" s="57"/>
    </row>
    <row r="57" spans="1:37" s="36" customFormat="1" ht="15.75" hidden="1" customHeight="1">
      <c r="A57" s="40">
        <v>1.2</v>
      </c>
      <c r="B57" s="40" t="s">
        <v>100</v>
      </c>
      <c r="C57" s="47">
        <f>项目投资!B26</f>
        <v>0</v>
      </c>
      <c r="D57" s="47"/>
      <c r="E57" s="47"/>
      <c r="F57" s="47"/>
      <c r="G57" s="47"/>
      <c r="H57" s="47"/>
      <c r="I57" s="57"/>
    </row>
    <row r="58" spans="1:37" ht="15.75" hidden="1" customHeight="1">
      <c r="A58" s="107" t="s">
        <v>20</v>
      </c>
      <c r="B58" s="107" t="s">
        <v>101</v>
      </c>
      <c r="C58" s="120">
        <f t="shared" ref="C58:G58" si="26">C59+C60</f>
        <v>-48227.465839481185</v>
      </c>
      <c r="D58" s="120">
        <f t="shared" si="26"/>
        <v>-68425.356157664108</v>
      </c>
      <c r="E58" s="120"/>
      <c r="F58" s="120"/>
      <c r="G58" s="120" t="e">
        <f t="shared" si="26"/>
        <v>#DIV/0!</v>
      </c>
      <c r="H58" s="120">
        <f t="shared" ref="H58" si="27">H59+H60</f>
        <v>-290776.90625812474</v>
      </c>
      <c r="I58" s="57"/>
    </row>
    <row r="59" spans="1:37" ht="15.75" hidden="1" customHeight="1">
      <c r="A59" s="107" t="s">
        <v>66</v>
      </c>
      <c r="B59" s="107" t="s">
        <v>102</v>
      </c>
      <c r="C59" s="120">
        <f t="shared" ref="C59:G59" si="28">C23</f>
        <v>-48227.465839481185</v>
      </c>
      <c r="D59" s="120">
        <f t="shared" si="28"/>
        <v>-68425.356157664108</v>
      </c>
      <c r="E59" s="120"/>
      <c r="F59" s="120"/>
      <c r="G59" s="120" t="e">
        <f t="shared" si="28"/>
        <v>#DIV/0!</v>
      </c>
      <c r="H59" s="120">
        <f t="shared" ref="H59" si="29">H23</f>
        <v>-290776.90625812474</v>
      </c>
      <c r="I59" s="57"/>
    </row>
    <row r="60" spans="1:37" ht="15.75" hidden="1" customHeight="1">
      <c r="A60" s="107" t="s">
        <v>23</v>
      </c>
      <c r="B60" s="107" t="s">
        <v>103</v>
      </c>
      <c r="C60" s="120">
        <f>'2023年'!K18</f>
        <v>0</v>
      </c>
      <c r="D60" s="120">
        <f>'2024年'!K18</f>
        <v>0</v>
      </c>
      <c r="E60" s="120"/>
      <c r="F60" s="120"/>
      <c r="G60" s="120">
        <f>'2027年'!K18</f>
        <v>0</v>
      </c>
      <c r="H60" s="120">
        <f>项目投资!I26</f>
        <v>0</v>
      </c>
      <c r="I60" s="57"/>
    </row>
    <row r="61" spans="1:37" ht="15.75" hidden="1" customHeight="1">
      <c r="A61" s="107" t="s">
        <v>26</v>
      </c>
      <c r="B61" s="107" t="s">
        <v>104</v>
      </c>
      <c r="C61" s="121"/>
      <c r="D61" s="121"/>
      <c r="E61" s="121"/>
      <c r="F61" s="121"/>
      <c r="G61" s="121"/>
      <c r="H61" s="120"/>
      <c r="I61" s="57"/>
    </row>
    <row r="63" spans="1:37">
      <c r="B63"/>
    </row>
  </sheetData>
  <mergeCells count="2">
    <mergeCell ref="A1:H1"/>
    <mergeCell ref="A2:A3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1" customWidth="1"/>
    <col min="2" max="2" width="28.5" style="61" customWidth="1"/>
    <col min="3" max="4" width="9.125" style="61"/>
    <col min="5" max="5" width="13.875" style="61" customWidth="1"/>
    <col min="6" max="12" width="16.125" style="61" customWidth="1"/>
    <col min="13" max="13" width="10.625" style="61" customWidth="1"/>
    <col min="14" max="254" width="9.125" style="61"/>
    <col min="255" max="255" width="8" style="61" customWidth="1"/>
    <col min="256" max="256" width="28.5" style="61" customWidth="1"/>
    <col min="257" max="268" width="9.125" style="61"/>
    <col min="269" max="269" width="10.625" style="61" customWidth="1"/>
    <col min="270" max="510" width="9.125" style="61"/>
    <col min="511" max="511" width="8" style="61" customWidth="1"/>
    <col min="512" max="512" width="28.5" style="61" customWidth="1"/>
    <col min="513" max="524" width="9.125" style="61"/>
    <col min="525" max="525" width="10.625" style="61" customWidth="1"/>
    <col min="526" max="766" width="9.125" style="61"/>
    <col min="767" max="767" width="8" style="61" customWidth="1"/>
    <col min="768" max="768" width="28.5" style="61" customWidth="1"/>
    <col min="769" max="780" width="9.125" style="61"/>
    <col min="781" max="781" width="10.625" style="61" customWidth="1"/>
    <col min="782" max="1022" width="9.125" style="61"/>
    <col min="1023" max="1023" width="8" style="61" customWidth="1"/>
    <col min="1024" max="1024" width="28.5" style="61" customWidth="1"/>
    <col min="1025" max="1036" width="9.125" style="61"/>
    <col min="1037" max="1037" width="10.625" style="61" customWidth="1"/>
    <col min="1038" max="1278" width="9.125" style="61"/>
    <col min="1279" max="1279" width="8" style="61" customWidth="1"/>
    <col min="1280" max="1280" width="28.5" style="61" customWidth="1"/>
    <col min="1281" max="1292" width="9.125" style="61"/>
    <col min="1293" max="1293" width="10.625" style="61" customWidth="1"/>
    <col min="1294" max="1534" width="9.125" style="61"/>
    <col min="1535" max="1535" width="8" style="61" customWidth="1"/>
    <col min="1536" max="1536" width="28.5" style="61" customWidth="1"/>
    <col min="1537" max="1548" width="9.125" style="61"/>
    <col min="1549" max="1549" width="10.625" style="61" customWidth="1"/>
    <col min="1550" max="1790" width="9.125" style="61"/>
    <col min="1791" max="1791" width="8" style="61" customWidth="1"/>
    <col min="1792" max="1792" width="28.5" style="61" customWidth="1"/>
    <col min="1793" max="1804" width="9.125" style="61"/>
    <col min="1805" max="1805" width="10.625" style="61" customWidth="1"/>
    <col min="1806" max="2046" width="9.125" style="61"/>
    <col min="2047" max="2047" width="8" style="61" customWidth="1"/>
    <col min="2048" max="2048" width="28.5" style="61" customWidth="1"/>
    <col min="2049" max="2060" width="9.125" style="61"/>
    <col min="2061" max="2061" width="10.625" style="61" customWidth="1"/>
    <col min="2062" max="2302" width="9.125" style="61"/>
    <col min="2303" max="2303" width="8" style="61" customWidth="1"/>
    <col min="2304" max="2304" width="28.5" style="61" customWidth="1"/>
    <col min="2305" max="2316" width="9.125" style="61"/>
    <col min="2317" max="2317" width="10.625" style="61" customWidth="1"/>
    <col min="2318" max="2558" width="9.125" style="61"/>
    <col min="2559" max="2559" width="8" style="61" customWidth="1"/>
    <col min="2560" max="2560" width="28.5" style="61" customWidth="1"/>
    <col min="2561" max="2572" width="9.125" style="61"/>
    <col min="2573" max="2573" width="10.625" style="61" customWidth="1"/>
    <col min="2574" max="2814" width="9.125" style="61"/>
    <col min="2815" max="2815" width="8" style="61" customWidth="1"/>
    <col min="2816" max="2816" width="28.5" style="61" customWidth="1"/>
    <col min="2817" max="2828" width="9.125" style="61"/>
    <col min="2829" max="2829" width="10.625" style="61" customWidth="1"/>
    <col min="2830" max="3070" width="9.125" style="61"/>
    <col min="3071" max="3071" width="8" style="61" customWidth="1"/>
    <col min="3072" max="3072" width="28.5" style="61" customWidth="1"/>
    <col min="3073" max="3084" width="9.125" style="61"/>
    <col min="3085" max="3085" width="10.625" style="61" customWidth="1"/>
    <col min="3086" max="3326" width="9.125" style="61"/>
    <col min="3327" max="3327" width="8" style="61" customWidth="1"/>
    <col min="3328" max="3328" width="28.5" style="61" customWidth="1"/>
    <col min="3329" max="3340" width="9.125" style="61"/>
    <col min="3341" max="3341" width="10.625" style="61" customWidth="1"/>
    <col min="3342" max="3582" width="9.125" style="61"/>
    <col min="3583" max="3583" width="8" style="61" customWidth="1"/>
    <col min="3584" max="3584" width="28.5" style="61" customWidth="1"/>
    <col min="3585" max="3596" width="9.125" style="61"/>
    <col min="3597" max="3597" width="10.625" style="61" customWidth="1"/>
    <col min="3598" max="3838" width="9.125" style="61"/>
    <col min="3839" max="3839" width="8" style="61" customWidth="1"/>
    <col min="3840" max="3840" width="28.5" style="61" customWidth="1"/>
    <col min="3841" max="3852" width="9.125" style="61"/>
    <col min="3853" max="3853" width="10.625" style="61" customWidth="1"/>
    <col min="3854" max="4094" width="9.125" style="61"/>
    <col min="4095" max="4095" width="8" style="61" customWidth="1"/>
    <col min="4096" max="4096" width="28.5" style="61" customWidth="1"/>
    <col min="4097" max="4108" width="9.125" style="61"/>
    <col min="4109" max="4109" width="10.625" style="61" customWidth="1"/>
    <col min="4110" max="4350" width="9.125" style="61"/>
    <col min="4351" max="4351" width="8" style="61" customWidth="1"/>
    <col min="4352" max="4352" width="28.5" style="61" customWidth="1"/>
    <col min="4353" max="4364" width="9.125" style="61"/>
    <col min="4365" max="4365" width="10.625" style="61" customWidth="1"/>
    <col min="4366" max="4606" width="9.125" style="61"/>
    <col min="4607" max="4607" width="8" style="61" customWidth="1"/>
    <col min="4608" max="4608" width="28.5" style="61" customWidth="1"/>
    <col min="4609" max="4620" width="9.125" style="61"/>
    <col min="4621" max="4621" width="10.625" style="61" customWidth="1"/>
    <col min="4622" max="4862" width="9.125" style="61"/>
    <col min="4863" max="4863" width="8" style="61" customWidth="1"/>
    <col min="4864" max="4864" width="28.5" style="61" customWidth="1"/>
    <col min="4865" max="4876" width="9.125" style="61"/>
    <col min="4877" max="4877" width="10.625" style="61" customWidth="1"/>
    <col min="4878" max="5118" width="9.125" style="61"/>
    <col min="5119" max="5119" width="8" style="61" customWidth="1"/>
    <col min="5120" max="5120" width="28.5" style="61" customWidth="1"/>
    <col min="5121" max="5132" width="9.125" style="61"/>
    <col min="5133" max="5133" width="10.625" style="61" customWidth="1"/>
    <col min="5134" max="5374" width="9.125" style="61"/>
    <col min="5375" max="5375" width="8" style="61" customWidth="1"/>
    <col min="5376" max="5376" width="28.5" style="61" customWidth="1"/>
    <col min="5377" max="5388" width="9.125" style="61"/>
    <col min="5389" max="5389" width="10.625" style="61" customWidth="1"/>
    <col min="5390" max="5630" width="9.125" style="61"/>
    <col min="5631" max="5631" width="8" style="61" customWidth="1"/>
    <col min="5632" max="5632" width="28.5" style="61" customWidth="1"/>
    <col min="5633" max="5644" width="9.125" style="61"/>
    <col min="5645" max="5645" width="10.625" style="61" customWidth="1"/>
    <col min="5646" max="5886" width="9.125" style="61"/>
    <col min="5887" max="5887" width="8" style="61" customWidth="1"/>
    <col min="5888" max="5888" width="28.5" style="61" customWidth="1"/>
    <col min="5889" max="5900" width="9.125" style="61"/>
    <col min="5901" max="5901" width="10.625" style="61" customWidth="1"/>
    <col min="5902" max="6142" width="9.125" style="61"/>
    <col min="6143" max="6143" width="8" style="61" customWidth="1"/>
    <col min="6144" max="6144" width="28.5" style="61" customWidth="1"/>
    <col min="6145" max="6156" width="9.125" style="61"/>
    <col min="6157" max="6157" width="10.625" style="61" customWidth="1"/>
    <col min="6158" max="6398" width="9.125" style="61"/>
    <col min="6399" max="6399" width="8" style="61" customWidth="1"/>
    <col min="6400" max="6400" width="28.5" style="61" customWidth="1"/>
    <col min="6401" max="6412" width="9.125" style="61"/>
    <col min="6413" max="6413" width="10.625" style="61" customWidth="1"/>
    <col min="6414" max="6654" width="9.125" style="61"/>
    <col min="6655" max="6655" width="8" style="61" customWidth="1"/>
    <col min="6656" max="6656" width="28.5" style="61" customWidth="1"/>
    <col min="6657" max="6668" width="9.125" style="61"/>
    <col min="6669" max="6669" width="10.625" style="61" customWidth="1"/>
    <col min="6670" max="6910" width="9.125" style="61"/>
    <col min="6911" max="6911" width="8" style="61" customWidth="1"/>
    <col min="6912" max="6912" width="28.5" style="61" customWidth="1"/>
    <col min="6913" max="6924" width="9.125" style="61"/>
    <col min="6925" max="6925" width="10.625" style="61" customWidth="1"/>
    <col min="6926" max="7166" width="9.125" style="61"/>
    <col min="7167" max="7167" width="8" style="61" customWidth="1"/>
    <col min="7168" max="7168" width="28.5" style="61" customWidth="1"/>
    <col min="7169" max="7180" width="9.125" style="61"/>
    <col min="7181" max="7181" width="10.625" style="61" customWidth="1"/>
    <col min="7182" max="7422" width="9.125" style="61"/>
    <col min="7423" max="7423" width="8" style="61" customWidth="1"/>
    <col min="7424" max="7424" width="28.5" style="61" customWidth="1"/>
    <col min="7425" max="7436" width="9.125" style="61"/>
    <col min="7437" max="7437" width="10.625" style="61" customWidth="1"/>
    <col min="7438" max="7678" width="9.125" style="61"/>
    <col min="7679" max="7679" width="8" style="61" customWidth="1"/>
    <col min="7680" max="7680" width="28.5" style="61" customWidth="1"/>
    <col min="7681" max="7692" width="9.125" style="61"/>
    <col min="7693" max="7693" width="10.625" style="61" customWidth="1"/>
    <col min="7694" max="7934" width="9.125" style="61"/>
    <col min="7935" max="7935" width="8" style="61" customWidth="1"/>
    <col min="7936" max="7936" width="28.5" style="61" customWidth="1"/>
    <col min="7937" max="7948" width="9.125" style="61"/>
    <col min="7949" max="7949" width="10.625" style="61" customWidth="1"/>
    <col min="7950" max="8190" width="9.125" style="61"/>
    <col min="8191" max="8191" width="8" style="61" customWidth="1"/>
    <col min="8192" max="8192" width="28.5" style="61" customWidth="1"/>
    <col min="8193" max="8204" width="9.125" style="61"/>
    <col min="8205" max="8205" width="10.625" style="61" customWidth="1"/>
    <col min="8206" max="8446" width="9.125" style="61"/>
    <col min="8447" max="8447" width="8" style="61" customWidth="1"/>
    <col min="8448" max="8448" width="28.5" style="61" customWidth="1"/>
    <col min="8449" max="8460" width="9.125" style="61"/>
    <col min="8461" max="8461" width="10.625" style="61" customWidth="1"/>
    <col min="8462" max="8702" width="9.125" style="61"/>
    <col min="8703" max="8703" width="8" style="61" customWidth="1"/>
    <col min="8704" max="8704" width="28.5" style="61" customWidth="1"/>
    <col min="8705" max="8716" width="9.125" style="61"/>
    <col min="8717" max="8717" width="10.625" style="61" customWidth="1"/>
    <col min="8718" max="8958" width="9.125" style="61"/>
    <col min="8959" max="8959" width="8" style="61" customWidth="1"/>
    <col min="8960" max="8960" width="28.5" style="61" customWidth="1"/>
    <col min="8961" max="8972" width="9.125" style="61"/>
    <col min="8973" max="8973" width="10.625" style="61" customWidth="1"/>
    <col min="8974" max="9214" width="9.125" style="61"/>
    <col min="9215" max="9215" width="8" style="61" customWidth="1"/>
    <col min="9216" max="9216" width="28.5" style="61" customWidth="1"/>
    <col min="9217" max="9228" width="9.125" style="61"/>
    <col min="9229" max="9229" width="10.625" style="61" customWidth="1"/>
    <col min="9230" max="9470" width="9.125" style="61"/>
    <col min="9471" max="9471" width="8" style="61" customWidth="1"/>
    <col min="9472" max="9472" width="28.5" style="61" customWidth="1"/>
    <col min="9473" max="9484" width="9.125" style="61"/>
    <col min="9485" max="9485" width="10.625" style="61" customWidth="1"/>
    <col min="9486" max="9726" width="9.125" style="61"/>
    <col min="9727" max="9727" width="8" style="61" customWidth="1"/>
    <col min="9728" max="9728" width="28.5" style="61" customWidth="1"/>
    <col min="9729" max="9740" width="9.125" style="61"/>
    <col min="9741" max="9741" width="10.625" style="61" customWidth="1"/>
    <col min="9742" max="9982" width="9.125" style="61"/>
    <col min="9983" max="9983" width="8" style="61" customWidth="1"/>
    <col min="9984" max="9984" width="28.5" style="61" customWidth="1"/>
    <col min="9985" max="9996" width="9.125" style="61"/>
    <col min="9997" max="9997" width="10.625" style="61" customWidth="1"/>
    <col min="9998" max="10238" width="9.125" style="61"/>
    <col min="10239" max="10239" width="8" style="61" customWidth="1"/>
    <col min="10240" max="10240" width="28.5" style="61" customWidth="1"/>
    <col min="10241" max="10252" width="9.125" style="61"/>
    <col min="10253" max="10253" width="10.625" style="61" customWidth="1"/>
    <col min="10254" max="10494" width="9.125" style="61"/>
    <col min="10495" max="10495" width="8" style="61" customWidth="1"/>
    <col min="10496" max="10496" width="28.5" style="61" customWidth="1"/>
    <col min="10497" max="10508" width="9.125" style="61"/>
    <col min="10509" max="10509" width="10.625" style="61" customWidth="1"/>
    <col min="10510" max="10750" width="9.125" style="61"/>
    <col min="10751" max="10751" width="8" style="61" customWidth="1"/>
    <col min="10752" max="10752" width="28.5" style="61" customWidth="1"/>
    <col min="10753" max="10764" width="9.125" style="61"/>
    <col min="10765" max="10765" width="10.625" style="61" customWidth="1"/>
    <col min="10766" max="11006" width="9.125" style="61"/>
    <col min="11007" max="11007" width="8" style="61" customWidth="1"/>
    <col min="11008" max="11008" width="28.5" style="61" customWidth="1"/>
    <col min="11009" max="11020" width="9.125" style="61"/>
    <col min="11021" max="11021" width="10.625" style="61" customWidth="1"/>
    <col min="11022" max="11262" width="9.125" style="61"/>
    <col min="11263" max="11263" width="8" style="61" customWidth="1"/>
    <col min="11264" max="11264" width="28.5" style="61" customWidth="1"/>
    <col min="11265" max="11276" width="9.125" style="61"/>
    <col min="11277" max="11277" width="10.625" style="61" customWidth="1"/>
    <col min="11278" max="11518" width="9.125" style="61"/>
    <col min="11519" max="11519" width="8" style="61" customWidth="1"/>
    <col min="11520" max="11520" width="28.5" style="61" customWidth="1"/>
    <col min="11521" max="11532" width="9.125" style="61"/>
    <col min="11533" max="11533" width="10.625" style="61" customWidth="1"/>
    <col min="11534" max="11774" width="9.125" style="61"/>
    <col min="11775" max="11775" width="8" style="61" customWidth="1"/>
    <col min="11776" max="11776" width="28.5" style="61" customWidth="1"/>
    <col min="11777" max="11788" width="9.125" style="61"/>
    <col min="11789" max="11789" width="10.625" style="61" customWidth="1"/>
    <col min="11790" max="12030" width="9.125" style="61"/>
    <col min="12031" max="12031" width="8" style="61" customWidth="1"/>
    <col min="12032" max="12032" width="28.5" style="61" customWidth="1"/>
    <col min="12033" max="12044" width="9.125" style="61"/>
    <col min="12045" max="12045" width="10.625" style="61" customWidth="1"/>
    <col min="12046" max="12286" width="9.125" style="61"/>
    <col min="12287" max="12287" width="8" style="61" customWidth="1"/>
    <col min="12288" max="12288" width="28.5" style="61" customWidth="1"/>
    <col min="12289" max="12300" width="9.125" style="61"/>
    <col min="12301" max="12301" width="10.625" style="61" customWidth="1"/>
    <col min="12302" max="12542" width="9.125" style="61"/>
    <col min="12543" max="12543" width="8" style="61" customWidth="1"/>
    <col min="12544" max="12544" width="28.5" style="61" customWidth="1"/>
    <col min="12545" max="12556" width="9.125" style="61"/>
    <col min="12557" max="12557" width="10.625" style="61" customWidth="1"/>
    <col min="12558" max="12798" width="9.125" style="61"/>
    <col min="12799" max="12799" width="8" style="61" customWidth="1"/>
    <col min="12800" max="12800" width="28.5" style="61" customWidth="1"/>
    <col min="12801" max="12812" width="9.125" style="61"/>
    <col min="12813" max="12813" width="10.625" style="61" customWidth="1"/>
    <col min="12814" max="13054" width="9.125" style="61"/>
    <col min="13055" max="13055" width="8" style="61" customWidth="1"/>
    <col min="13056" max="13056" width="28.5" style="61" customWidth="1"/>
    <col min="13057" max="13068" width="9.125" style="61"/>
    <col min="13069" max="13069" width="10.625" style="61" customWidth="1"/>
    <col min="13070" max="13310" width="9.125" style="61"/>
    <col min="13311" max="13311" width="8" style="61" customWidth="1"/>
    <col min="13312" max="13312" width="28.5" style="61" customWidth="1"/>
    <col min="13313" max="13324" width="9.125" style="61"/>
    <col min="13325" max="13325" width="10.625" style="61" customWidth="1"/>
    <col min="13326" max="13566" width="9.125" style="61"/>
    <col min="13567" max="13567" width="8" style="61" customWidth="1"/>
    <col min="13568" max="13568" width="28.5" style="61" customWidth="1"/>
    <col min="13569" max="13580" width="9.125" style="61"/>
    <col min="13581" max="13581" width="10.625" style="61" customWidth="1"/>
    <col min="13582" max="13822" width="9.125" style="61"/>
    <col min="13823" max="13823" width="8" style="61" customWidth="1"/>
    <col min="13824" max="13824" width="28.5" style="61" customWidth="1"/>
    <col min="13825" max="13836" width="9.125" style="61"/>
    <col min="13837" max="13837" width="10.625" style="61" customWidth="1"/>
    <col min="13838" max="14078" width="9.125" style="61"/>
    <col min="14079" max="14079" width="8" style="61" customWidth="1"/>
    <col min="14080" max="14080" width="28.5" style="61" customWidth="1"/>
    <col min="14081" max="14092" width="9.125" style="61"/>
    <col min="14093" max="14093" width="10.625" style="61" customWidth="1"/>
    <col min="14094" max="14334" width="9.125" style="61"/>
    <col min="14335" max="14335" width="8" style="61" customWidth="1"/>
    <col min="14336" max="14336" width="28.5" style="61" customWidth="1"/>
    <col min="14337" max="14348" width="9.125" style="61"/>
    <col min="14349" max="14349" width="10.625" style="61" customWidth="1"/>
    <col min="14350" max="14590" width="9.125" style="61"/>
    <col min="14591" max="14591" width="8" style="61" customWidth="1"/>
    <col min="14592" max="14592" width="28.5" style="61" customWidth="1"/>
    <col min="14593" max="14604" width="9.125" style="61"/>
    <col min="14605" max="14605" width="10.625" style="61" customWidth="1"/>
    <col min="14606" max="14846" width="9.125" style="61"/>
    <col min="14847" max="14847" width="8" style="61" customWidth="1"/>
    <col min="14848" max="14848" width="28.5" style="61" customWidth="1"/>
    <col min="14849" max="14860" width="9.125" style="61"/>
    <col min="14861" max="14861" width="10.625" style="61" customWidth="1"/>
    <col min="14862" max="15102" width="9.125" style="61"/>
    <col min="15103" max="15103" width="8" style="61" customWidth="1"/>
    <col min="15104" max="15104" width="28.5" style="61" customWidth="1"/>
    <col min="15105" max="15116" width="9.125" style="61"/>
    <col min="15117" max="15117" width="10.625" style="61" customWidth="1"/>
    <col min="15118" max="15358" width="9.125" style="61"/>
    <col min="15359" max="15359" width="8" style="61" customWidth="1"/>
    <col min="15360" max="15360" width="28.5" style="61" customWidth="1"/>
    <col min="15361" max="15372" width="9.125" style="61"/>
    <col min="15373" max="15373" width="10.625" style="61" customWidth="1"/>
    <col min="15374" max="15614" width="9.125" style="61"/>
    <col min="15615" max="15615" width="8" style="61" customWidth="1"/>
    <col min="15616" max="15616" width="28.5" style="61" customWidth="1"/>
    <col min="15617" max="15628" width="9.125" style="61"/>
    <col min="15629" max="15629" width="10.625" style="61" customWidth="1"/>
    <col min="15630" max="15870" width="9.125" style="61"/>
    <col min="15871" max="15871" width="8" style="61" customWidth="1"/>
    <col min="15872" max="15872" width="28.5" style="61" customWidth="1"/>
    <col min="15873" max="15884" width="9.125" style="61"/>
    <col min="15885" max="15885" width="10.625" style="61" customWidth="1"/>
    <col min="15886" max="16126" width="9.125" style="61"/>
    <col min="16127" max="16127" width="8" style="61" customWidth="1"/>
    <col min="16128" max="16128" width="28.5" style="61" customWidth="1"/>
    <col min="16129" max="16140" width="9.125" style="61"/>
    <col min="16141" max="16141" width="10.625" style="61" customWidth="1"/>
    <col min="16142" max="16384" width="9.125" style="61"/>
  </cols>
  <sheetData>
    <row r="1" spans="1:13" ht="18.75">
      <c r="A1" s="62" t="s">
        <v>105</v>
      </c>
      <c r="B1" s="63"/>
      <c r="C1" s="64"/>
      <c r="D1" s="64"/>
      <c r="E1" s="63"/>
      <c r="F1" s="64"/>
      <c r="G1" s="64"/>
      <c r="H1" s="63"/>
      <c r="I1" s="64"/>
      <c r="J1" s="64"/>
      <c r="K1" s="64"/>
      <c r="L1" s="64"/>
      <c r="M1" s="64"/>
    </row>
    <row r="2" spans="1:13" ht="12">
      <c r="A2" s="61" t="s">
        <v>106</v>
      </c>
      <c r="B2" s="65"/>
    </row>
    <row r="3" spans="1:13" ht="16.899999999999999" customHeight="1">
      <c r="A3" s="66" t="s">
        <v>13</v>
      </c>
      <c r="B3" s="66" t="s">
        <v>107</v>
      </c>
      <c r="C3" s="234" t="s">
        <v>108</v>
      </c>
      <c r="D3" s="234"/>
      <c r="E3" s="234"/>
      <c r="F3" s="68"/>
      <c r="G3" s="69"/>
      <c r="H3" s="70"/>
      <c r="I3" s="70"/>
      <c r="J3" s="70" t="s">
        <v>109</v>
      </c>
      <c r="K3" s="70"/>
      <c r="L3" s="70"/>
      <c r="M3" s="91"/>
    </row>
    <row r="4" spans="1:13" ht="16.149999999999999" customHeight="1">
      <c r="A4" s="71"/>
      <c r="B4" s="71" t="s">
        <v>110</v>
      </c>
      <c r="C4" s="67">
        <v>2017</v>
      </c>
      <c r="D4" s="67">
        <f t="shared" ref="D4:L4" si="0">C4+1</f>
        <v>2018</v>
      </c>
      <c r="E4" s="67">
        <f t="shared" si="0"/>
        <v>2019</v>
      </c>
      <c r="F4" s="67">
        <f t="shared" si="0"/>
        <v>2020</v>
      </c>
      <c r="G4" s="67">
        <f t="shared" si="0"/>
        <v>2021</v>
      </c>
      <c r="H4" s="72">
        <f t="shared" si="0"/>
        <v>2022</v>
      </c>
      <c r="I4" s="72">
        <f t="shared" si="0"/>
        <v>2023</v>
      </c>
      <c r="J4" s="72">
        <f t="shared" si="0"/>
        <v>2024</v>
      </c>
      <c r="K4" s="72">
        <f t="shared" si="0"/>
        <v>2025</v>
      </c>
      <c r="L4" s="72">
        <f t="shared" si="0"/>
        <v>2026</v>
      </c>
      <c r="M4" s="92" t="s">
        <v>111</v>
      </c>
    </row>
    <row r="5" spans="1:13" ht="15.6" customHeight="1">
      <c r="A5" s="73">
        <v>1</v>
      </c>
      <c r="B5" s="74" t="s">
        <v>112</v>
      </c>
      <c r="C5" s="75">
        <f>SUM(C6:C9)</f>
        <v>0</v>
      </c>
      <c r="D5" s="75">
        <f t="shared" ref="D5:L5" si="1">SUM(D6:D9)</f>
        <v>0</v>
      </c>
      <c r="E5" s="75" t="e">
        <f t="shared" si="1"/>
        <v>#REF!</v>
      </c>
      <c r="F5" s="75">
        <f t="shared" si="1"/>
        <v>342239.92920353985</v>
      </c>
      <c r="G5" s="75">
        <f t="shared" si="1"/>
        <v>467041.69911504426</v>
      </c>
      <c r="H5" s="75">
        <f t="shared" si="1"/>
        <v>0</v>
      </c>
      <c r="I5" s="75" t="e">
        <f t="shared" si="1"/>
        <v>#REF!</v>
      </c>
      <c r="J5" s="75" t="e">
        <f t="shared" si="1"/>
        <v>#REF!</v>
      </c>
      <c r="K5" s="75" t="e">
        <f t="shared" si="1"/>
        <v>#REF!</v>
      </c>
      <c r="L5" s="75">
        <f t="shared" si="1"/>
        <v>2137934.654867257</v>
      </c>
      <c r="M5" s="79" t="e">
        <f t="shared" ref="M5:M17" si="2">SUM(C5:L5)</f>
        <v>#REF!</v>
      </c>
    </row>
    <row r="6" spans="1:13" ht="15.6" customHeight="1">
      <c r="A6" s="73">
        <v>1.1000000000000001</v>
      </c>
      <c r="B6" s="76" t="s">
        <v>113</v>
      </c>
      <c r="C6" s="77"/>
      <c r="D6" s="77"/>
      <c r="E6" s="77" t="e">
        <f>损益表!#REF!</f>
        <v>#REF!</v>
      </c>
      <c r="F6" s="77">
        <f>损益表!C4</f>
        <v>342239.92920353985</v>
      </c>
      <c r="G6" s="77">
        <f>损益表!D4</f>
        <v>467041.69911504426</v>
      </c>
      <c r="H6" s="77">
        <f>损益表!G4</f>
        <v>0</v>
      </c>
      <c r="I6" s="77" t="e">
        <f>损益表!#REF!</f>
        <v>#REF!</v>
      </c>
      <c r="J6" s="77" t="e">
        <f>损益表!#REF!</f>
        <v>#REF!</v>
      </c>
      <c r="K6" s="77" t="e">
        <f>损益表!#REF!</f>
        <v>#REF!</v>
      </c>
      <c r="L6" s="77">
        <f>损益表!H4</f>
        <v>2137934.654867257</v>
      </c>
      <c r="M6" s="79" t="e">
        <f t="shared" si="2"/>
        <v>#REF!</v>
      </c>
    </row>
    <row r="7" spans="1:13" ht="15.6" customHeight="1">
      <c r="A7" s="73">
        <v>1.2</v>
      </c>
      <c r="B7" s="76" t="s">
        <v>114</v>
      </c>
      <c r="C7" s="77"/>
      <c r="D7" s="77"/>
      <c r="E7" s="77">
        <f>[1]折、摊!G18</f>
        <v>0</v>
      </c>
      <c r="F7" s="77">
        <f>[1]折、摊!H18</f>
        <v>0</v>
      </c>
      <c r="G7" s="77">
        <f>[1]折、摊!I18</f>
        <v>0</v>
      </c>
      <c r="H7" s="77">
        <f>[1]折、摊!J18</f>
        <v>0</v>
      </c>
      <c r="I7" s="77">
        <f>[1]折、摊!K18</f>
        <v>0</v>
      </c>
      <c r="J7" s="77">
        <f>[1]折、摊!L18</f>
        <v>0</v>
      </c>
      <c r="K7" s="77">
        <f>[1]折、摊!M18</f>
        <v>0</v>
      </c>
      <c r="L7" s="77">
        <f>[1]折、摊!N18</f>
        <v>0</v>
      </c>
      <c r="M7" s="79">
        <f t="shared" si="2"/>
        <v>0</v>
      </c>
    </row>
    <row r="8" spans="1:13" ht="15.6" customHeight="1">
      <c r="A8" s="73">
        <v>1.3</v>
      </c>
      <c r="B8" s="76" t="s">
        <v>115</v>
      </c>
      <c r="C8" s="77" t="s">
        <v>116</v>
      </c>
      <c r="D8" s="77" t="s">
        <v>116</v>
      </c>
      <c r="E8" s="77" t="s">
        <v>116</v>
      </c>
      <c r="F8" s="77" t="s">
        <v>116</v>
      </c>
      <c r="G8" s="77" t="s">
        <v>116</v>
      </c>
      <c r="H8" s="77" t="s">
        <v>116</v>
      </c>
      <c r="I8" s="77" t="s">
        <v>116</v>
      </c>
      <c r="J8" s="77" t="s">
        <v>116</v>
      </c>
      <c r="K8" s="77" t="s">
        <v>116</v>
      </c>
      <c r="L8" s="77"/>
      <c r="M8" s="79">
        <f t="shared" si="2"/>
        <v>0</v>
      </c>
    </row>
    <row r="9" spans="1:13" s="60" customFormat="1" ht="15.6" customHeight="1">
      <c r="A9" s="78">
        <v>1.4</v>
      </c>
      <c r="B9" s="79" t="s">
        <v>117</v>
      </c>
      <c r="C9" s="77" t="s">
        <v>116</v>
      </c>
      <c r="D9" s="77" t="s">
        <v>116</v>
      </c>
      <c r="E9" s="77" t="s">
        <v>116</v>
      </c>
      <c r="F9" s="77" t="s">
        <v>116</v>
      </c>
      <c r="G9" s="77" t="s">
        <v>116</v>
      </c>
      <c r="H9" s="77" t="s">
        <v>116</v>
      </c>
      <c r="I9" s="77" t="s">
        <v>116</v>
      </c>
      <c r="J9" s="77" t="s">
        <v>116</v>
      </c>
      <c r="K9" s="77" t="s">
        <v>116</v>
      </c>
      <c r="L9" s="77" t="s">
        <v>116</v>
      </c>
      <c r="M9" s="79">
        <f t="shared" si="2"/>
        <v>0</v>
      </c>
    </row>
    <row r="10" spans="1:13" ht="15.6" customHeight="1">
      <c r="A10" s="78">
        <v>2</v>
      </c>
      <c r="B10" s="74" t="s">
        <v>118</v>
      </c>
      <c r="C10" s="75">
        <f t="shared" ref="C10:L10" si="3">SUM(C11:C16)</f>
        <v>0</v>
      </c>
      <c r="D10" s="75">
        <f t="shared" si="3"/>
        <v>0</v>
      </c>
      <c r="E10" s="75">
        <f t="shared" si="3"/>
        <v>0</v>
      </c>
      <c r="F10" s="75">
        <f t="shared" si="3"/>
        <v>0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3"/>
        <v>0</v>
      </c>
      <c r="L10" s="75">
        <f t="shared" si="3"/>
        <v>0</v>
      </c>
      <c r="M10" s="79">
        <f t="shared" si="2"/>
        <v>0</v>
      </c>
    </row>
    <row r="11" spans="1:13" ht="15" customHeight="1">
      <c r="A11" s="73">
        <v>2.1</v>
      </c>
      <c r="B11" s="73" t="s">
        <v>119</v>
      </c>
      <c r="C11" s="77">
        <f>([1]计划!C6-[1]计划!C7)</f>
        <v>0</v>
      </c>
      <c r="D11" s="77">
        <f>([1]计划!D6-[1]计划!D7)</f>
        <v>0</v>
      </c>
      <c r="E11" s="77">
        <f>([1]计划!E6-[1]计划!E7)</f>
        <v>0</v>
      </c>
      <c r="F11" s="77">
        <f>([1]计划!F6-[1]计划!F7)</f>
        <v>0</v>
      </c>
      <c r="G11" s="77">
        <f>([1]计划!G6-[1]计划!G7)</f>
        <v>0</v>
      </c>
      <c r="H11" s="77">
        <f>([1]计划!H6-[1]计划!H7)</f>
        <v>0</v>
      </c>
      <c r="I11" s="77">
        <f>([1]计划!I6-[1]计划!I7)</f>
        <v>0</v>
      </c>
      <c r="J11" s="77">
        <f>([1]计划!J6-[1]计划!J7)</f>
        <v>0</v>
      </c>
      <c r="K11" s="77">
        <f>([1]计划!K6-[1]计划!K7)</f>
        <v>0</v>
      </c>
      <c r="L11" s="77">
        <f>([1]计划!L6-[1]计划!L7)</f>
        <v>0</v>
      </c>
      <c r="M11" s="79">
        <f t="shared" si="2"/>
        <v>0</v>
      </c>
    </row>
    <row r="12" spans="1:13" s="60" customFormat="1" ht="15" customHeight="1">
      <c r="A12" s="73">
        <v>2.2000000000000002</v>
      </c>
      <c r="B12" s="79" t="s">
        <v>120</v>
      </c>
      <c r="C12" s="77">
        <f>[1]计划!C8</f>
        <v>0</v>
      </c>
      <c r="D12" s="77">
        <f>[1]计划!D8</f>
        <v>0</v>
      </c>
      <c r="E12" s="77">
        <f>[1]计划!E8</f>
        <v>0</v>
      </c>
      <c r="F12" s="77">
        <f>[1]计划!F8</f>
        <v>0</v>
      </c>
      <c r="G12" s="77">
        <f>[1]计划!G8</f>
        <v>0</v>
      </c>
      <c r="H12" s="77">
        <f>[1]计划!H8</f>
        <v>0</v>
      </c>
      <c r="I12" s="77">
        <f>[1]计划!I8</f>
        <v>0</v>
      </c>
      <c r="J12" s="77">
        <f>[1]计划!J8</f>
        <v>0</v>
      </c>
      <c r="K12" s="77">
        <f>[1]计划!K8</f>
        <v>0</v>
      </c>
      <c r="L12" s="77">
        <f>[1]计划!L8</f>
        <v>0</v>
      </c>
      <c r="M12" s="79">
        <f t="shared" si="2"/>
        <v>0</v>
      </c>
    </row>
    <row r="13" spans="1:13" ht="15" customHeight="1">
      <c r="A13" s="73">
        <v>2.2999999999999998</v>
      </c>
      <c r="B13" s="76" t="s">
        <v>121</v>
      </c>
      <c r="C13" s="77">
        <f>[1]总成本!C22</f>
        <v>0</v>
      </c>
      <c r="D13" s="77">
        <f>[1]总成本!D22</f>
        <v>0</v>
      </c>
      <c r="E13" s="77">
        <f>[1]总成本!E22</f>
        <v>0</v>
      </c>
      <c r="F13" s="77">
        <f>[1]总成本!F22</f>
        <v>0</v>
      </c>
      <c r="G13" s="77">
        <f>[1]总成本!G22</f>
        <v>0</v>
      </c>
      <c r="H13" s="77">
        <f>[1]总成本!H22</f>
        <v>0</v>
      </c>
      <c r="I13" s="77">
        <f>[1]总成本!I22</f>
        <v>0</v>
      </c>
      <c r="J13" s="77">
        <f>[1]总成本!J22</f>
        <v>0</v>
      </c>
      <c r="K13" s="77">
        <f>[1]总成本!K22</f>
        <v>0</v>
      </c>
      <c r="L13" s="77">
        <f>[1]总成本!L22</f>
        <v>0</v>
      </c>
      <c r="M13" s="79">
        <f t="shared" si="2"/>
        <v>0</v>
      </c>
    </row>
    <row r="14" spans="1:13" ht="15" customHeight="1">
      <c r="A14" s="73">
        <v>2.4</v>
      </c>
      <c r="B14" s="76" t="s">
        <v>122</v>
      </c>
      <c r="C14" s="77">
        <f>[1]价格!D15</f>
        <v>0</v>
      </c>
      <c r="D14" s="77">
        <f>[1]价格!E15</f>
        <v>0</v>
      </c>
      <c r="E14" s="77">
        <f>[1]价格!F15</f>
        <v>0</v>
      </c>
      <c r="F14" s="77">
        <f>[1]价格!G15</f>
        <v>0</v>
      </c>
      <c r="G14" s="77">
        <f>[1]价格!H15</f>
        <v>0</v>
      </c>
      <c r="H14" s="77">
        <f>[1]价格!I15</f>
        <v>0</v>
      </c>
      <c r="I14" s="77">
        <f>[1]价格!J15</f>
        <v>0</v>
      </c>
      <c r="J14" s="77">
        <f>[1]价格!K15</f>
        <v>0</v>
      </c>
      <c r="K14" s="77">
        <f>[1]价格!L15</f>
        <v>0</v>
      </c>
      <c r="L14" s="77">
        <f>[1]价格!M15</f>
        <v>0</v>
      </c>
      <c r="M14" s="79">
        <f t="shared" si="2"/>
        <v>0</v>
      </c>
    </row>
    <row r="15" spans="1:13" ht="15" customHeight="1">
      <c r="A15" s="73">
        <v>2.5</v>
      </c>
      <c r="B15" s="76" t="s">
        <v>53</v>
      </c>
      <c r="C15" s="77">
        <f>[1]利润!C13</f>
        <v>0</v>
      </c>
      <c r="D15" s="77">
        <f>[1]利润!D13</f>
        <v>0</v>
      </c>
      <c r="E15" s="77">
        <f>[1]利润!E13</f>
        <v>0</v>
      </c>
      <c r="F15" s="77">
        <f>[1]利润!F13</f>
        <v>0</v>
      </c>
      <c r="G15" s="77">
        <f>[1]利润!G13</f>
        <v>0</v>
      </c>
      <c r="H15" s="77">
        <f>[1]利润!H13</f>
        <v>0</v>
      </c>
      <c r="I15" s="77">
        <f>[1]利润!I13</f>
        <v>0</v>
      </c>
      <c r="J15" s="77">
        <f>[1]利润!J13</f>
        <v>0</v>
      </c>
      <c r="K15" s="77">
        <f>[1]利润!K13</f>
        <v>0</v>
      </c>
      <c r="L15" s="77">
        <f>[1]利润!L13</f>
        <v>0</v>
      </c>
      <c r="M15" s="79">
        <f t="shared" si="2"/>
        <v>0</v>
      </c>
    </row>
    <row r="16" spans="1:13" ht="15" customHeight="1">
      <c r="A16" s="73">
        <v>2.6</v>
      </c>
      <c r="B16" s="76" t="s">
        <v>123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9">
        <f t="shared" si="2"/>
        <v>0</v>
      </c>
    </row>
    <row r="17" spans="1:18" ht="12">
      <c r="A17" s="73">
        <v>3</v>
      </c>
      <c r="B17" s="74" t="s">
        <v>124</v>
      </c>
      <c r="C17" s="75">
        <f t="shared" ref="C17:L17" si="4">C5-C10</f>
        <v>0</v>
      </c>
      <c r="D17" s="75">
        <f t="shared" si="4"/>
        <v>0</v>
      </c>
      <c r="E17" s="75" t="e">
        <f t="shared" si="4"/>
        <v>#REF!</v>
      </c>
      <c r="F17" s="75">
        <f t="shared" si="4"/>
        <v>342239.92920353985</v>
      </c>
      <c r="G17" s="75">
        <f t="shared" si="4"/>
        <v>467041.69911504426</v>
      </c>
      <c r="H17" s="75">
        <f t="shared" si="4"/>
        <v>0</v>
      </c>
      <c r="I17" s="75" t="e">
        <f t="shared" si="4"/>
        <v>#REF!</v>
      </c>
      <c r="J17" s="75" t="e">
        <f t="shared" si="4"/>
        <v>#REF!</v>
      </c>
      <c r="K17" s="75" t="e">
        <f t="shared" si="4"/>
        <v>#REF!</v>
      </c>
      <c r="L17" s="75">
        <f t="shared" si="4"/>
        <v>2137934.654867257</v>
      </c>
      <c r="M17" s="79" t="e">
        <f t="shared" si="2"/>
        <v>#REF!</v>
      </c>
    </row>
    <row r="18" spans="1:18" ht="12">
      <c r="A18" s="80">
        <v>4</v>
      </c>
      <c r="B18" s="76" t="s">
        <v>125</v>
      </c>
      <c r="C18" s="77">
        <f>C17</f>
        <v>0</v>
      </c>
      <c r="D18" s="77">
        <f t="shared" ref="D18:L18" si="5">C18+D17</f>
        <v>0</v>
      </c>
      <c r="E18" s="77" t="e">
        <f t="shared" si="5"/>
        <v>#REF!</v>
      </c>
      <c r="F18" s="77" t="e">
        <f t="shared" si="5"/>
        <v>#REF!</v>
      </c>
      <c r="G18" s="77" t="e">
        <f t="shared" si="5"/>
        <v>#REF!</v>
      </c>
      <c r="H18" s="77" t="e">
        <f t="shared" si="5"/>
        <v>#REF!</v>
      </c>
      <c r="I18" s="77" t="e">
        <f t="shared" si="5"/>
        <v>#REF!</v>
      </c>
      <c r="J18" s="77" t="e">
        <f t="shared" si="5"/>
        <v>#REF!</v>
      </c>
      <c r="K18" s="77" t="e">
        <f t="shared" si="5"/>
        <v>#REF!</v>
      </c>
      <c r="L18" s="77" t="e">
        <f t="shared" si="5"/>
        <v>#REF!</v>
      </c>
      <c r="M18" s="76" t="s">
        <v>116</v>
      </c>
    </row>
    <row r="19" spans="1:18" s="60" customFormat="1" ht="12">
      <c r="A19" s="80">
        <v>5</v>
      </c>
      <c r="B19" s="76" t="s">
        <v>126</v>
      </c>
      <c r="C19" s="77">
        <f t="shared" ref="C19:L19" si="6">C17+C15</f>
        <v>0</v>
      </c>
      <c r="D19" s="77">
        <f t="shared" si="6"/>
        <v>0</v>
      </c>
      <c r="E19" s="77" t="e">
        <f t="shared" si="6"/>
        <v>#REF!</v>
      </c>
      <c r="F19" s="77">
        <f t="shared" si="6"/>
        <v>342239.92920353985</v>
      </c>
      <c r="G19" s="77">
        <f t="shared" si="6"/>
        <v>467041.69911504426</v>
      </c>
      <c r="H19" s="77">
        <f t="shared" si="6"/>
        <v>0</v>
      </c>
      <c r="I19" s="77" t="e">
        <f t="shared" si="6"/>
        <v>#REF!</v>
      </c>
      <c r="J19" s="77" t="e">
        <f t="shared" si="6"/>
        <v>#REF!</v>
      </c>
      <c r="K19" s="77" t="e">
        <f t="shared" si="6"/>
        <v>#REF!</v>
      </c>
      <c r="L19" s="77">
        <f t="shared" si="6"/>
        <v>2137934.654867257</v>
      </c>
      <c r="M19" s="79" t="e">
        <f>SUM(C19:L19)</f>
        <v>#REF!</v>
      </c>
    </row>
    <row r="20" spans="1:18" s="60" customFormat="1" ht="12">
      <c r="A20" s="73">
        <v>6</v>
      </c>
      <c r="B20" s="76" t="s">
        <v>127</v>
      </c>
      <c r="C20" s="77">
        <f>C19</f>
        <v>0</v>
      </c>
      <c r="D20" s="77">
        <f t="shared" ref="D20:L20" si="7">C20+D19</f>
        <v>0</v>
      </c>
      <c r="E20" s="77" t="e">
        <f t="shared" si="7"/>
        <v>#REF!</v>
      </c>
      <c r="F20" s="77" t="e">
        <f t="shared" si="7"/>
        <v>#REF!</v>
      </c>
      <c r="G20" s="77" t="e">
        <f t="shared" si="7"/>
        <v>#REF!</v>
      </c>
      <c r="H20" s="77" t="e">
        <f t="shared" si="7"/>
        <v>#REF!</v>
      </c>
      <c r="I20" s="77" t="e">
        <f t="shared" si="7"/>
        <v>#REF!</v>
      </c>
      <c r="J20" s="77" t="e">
        <f t="shared" si="7"/>
        <v>#REF!</v>
      </c>
      <c r="K20" s="77" t="e">
        <f t="shared" si="7"/>
        <v>#REF!</v>
      </c>
      <c r="L20" s="77" t="e">
        <f t="shared" si="7"/>
        <v>#REF!</v>
      </c>
      <c r="M20" s="76" t="s">
        <v>116</v>
      </c>
    </row>
    <row r="21" spans="1:18" ht="12">
      <c r="A21" s="81"/>
      <c r="B21" s="82" t="s">
        <v>128</v>
      </c>
      <c r="C21" s="82"/>
      <c r="D21" s="82"/>
      <c r="E21" s="82" t="s">
        <v>129</v>
      </c>
      <c r="F21" s="82"/>
      <c r="G21" s="82"/>
      <c r="H21" s="82"/>
      <c r="I21" s="82" t="s">
        <v>130</v>
      </c>
      <c r="J21" s="82"/>
      <c r="K21" s="82"/>
      <c r="L21" s="82"/>
      <c r="M21" s="93"/>
    </row>
    <row r="22" spans="1:18" ht="12">
      <c r="A22" s="83"/>
      <c r="B22" s="84" t="s">
        <v>131</v>
      </c>
      <c r="C22" s="84"/>
      <c r="D22" s="85" t="s">
        <v>132</v>
      </c>
      <c r="E22" s="86" t="e">
        <f>IRR(C17:L17,0.15)</f>
        <v>#VALUE!</v>
      </c>
      <c r="F22" s="84"/>
      <c r="G22" s="84"/>
      <c r="H22" s="84"/>
      <c r="I22" s="86" t="e">
        <f>IRR(C19:L19,0.15)</f>
        <v>#VALUE!</v>
      </c>
      <c r="J22" s="84"/>
      <c r="K22" s="84"/>
      <c r="L22" s="84"/>
      <c r="M22" s="94"/>
    </row>
    <row r="23" spans="1:18" ht="12">
      <c r="A23" s="83"/>
      <c r="B23" s="84" t="s">
        <v>133</v>
      </c>
      <c r="C23" s="84"/>
      <c r="D23" s="84"/>
      <c r="E23" s="87" t="e">
        <f>NPV(0.12,C17:L17)</f>
        <v>#REF!</v>
      </c>
      <c r="F23" s="84"/>
      <c r="G23" s="84"/>
      <c r="H23" s="84"/>
      <c r="I23" s="87" t="e">
        <f>NPV(0.12,C19:L19)</f>
        <v>#REF!</v>
      </c>
      <c r="J23" s="84"/>
      <c r="K23" s="84"/>
      <c r="L23" s="84"/>
      <c r="M23" s="94"/>
      <c r="R23" s="61">
        <f>30.9-29.82</f>
        <v>1.0799999999999983</v>
      </c>
    </row>
    <row r="24" spans="1:18" ht="12">
      <c r="A24" s="88"/>
      <c r="B24" s="89" t="s">
        <v>134</v>
      </c>
      <c r="C24" s="89"/>
      <c r="D24" s="89"/>
      <c r="E24" s="90" t="e">
        <f>6-H18/I17</f>
        <v>#REF!</v>
      </c>
      <c r="F24" s="89"/>
      <c r="G24" s="89"/>
      <c r="H24" s="89"/>
      <c r="I24" s="90" t="e">
        <f>6-H20/I19</f>
        <v>#REF!</v>
      </c>
      <c r="J24" s="89"/>
      <c r="K24" s="89"/>
      <c r="L24" s="89"/>
      <c r="M24" s="95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9" activePane="bottomRight" state="frozen"/>
      <selection pane="topRight"/>
      <selection pane="bottomLeft"/>
      <selection pane="bottomRight" activeCell="H35" sqref="H35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4" width="9" style="36"/>
    <col min="35" max="35" width="4.375" style="36" customWidth="1"/>
    <col min="36" max="36" width="13.875" style="36" customWidth="1"/>
    <col min="37" max="16384" width="9" style="36"/>
  </cols>
  <sheetData>
    <row r="1" spans="1:37">
      <c r="A1" s="235" t="s">
        <v>135</v>
      </c>
      <c r="B1" s="235"/>
      <c r="C1" s="239" t="s">
        <v>234</v>
      </c>
      <c r="D1" s="240"/>
      <c r="E1" s="240"/>
      <c r="F1" s="240"/>
      <c r="G1" s="240"/>
      <c r="H1" s="240"/>
      <c r="I1" s="240"/>
      <c r="J1" s="240"/>
      <c r="K1" s="241"/>
    </row>
    <row r="2" spans="1:37">
      <c r="A2" s="235" t="s">
        <v>136</v>
      </c>
      <c r="B2" s="235"/>
      <c r="C2" s="242" t="s">
        <v>268</v>
      </c>
      <c r="D2" s="242"/>
      <c r="E2" s="242"/>
      <c r="F2" s="242"/>
      <c r="G2" s="242"/>
      <c r="H2" s="242"/>
      <c r="I2" s="242"/>
      <c r="J2" s="242"/>
      <c r="K2" s="242"/>
    </row>
    <row r="3" spans="1:37">
      <c r="A3" s="235" t="s">
        <v>137</v>
      </c>
      <c r="B3" s="235"/>
      <c r="C3" s="146" t="str">
        <f>销量!C5</f>
        <v>驾驶员座椅总成</v>
      </c>
      <c r="D3" s="146" t="str">
        <f>销量!D5</f>
        <v>驾驶员座椅总成</v>
      </c>
      <c r="E3" s="146" t="str">
        <f>销量!E5</f>
        <v>驾驶员座椅总成</v>
      </c>
      <c r="F3" s="146" t="str">
        <f>销量!F5</f>
        <v>副驾驶员座椅总成</v>
      </c>
      <c r="G3" s="146" t="str">
        <f>销量!G5</f>
        <v>副驾驶员座椅总成</v>
      </c>
      <c r="H3" s="146">
        <f>销量!H5</f>
        <v>0</v>
      </c>
      <c r="I3" s="146">
        <f>销量!I5</f>
        <v>0</v>
      </c>
      <c r="J3" s="146">
        <f>销量!J5</f>
        <v>0</v>
      </c>
      <c r="K3" s="236" t="s">
        <v>14</v>
      </c>
    </row>
    <row r="4" spans="1:37">
      <c r="A4" s="235" t="s">
        <v>138</v>
      </c>
      <c r="B4" s="235"/>
      <c r="C4" s="146" t="str">
        <f>销量!C6</f>
        <v>L168100000539</v>
      </c>
      <c r="D4" s="146" t="str">
        <f>销量!D6</f>
        <v>L168100000540</v>
      </c>
      <c r="E4" s="146" t="str">
        <f>销量!E6</f>
        <v>L168100000541</v>
      </c>
      <c r="F4" s="146" t="str">
        <f>销量!F6</f>
        <v>L168100000425</v>
      </c>
      <c r="G4" s="146" t="str">
        <f>销量!G6</f>
        <v>L168100000426</v>
      </c>
      <c r="H4" s="146">
        <f>销量!H6</f>
        <v>0</v>
      </c>
      <c r="I4" s="146">
        <f>销量!I6</f>
        <v>0</v>
      </c>
      <c r="J4" s="146">
        <f>销量!J6</f>
        <v>0</v>
      </c>
      <c r="K4" s="237"/>
    </row>
    <row r="5" spans="1:37">
      <c r="A5" s="235" t="s">
        <v>139</v>
      </c>
      <c r="B5" s="235"/>
      <c r="C5" s="39"/>
      <c r="D5" s="39"/>
      <c r="E5" s="39"/>
      <c r="F5" s="39"/>
      <c r="G5" s="39"/>
      <c r="H5" s="39"/>
      <c r="I5" s="39"/>
      <c r="J5" s="39"/>
      <c r="K5" s="238"/>
      <c r="AK5" s="36" t="s">
        <v>15</v>
      </c>
    </row>
    <row r="6" spans="1:37" ht="17.25">
      <c r="A6" s="40" t="s">
        <v>13</v>
      </c>
      <c r="B6" s="41" t="s">
        <v>140</v>
      </c>
      <c r="C6" s="12">
        <f>销量!C10</f>
        <v>62</v>
      </c>
      <c r="D6" s="12">
        <f>销量!D10</f>
        <v>50</v>
      </c>
      <c r="E6" s="12">
        <f>销量!E10</f>
        <v>100</v>
      </c>
      <c r="F6" s="12">
        <f>销量!F10</f>
        <v>150</v>
      </c>
      <c r="G6" s="12">
        <f>销量!G10</f>
        <v>62</v>
      </c>
      <c r="H6" s="12">
        <f>销量!H10</f>
        <v>0</v>
      </c>
      <c r="I6" s="12">
        <f>销量!I10</f>
        <v>0</v>
      </c>
      <c r="J6" s="12">
        <f>销量!J10</f>
        <v>0</v>
      </c>
      <c r="K6" s="42">
        <f t="shared" ref="K6:K15" si="0">SUM(C6:J6)</f>
        <v>424</v>
      </c>
      <c r="AI6" s="40" t="s">
        <v>13</v>
      </c>
      <c r="AJ6" s="41" t="s">
        <v>3</v>
      </c>
      <c r="AK6" s="36" t="s">
        <v>16</v>
      </c>
    </row>
    <row r="7" spans="1:37">
      <c r="A7" s="38">
        <v>1</v>
      </c>
      <c r="B7" s="41" t="s">
        <v>17</v>
      </c>
      <c r="C7" s="42">
        <f>C6*销量!C8</f>
        <v>32426.548672566372</v>
      </c>
      <c r="D7" s="42">
        <f>D6*销量!D8</f>
        <v>27787.610619469029</v>
      </c>
      <c r="E7" s="42">
        <f>E6*销量!E8</f>
        <v>123539.82300884956</v>
      </c>
      <c r="F7" s="42">
        <f>F6*销量!F8</f>
        <v>120366.37168141594</v>
      </c>
      <c r="G7" s="42">
        <f>G6*销量!G8</f>
        <v>38119.575221238942</v>
      </c>
      <c r="H7" s="42"/>
      <c r="I7" s="42">
        <f>I6*销量!I8</f>
        <v>0</v>
      </c>
      <c r="J7" s="42">
        <f>J6*销量!J8</f>
        <v>0</v>
      </c>
      <c r="K7" s="42">
        <f t="shared" si="0"/>
        <v>342239.92920353985</v>
      </c>
      <c r="L7" s="37"/>
      <c r="AI7" s="40" t="s">
        <v>18</v>
      </c>
      <c r="AJ7" s="41" t="s">
        <v>17</v>
      </c>
      <c r="AK7" s="36" t="s">
        <v>16</v>
      </c>
    </row>
    <row r="8" spans="1:37">
      <c r="A8" s="38">
        <v>2</v>
      </c>
      <c r="B8" s="38" t="s">
        <v>19</v>
      </c>
      <c r="C8" s="42"/>
      <c r="D8" s="42"/>
      <c r="E8" s="42"/>
      <c r="F8" s="42"/>
      <c r="G8" s="42"/>
      <c r="H8" s="42"/>
      <c r="I8" s="42"/>
      <c r="J8" s="42"/>
      <c r="K8" s="42">
        <f t="shared" si="0"/>
        <v>0</v>
      </c>
      <c r="L8" s="57"/>
      <c r="AI8" s="40" t="s">
        <v>20</v>
      </c>
      <c r="AJ8" s="38" t="s">
        <v>21</v>
      </c>
      <c r="AK8" s="36" t="s">
        <v>16</v>
      </c>
    </row>
    <row r="9" spans="1:37">
      <c r="A9" s="38">
        <v>3</v>
      </c>
      <c r="B9" s="41" t="s">
        <v>22</v>
      </c>
      <c r="C9" s="42">
        <f>+C7-C8</f>
        <v>32426.548672566372</v>
      </c>
      <c r="D9" s="42">
        <f t="shared" ref="D9:J9" si="1">+D7-D8</f>
        <v>27787.610619469029</v>
      </c>
      <c r="E9" s="42">
        <f t="shared" si="1"/>
        <v>123539.82300884956</v>
      </c>
      <c r="F9" s="42">
        <f t="shared" si="1"/>
        <v>120366.37168141594</v>
      </c>
      <c r="G9" s="42">
        <f t="shared" si="1"/>
        <v>38119.575221238942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342239.92920353985</v>
      </c>
      <c r="AI9" s="40" t="s">
        <v>23</v>
      </c>
      <c r="AJ9" s="41" t="s">
        <v>22</v>
      </c>
      <c r="AK9" s="36" t="s">
        <v>24</v>
      </c>
    </row>
    <row r="10" spans="1:37">
      <c r="A10" s="38">
        <v>4</v>
      </c>
      <c r="B10" s="40" t="s">
        <v>25</v>
      </c>
      <c r="C10" s="42">
        <f>C6*C33</f>
        <v>29041.88924932681</v>
      </c>
      <c r="D10" s="42">
        <f>D6*D33</f>
        <v>43176.481140876458</v>
      </c>
      <c r="E10" s="42">
        <f t="shared" ref="E10:J10" si="2">E6*E33</f>
        <v>125590.7578817529</v>
      </c>
      <c r="F10" s="42">
        <f t="shared" si="2"/>
        <v>90146.387955822473</v>
      </c>
      <c r="G10" s="42">
        <f t="shared" si="2"/>
        <v>33731.144621739957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321686.66084951861</v>
      </c>
      <c r="AI10" s="40" t="s">
        <v>26</v>
      </c>
      <c r="AJ10" s="40" t="s">
        <v>25</v>
      </c>
      <c r="AK10" s="36" t="s">
        <v>27</v>
      </c>
    </row>
    <row r="11" spans="1:37">
      <c r="A11" s="38">
        <v>5</v>
      </c>
      <c r="B11" s="40" t="s">
        <v>28</v>
      </c>
      <c r="C11" s="42">
        <f>+C6*C36</f>
        <v>1885.2989998548269</v>
      </c>
      <c r="D11" s="42">
        <f t="shared" ref="D11:J11" si="3">+D6*D36</f>
        <v>1615.588357497996</v>
      </c>
      <c r="E11" s="42">
        <f t="shared" si="3"/>
        <v>7182.6794492586059</v>
      </c>
      <c r="F11" s="42">
        <f t="shared" si="3"/>
        <v>6998.1730846093133</v>
      </c>
      <c r="G11" s="42">
        <f t="shared" si="3"/>
        <v>2216.2949799308622</v>
      </c>
      <c r="H11" s="42"/>
      <c r="I11" s="42">
        <f t="shared" si="3"/>
        <v>0</v>
      </c>
      <c r="J11" s="42">
        <f t="shared" si="3"/>
        <v>0</v>
      </c>
      <c r="K11" s="42">
        <f t="shared" si="0"/>
        <v>19898.034871151605</v>
      </c>
      <c r="AI11" s="40" t="s">
        <v>29</v>
      </c>
      <c r="AJ11" s="40" t="s">
        <v>28</v>
      </c>
    </row>
    <row r="12" spans="1:37">
      <c r="A12" s="38">
        <v>6</v>
      </c>
      <c r="B12" s="40" t="s">
        <v>30</v>
      </c>
      <c r="C12" s="42">
        <f>+C6*C37</f>
        <v>585.89445416590058</v>
      </c>
      <c r="D12" s="42">
        <f t="shared" ref="D12:J12" si="4">+D6*D37</f>
        <v>502.07646582635437</v>
      </c>
      <c r="E12" s="42">
        <f t="shared" si="4"/>
        <v>2232.1616123999706</v>
      </c>
      <c r="F12" s="42">
        <f t="shared" si="4"/>
        <v>2174.8225612390374</v>
      </c>
      <c r="G12" s="42">
        <f t="shared" si="4"/>
        <v>688.75808963841132</v>
      </c>
      <c r="H12" s="42"/>
      <c r="I12" s="42">
        <f t="shared" si="4"/>
        <v>0</v>
      </c>
      <c r="J12" s="42">
        <f t="shared" si="4"/>
        <v>0</v>
      </c>
      <c r="K12" s="42">
        <f t="shared" si="0"/>
        <v>6183.7131832696741</v>
      </c>
      <c r="AI12" s="40" t="s">
        <v>31</v>
      </c>
      <c r="AJ12" s="40" t="s">
        <v>30</v>
      </c>
    </row>
    <row r="13" spans="1:37">
      <c r="A13" s="38">
        <v>7</v>
      </c>
      <c r="B13" s="40" t="s">
        <v>32</v>
      </c>
      <c r="C13" s="42">
        <f>+C6*C38</f>
        <v>324.26548672566372</v>
      </c>
      <c r="D13" s="42">
        <f t="shared" ref="D13:J13" si="5">+D6*D38</f>
        <v>277.87610619469029</v>
      </c>
      <c r="E13" s="42">
        <f t="shared" si="5"/>
        <v>1235.3982300884957</v>
      </c>
      <c r="F13" s="42">
        <f t="shared" si="5"/>
        <v>1203.6637168141594</v>
      </c>
      <c r="G13" s="42">
        <f t="shared" si="5"/>
        <v>381.19575221238944</v>
      </c>
      <c r="H13" s="42"/>
      <c r="I13" s="42">
        <f t="shared" si="5"/>
        <v>0</v>
      </c>
      <c r="J13" s="42">
        <f t="shared" si="5"/>
        <v>0</v>
      </c>
      <c r="K13" s="42">
        <f t="shared" si="0"/>
        <v>3422.3992920353985</v>
      </c>
      <c r="AI13" s="40" t="s">
        <v>33</v>
      </c>
      <c r="AJ13" s="40" t="s">
        <v>32</v>
      </c>
      <c r="AK13" s="36" t="s">
        <v>16</v>
      </c>
    </row>
    <row r="14" spans="1:37">
      <c r="A14" s="38">
        <v>8</v>
      </c>
      <c r="B14" s="43" t="s">
        <v>34</v>
      </c>
      <c r="C14" s="42">
        <f>SUM(C11:C13)</f>
        <v>2795.4589407463914</v>
      </c>
      <c r="D14" s="42">
        <f t="shared" ref="D14:J14" si="6">SUM(D11:D13)</f>
        <v>2395.5409295190407</v>
      </c>
      <c r="E14" s="42">
        <f t="shared" si="6"/>
        <v>10650.239291747073</v>
      </c>
      <c r="F14" s="42">
        <f t="shared" si="6"/>
        <v>10376.659362662509</v>
      </c>
      <c r="G14" s="42">
        <f t="shared" si="6"/>
        <v>3286.2488217816626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29504.147346456681</v>
      </c>
      <c r="AI14" s="40" t="s">
        <v>35</v>
      </c>
      <c r="AJ14" s="43" t="s">
        <v>34</v>
      </c>
    </row>
    <row r="15" spans="1:37">
      <c r="A15" s="38">
        <v>9</v>
      </c>
      <c r="B15" s="43" t="s">
        <v>36</v>
      </c>
      <c r="C15" s="42">
        <f>+C9-C10-C14</f>
        <v>589.20048249317051</v>
      </c>
      <c r="D15" s="42">
        <f t="shared" ref="D15:J15" si="7">+D9-D10-D14</f>
        <v>-17784.411450926469</v>
      </c>
      <c r="E15" s="42">
        <f t="shared" si="7"/>
        <v>-12701.174164650411</v>
      </c>
      <c r="F15" s="42">
        <f t="shared" si="7"/>
        <v>19843.324362930958</v>
      </c>
      <c r="G15" s="42">
        <f t="shared" si="7"/>
        <v>1102.1817777173219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-8950.878992435426</v>
      </c>
      <c r="AI15" s="40" t="s">
        <v>37</v>
      </c>
      <c r="AJ15" s="43" t="s">
        <v>36</v>
      </c>
    </row>
    <row r="16" spans="1:37">
      <c r="A16" s="38">
        <v>10</v>
      </c>
      <c r="B16" s="40" t="s">
        <v>38</v>
      </c>
      <c r="C16" s="44">
        <f>+C15/C9</f>
        <v>1.817031126077405E-2</v>
      </c>
      <c r="D16" s="44">
        <f t="shared" ref="D16:J16" si="8">+D15/D9</f>
        <v>-0.64001225922123917</v>
      </c>
      <c r="E16" s="44">
        <f t="shared" si="8"/>
        <v>-0.10281036394022181</v>
      </c>
      <c r="F16" s="44">
        <f t="shared" si="8"/>
        <v>0.16485770972188143</v>
      </c>
      <c r="G16" s="44">
        <f t="shared" si="8"/>
        <v>2.8913800096681649E-2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-2.6153812657879798E-2</v>
      </c>
      <c r="AI16" s="40" t="s">
        <v>39</v>
      </c>
      <c r="AJ16" s="40" t="s">
        <v>38</v>
      </c>
    </row>
    <row r="17" spans="1:37">
      <c r="A17" s="38">
        <v>11</v>
      </c>
      <c r="B17" s="40" t="s">
        <v>40</v>
      </c>
      <c r="C17" s="42">
        <f>C6*C43+C18</f>
        <v>1459.1946902654868</v>
      </c>
      <c r="D17" s="42">
        <f t="shared" ref="D17:J17" si="10">D6*D43+D18</f>
        <v>1250.4424778761063</v>
      </c>
      <c r="E17" s="42">
        <f t="shared" si="10"/>
        <v>5559.2920353982299</v>
      </c>
      <c r="F17" s="42">
        <f t="shared" si="10"/>
        <v>5416.4867256637172</v>
      </c>
      <c r="G17" s="42">
        <f t="shared" si="10"/>
        <v>1715.3808849557524</v>
      </c>
      <c r="H17" s="42"/>
      <c r="I17" s="42">
        <f t="shared" si="10"/>
        <v>0</v>
      </c>
      <c r="J17" s="42">
        <f t="shared" si="10"/>
        <v>0</v>
      </c>
      <c r="K17" s="42">
        <f>SUM(C17:J17)</f>
        <v>15400.796814159292</v>
      </c>
      <c r="AI17" s="40" t="s">
        <v>41</v>
      </c>
      <c r="AJ17" s="40" t="s">
        <v>40</v>
      </c>
    </row>
    <row r="18" spans="1:37" s="34" customFormat="1">
      <c r="A18" s="38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153" t="s">
        <v>142</v>
      </c>
      <c r="M18" s="153"/>
      <c r="N18" s="36"/>
    </row>
    <row r="19" spans="1:37">
      <c r="A19" s="38">
        <v>13</v>
      </c>
      <c r="B19" s="40" t="s">
        <v>42</v>
      </c>
      <c r="C19" s="42">
        <f>C6*C44</f>
        <v>256.16973451327436</v>
      </c>
      <c r="D19" s="42">
        <f t="shared" ref="D19:J19" si="12">D6*D44</f>
        <v>219.52212389380534</v>
      </c>
      <c r="E19" s="42">
        <f t="shared" si="12"/>
        <v>975.96460176991172</v>
      </c>
      <c r="F19" s="42">
        <f t="shared" si="12"/>
        <v>950.89433628318602</v>
      </c>
      <c r="G19" s="42">
        <f t="shared" si="12"/>
        <v>301.14464424778765</v>
      </c>
      <c r="H19" s="42"/>
      <c r="I19" s="42">
        <f t="shared" si="12"/>
        <v>0</v>
      </c>
      <c r="J19" s="42">
        <f t="shared" si="12"/>
        <v>0</v>
      </c>
      <c r="K19" s="42">
        <f>SUM(C19:J19)</f>
        <v>2703.6954407079652</v>
      </c>
      <c r="AI19" s="40" t="s">
        <v>43</v>
      </c>
      <c r="AJ19" s="40" t="s">
        <v>42</v>
      </c>
      <c r="AK19" s="36" t="s">
        <v>16</v>
      </c>
    </row>
    <row r="20" spans="1:37">
      <c r="A20" s="38">
        <v>14</v>
      </c>
      <c r="B20" s="40" t="s">
        <v>44</v>
      </c>
      <c r="C20" s="42">
        <f>C6*C45</f>
        <v>1315.32812305729</v>
      </c>
      <c r="D20" s="42">
        <f t="shared" ref="D20:J20" si="13">D6*D45</f>
        <v>1127.1574440259515</v>
      </c>
      <c r="E20" s="42">
        <f t="shared" si="13"/>
        <v>5011.1840505102809</v>
      </c>
      <c r="F20" s="42">
        <f t="shared" si="13"/>
        <v>4882.4583627944503</v>
      </c>
      <c r="G20" s="42">
        <f t="shared" si="13"/>
        <v>1546.2561197551317</v>
      </c>
      <c r="H20" s="42"/>
      <c r="I20" s="42">
        <f t="shared" si="13"/>
        <v>0</v>
      </c>
      <c r="J20" s="42">
        <f t="shared" si="13"/>
        <v>0</v>
      </c>
      <c r="K20" s="42">
        <f>SUM(C20:J20)</f>
        <v>13882.384100143105</v>
      </c>
      <c r="AI20" s="40" t="s">
        <v>45</v>
      </c>
      <c r="AJ20" s="40" t="s">
        <v>44</v>
      </c>
    </row>
    <row r="21" spans="1:37">
      <c r="A21" s="38">
        <v>15</v>
      </c>
      <c r="B21" s="40" t="s">
        <v>46</v>
      </c>
      <c r="C21" s="47">
        <f>$K$21/$K$6*C6</f>
        <v>0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/>
      <c r="I21" s="47">
        <f t="shared" si="14"/>
        <v>0</v>
      </c>
      <c r="J21" s="47">
        <f t="shared" si="14"/>
        <v>0</v>
      </c>
      <c r="K21" s="42">
        <f>项目投资!D27</f>
        <v>0</v>
      </c>
      <c r="AI21" s="40"/>
      <c r="AJ21" s="40"/>
    </row>
    <row r="22" spans="1:37">
      <c r="A22" s="38">
        <v>16</v>
      </c>
      <c r="B22" s="40" t="s">
        <v>47</v>
      </c>
      <c r="C22" s="42">
        <f>C6*C47</f>
        <v>690.68548672566362</v>
      </c>
      <c r="D22" s="42">
        <f t="shared" ref="D22:J22" si="15">D6*D47</f>
        <v>591.87610619469035</v>
      </c>
      <c r="E22" s="42">
        <f t="shared" si="15"/>
        <v>2631.3982300884954</v>
      </c>
      <c r="F22" s="42">
        <f t="shared" si="15"/>
        <v>2563.8037168141595</v>
      </c>
      <c r="G22" s="42">
        <f t="shared" si="15"/>
        <v>811.94695221238953</v>
      </c>
      <c r="H22" s="42"/>
      <c r="I22" s="42">
        <f t="shared" si="15"/>
        <v>0</v>
      </c>
      <c r="J22" s="42">
        <f t="shared" si="15"/>
        <v>0</v>
      </c>
      <c r="K22" s="42">
        <f>SUM(C22:J22)</f>
        <v>7289.7104920353977</v>
      </c>
      <c r="AI22" s="40" t="s">
        <v>48</v>
      </c>
      <c r="AJ22" s="40" t="s">
        <v>47</v>
      </c>
    </row>
    <row r="23" spans="1:37">
      <c r="A23" s="38">
        <v>17</v>
      </c>
      <c r="B23" s="43" t="s">
        <v>49</v>
      </c>
      <c r="C23" s="47">
        <f>+C22+C21+C20+C19+C17</f>
        <v>3721.3780345617147</v>
      </c>
      <c r="D23" s="47">
        <f t="shared" ref="D23:J23" si="16">+D22+D21+D20+D19+D17</f>
        <v>3188.9981519905532</v>
      </c>
      <c r="E23" s="47">
        <f t="shared" si="16"/>
        <v>14177.838917766918</v>
      </c>
      <c r="F23" s="47">
        <f t="shared" si="16"/>
        <v>13813.643141555514</v>
      </c>
      <c r="G23" s="47">
        <f t="shared" si="16"/>
        <v>4374.7286011710612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39276.586847045757</v>
      </c>
      <c r="AI23" s="40" t="s">
        <v>50</v>
      </c>
      <c r="AJ23" s="43" t="s">
        <v>49</v>
      </c>
    </row>
    <row r="24" spans="1:37">
      <c r="A24" s="38">
        <v>18</v>
      </c>
      <c r="B24" s="48" t="s">
        <v>51</v>
      </c>
      <c r="C24" s="47">
        <f>+C15-C23</f>
        <v>-3132.1775520685442</v>
      </c>
      <c r="D24" s="47">
        <f t="shared" ref="D24:J24" si="18">+D15-D23</f>
        <v>-20973.409602917021</v>
      </c>
      <c r="E24" s="47">
        <f t="shared" si="18"/>
        <v>-26879.013082417328</v>
      </c>
      <c r="F24" s="47">
        <f t="shared" si="18"/>
        <v>6029.6812213754438</v>
      </c>
      <c r="G24" s="47">
        <f t="shared" si="18"/>
        <v>-3272.5468234537393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-48227.465839481185</v>
      </c>
      <c r="M24" s="59"/>
      <c r="AI24" s="40" t="s">
        <v>52</v>
      </c>
      <c r="AJ24" s="40" t="s">
        <v>51</v>
      </c>
    </row>
    <row r="25" spans="1:37">
      <c r="A25" s="38">
        <v>19</v>
      </c>
      <c r="B25" s="40" t="s">
        <v>230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904.45218320631659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AI25" s="40" t="s">
        <v>54</v>
      </c>
      <c r="AJ25" s="40" t="s">
        <v>53</v>
      </c>
    </row>
    <row r="26" spans="1:37">
      <c r="A26" s="38">
        <v>20</v>
      </c>
      <c r="B26" s="40" t="s">
        <v>55</v>
      </c>
      <c r="C26" s="47">
        <f t="shared" ref="C26" si="21">C24-C25</f>
        <v>-3132.1775520685442</v>
      </c>
      <c r="D26" s="47">
        <f t="shared" ref="D26:J26" si="22">D24-D25</f>
        <v>-20973.409602917021</v>
      </c>
      <c r="E26" s="47">
        <f t="shared" si="22"/>
        <v>-26879.013082417328</v>
      </c>
      <c r="F26" s="47">
        <f t="shared" si="22"/>
        <v>5125.2290381691273</v>
      </c>
      <c r="G26" s="47">
        <f t="shared" si="22"/>
        <v>-3272.5468234537393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-48227.465839481185</v>
      </c>
      <c r="L26" s="55"/>
      <c r="M26" s="55"/>
      <c r="N26" s="55"/>
      <c r="AI26" s="40" t="s">
        <v>56</v>
      </c>
      <c r="AJ26" s="40" t="s">
        <v>55</v>
      </c>
    </row>
    <row r="27" spans="1:37">
      <c r="A27" s="38">
        <v>21</v>
      </c>
      <c r="B27" s="40" t="s">
        <v>59</v>
      </c>
      <c r="C27" s="49">
        <f t="shared" ref="C27:K27" si="23">C26/C7</f>
        <v>-9.6592998030605726E-2</v>
      </c>
      <c r="D27" s="49">
        <f t="shared" ref="D27:J27" si="24">D26/D7</f>
        <v>-0.75477556851261884</v>
      </c>
      <c r="E27" s="49">
        <f t="shared" si="24"/>
        <v>-0.21757367323160157</v>
      </c>
      <c r="F27" s="49">
        <f t="shared" si="24"/>
        <v>4.2580240365926399E-2</v>
      </c>
      <c r="G27" s="49">
        <f t="shared" si="24"/>
        <v>-8.5849509194698123E-2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-0.14091712194925957</v>
      </c>
      <c r="L27" s="55"/>
      <c r="M27" s="55"/>
      <c r="N27" s="55"/>
      <c r="AI27" s="40" t="s">
        <v>58</v>
      </c>
      <c r="AJ27" s="40" t="s">
        <v>59</v>
      </c>
    </row>
    <row r="28" spans="1:37">
      <c r="L28" s="55"/>
      <c r="M28" s="55"/>
      <c r="N28" s="55"/>
    </row>
    <row r="29" spans="1:37">
      <c r="A29" s="36" t="s">
        <v>60</v>
      </c>
      <c r="K29" s="37" t="s">
        <v>143</v>
      </c>
      <c r="L29" s="55"/>
      <c r="M29" s="55"/>
      <c r="N29" s="55"/>
      <c r="AI29" s="36" t="s">
        <v>60</v>
      </c>
    </row>
    <row r="30" spans="1:37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I30" s="40" t="s">
        <v>63</v>
      </c>
      <c r="AJ30" s="43" t="s">
        <v>62</v>
      </c>
    </row>
    <row r="31" spans="1:37">
      <c r="A31" s="50">
        <v>1</v>
      </c>
      <c r="B31" s="45" t="s">
        <v>64</v>
      </c>
      <c r="C31" s="51">
        <f>销量!C8</f>
        <v>523.00884955752213</v>
      </c>
      <c r="D31" s="51">
        <f>销量!D8</f>
        <v>555.75221238938059</v>
      </c>
      <c r="E31" s="51">
        <f>销量!E8</f>
        <v>1235.3982300884957</v>
      </c>
      <c r="F31" s="51">
        <f>销量!F8</f>
        <v>802.4424778761063</v>
      </c>
      <c r="G31" s="51">
        <f>销量!G8</f>
        <v>614.83185840707972</v>
      </c>
      <c r="H31" s="51" t="str">
        <f>销量!H8</f>
        <v>含到诸城运费，不含到长沙运费</v>
      </c>
      <c r="I31" s="51">
        <f>销量!I8</f>
        <v>0</v>
      </c>
      <c r="J31" s="51">
        <f>销量!J8</f>
        <v>0</v>
      </c>
      <c r="K31" s="47"/>
      <c r="L31" s="55"/>
      <c r="M31" s="55"/>
      <c r="N31" s="55"/>
      <c r="P31" s="55"/>
      <c r="AI31" s="40" t="s">
        <v>18</v>
      </c>
      <c r="AJ31" s="40" t="s">
        <v>64</v>
      </c>
    </row>
    <row r="32" spans="1:37">
      <c r="A32" s="50">
        <v>2</v>
      </c>
      <c r="B32" s="40" t="s">
        <v>144</v>
      </c>
      <c r="C32" s="42">
        <f>C31*1</f>
        <v>523.00884955752213</v>
      </c>
      <c r="D32" s="42">
        <f t="shared" ref="D32:J32" si="25">D31*1</f>
        <v>555.75221238938059</v>
      </c>
      <c r="E32" s="42">
        <f t="shared" si="25"/>
        <v>1235.3982300884957</v>
      </c>
      <c r="F32" s="42">
        <f t="shared" si="25"/>
        <v>802.4424778761063</v>
      </c>
      <c r="G32" s="42">
        <f t="shared" si="25"/>
        <v>614.83185840707972</v>
      </c>
      <c r="H32" s="42" t="e">
        <f t="shared" si="25"/>
        <v>#VALUE!</v>
      </c>
      <c r="I32" s="42">
        <f t="shared" si="25"/>
        <v>0</v>
      </c>
      <c r="J32" s="42">
        <f t="shared" si="25"/>
        <v>0</v>
      </c>
      <c r="K32" s="47"/>
      <c r="L32" s="55"/>
      <c r="M32" s="55"/>
      <c r="N32" s="55"/>
      <c r="O32" s="55"/>
      <c r="P32" s="55"/>
      <c r="Q32" s="55"/>
      <c r="R32" s="55"/>
      <c r="AI32" s="40"/>
      <c r="AJ32" s="40"/>
    </row>
    <row r="33" spans="1:36">
      <c r="A33" s="50">
        <v>3</v>
      </c>
      <c r="B33" s="45" t="s">
        <v>65</v>
      </c>
      <c r="C33" s="184">
        <f>材料成本!E20</f>
        <v>468.41756853752918</v>
      </c>
      <c r="D33" s="184">
        <f>材料成本!E21</f>
        <v>863.52962281752923</v>
      </c>
      <c r="E33" s="184">
        <f>材料成本!E22</f>
        <v>1255.9075788175289</v>
      </c>
      <c r="F33" s="184">
        <f>材料成本!E23</f>
        <v>600.97591970548319</v>
      </c>
      <c r="G33" s="184">
        <f>材料成本!E24</f>
        <v>544.05071970548317</v>
      </c>
      <c r="H33" s="184"/>
      <c r="I33" s="184"/>
      <c r="J33" s="184"/>
      <c r="K33" s="47"/>
      <c r="M33" s="55"/>
      <c r="N33" s="55"/>
      <c r="O33" s="55"/>
      <c r="P33" s="55"/>
      <c r="Q33" s="55"/>
      <c r="R33" s="55"/>
      <c r="AI33" s="40" t="s">
        <v>20</v>
      </c>
      <c r="AJ33" s="40" t="s">
        <v>65</v>
      </c>
    </row>
    <row r="34" spans="1:36" ht="17.25" customHeight="1">
      <c r="A34" s="50">
        <v>4</v>
      </c>
      <c r="B34" s="40" t="s">
        <v>67</v>
      </c>
      <c r="C34" s="52">
        <f>C32-C33</f>
        <v>54.591281019992948</v>
      </c>
      <c r="D34" s="52">
        <f t="shared" ref="D34:J34" si="26">D32-D33</f>
        <v>-307.77741042814864</v>
      </c>
      <c r="E34" s="52">
        <f t="shared" si="26"/>
        <v>-20.509348729033263</v>
      </c>
      <c r="F34" s="52">
        <f t="shared" si="26"/>
        <v>201.4665581706231</v>
      </c>
      <c r="G34" s="52">
        <f t="shared" si="26"/>
        <v>70.781138701596547</v>
      </c>
      <c r="H34" s="52" t="e">
        <f t="shared" si="26"/>
        <v>#VALUE!</v>
      </c>
      <c r="I34" s="52">
        <f t="shared" si="26"/>
        <v>0</v>
      </c>
      <c r="J34" s="52">
        <f t="shared" si="26"/>
        <v>0</v>
      </c>
      <c r="K34" s="47"/>
      <c r="M34" s="55"/>
      <c r="N34" s="55"/>
      <c r="O34" s="55"/>
      <c r="P34" s="55"/>
      <c r="Q34" s="55"/>
      <c r="R34" s="55"/>
      <c r="AI34" s="40" t="s">
        <v>66</v>
      </c>
      <c r="AJ34" s="40" t="s">
        <v>67</v>
      </c>
    </row>
    <row r="35" spans="1:36">
      <c r="A35" s="40" t="s">
        <v>63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AI35" s="40" t="s">
        <v>69</v>
      </c>
      <c r="AJ35" s="43" t="s">
        <v>8</v>
      </c>
    </row>
    <row r="36" spans="1:36">
      <c r="A36" s="50">
        <v>1</v>
      </c>
      <c r="B36" s="40" t="s">
        <v>70</v>
      </c>
      <c r="C36" s="46">
        <f>标准成本!D4</f>
        <v>30.408048384755272</v>
      </c>
      <c r="D36" s="46">
        <f>标准成本!D18</f>
        <v>32.31176714995992</v>
      </c>
      <c r="E36" s="46">
        <f>标准成本!D32</f>
        <v>71.82679449258606</v>
      </c>
      <c r="F36" s="46">
        <f>标准成本!D45</f>
        <v>46.654487230728755</v>
      </c>
      <c r="G36" s="46">
        <f>标准成本!D58</f>
        <v>35.746693224691327</v>
      </c>
      <c r="H36" s="46" t="e">
        <f>标准成本!D71</f>
        <v>#VALUE!</v>
      </c>
      <c r="I36" s="46">
        <f>标准成本!D84</f>
        <v>0</v>
      </c>
      <c r="J36" s="46">
        <f>标准成本!D97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AI36" s="40" t="s">
        <v>66</v>
      </c>
      <c r="AJ36" s="40" t="s">
        <v>70</v>
      </c>
    </row>
    <row r="37" spans="1:36">
      <c r="A37" s="50">
        <v>2</v>
      </c>
      <c r="B37" s="40" t="s">
        <v>71</v>
      </c>
      <c r="C37" s="46">
        <f>标准成本!D6</f>
        <v>9.4499105510629118</v>
      </c>
      <c r="D37" s="46">
        <f>标准成本!D20</f>
        <v>10.041529316527088</v>
      </c>
      <c r="E37" s="46">
        <f>标准成本!D34</f>
        <v>22.321616123999707</v>
      </c>
      <c r="F37" s="46">
        <f>标准成本!D47</f>
        <v>14.498817074926915</v>
      </c>
      <c r="G37" s="46">
        <f>标准成本!D60</f>
        <v>11.109001445780828</v>
      </c>
      <c r="H37" s="46" t="e">
        <f>标准成本!D73</f>
        <v>#VALUE!</v>
      </c>
      <c r="I37" s="46">
        <f>标准成本!D86</f>
        <v>0</v>
      </c>
      <c r="J37" s="46">
        <f>标准成本!D99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AI37" s="40" t="s">
        <v>23</v>
      </c>
      <c r="AJ37" s="40" t="s">
        <v>71</v>
      </c>
    </row>
    <row r="38" spans="1:36">
      <c r="A38" s="50">
        <v>3</v>
      </c>
      <c r="B38" s="40" t="s">
        <v>72</v>
      </c>
      <c r="C38" s="46">
        <f>标准成本!D10</f>
        <v>5.2300884955752212</v>
      </c>
      <c r="D38" s="46">
        <f>标准成本!D24</f>
        <v>5.557522123893806</v>
      </c>
      <c r="E38" s="46">
        <f>标准成本!D38</f>
        <v>12.353982300884956</v>
      </c>
      <c r="F38" s="46">
        <f>标准成本!D51</f>
        <v>8.0244247787610625</v>
      </c>
      <c r="G38" s="46">
        <f>标准成本!D64</f>
        <v>6.1483185840707977</v>
      </c>
      <c r="H38" s="46" t="e">
        <f>标准成本!D77</f>
        <v>#VALUE!</v>
      </c>
      <c r="I38" s="46">
        <f>标准成本!D90</f>
        <v>0</v>
      </c>
      <c r="J38" s="46">
        <f>标准成本!D103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AI38" s="40" t="s">
        <v>29</v>
      </c>
      <c r="AJ38" s="40" t="s">
        <v>72</v>
      </c>
    </row>
    <row r="39" spans="1:36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I39" s="40" t="s">
        <v>73</v>
      </c>
      <c r="AJ39" s="43" t="s">
        <v>74</v>
      </c>
    </row>
    <row r="40" spans="1:36">
      <c r="A40" s="50">
        <v>1</v>
      </c>
      <c r="B40" s="40" t="s">
        <v>75</v>
      </c>
      <c r="C40" s="47">
        <f>C34-C36-C37-C38</f>
        <v>9.5032335885995423</v>
      </c>
      <c r="D40" s="47">
        <f t="shared" ref="D40:J40" si="27">D34-D36-D37-D38</f>
        <v>-355.68822901852946</v>
      </c>
      <c r="E40" s="47">
        <f t="shared" si="27"/>
        <v>-127.01174164650398</v>
      </c>
      <c r="F40" s="47">
        <f t="shared" si="27"/>
        <v>132.28882908620636</v>
      </c>
      <c r="G40" s="47">
        <f t="shared" si="27"/>
        <v>17.777125447053596</v>
      </c>
      <c r="H40" s="47" t="e">
        <f t="shared" si="27"/>
        <v>#VALUE!</v>
      </c>
      <c r="I40" s="47">
        <f t="shared" si="27"/>
        <v>0</v>
      </c>
      <c r="J40" s="47">
        <f t="shared" si="27"/>
        <v>0</v>
      </c>
      <c r="K40" s="47"/>
      <c r="AI40" s="40" t="s">
        <v>18</v>
      </c>
      <c r="AJ40" s="40" t="s">
        <v>75</v>
      </c>
    </row>
    <row r="41" spans="1:36">
      <c r="A41" s="50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I41" s="40" t="s">
        <v>20</v>
      </c>
      <c r="AJ41" s="40" t="s">
        <v>76</v>
      </c>
    </row>
    <row r="42" spans="1:36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I42" s="40" t="s">
        <v>77</v>
      </c>
      <c r="AJ42" s="43" t="s">
        <v>78</v>
      </c>
    </row>
    <row r="43" spans="1:36">
      <c r="A43" s="50">
        <v>1</v>
      </c>
      <c r="B43" s="48" t="s">
        <v>79</v>
      </c>
      <c r="C43" s="46">
        <f>标准成本!D5</f>
        <v>23.535398230088497</v>
      </c>
      <c r="D43" s="46">
        <f>标准成本!D19</f>
        <v>25.008849557522126</v>
      </c>
      <c r="E43" s="46">
        <f>标准成本!D33</f>
        <v>55.592920353982301</v>
      </c>
      <c r="F43" s="46">
        <f>标准成本!D46</f>
        <v>36.10991150442478</v>
      </c>
      <c r="G43" s="46">
        <f>标准成本!D59</f>
        <v>27.667433628318587</v>
      </c>
      <c r="H43" s="46" t="e">
        <f>标准成本!D72</f>
        <v>#VALUE!</v>
      </c>
      <c r="I43" s="46">
        <f>标准成本!D85</f>
        <v>0</v>
      </c>
      <c r="J43" s="46">
        <f>标准成本!D98</f>
        <v>0</v>
      </c>
      <c r="K43" s="47"/>
      <c r="AI43" s="40" t="s">
        <v>18</v>
      </c>
      <c r="AJ43" s="40" t="s">
        <v>79</v>
      </c>
    </row>
    <row r="44" spans="1:36">
      <c r="A44" s="50">
        <v>2</v>
      </c>
      <c r="B44" s="48" t="s">
        <v>80</v>
      </c>
      <c r="C44" s="46">
        <f>标准成本!D9</f>
        <v>4.1317699115044251</v>
      </c>
      <c r="D44" s="46">
        <f>标准成本!D23</f>
        <v>4.3904424778761069</v>
      </c>
      <c r="E44" s="46">
        <f>标准成本!D37</f>
        <v>9.7596460176991169</v>
      </c>
      <c r="F44" s="46">
        <f>标准成本!D50</f>
        <v>6.3392955752212403</v>
      </c>
      <c r="G44" s="46">
        <f>标准成本!D63</f>
        <v>4.85717168141593</v>
      </c>
      <c r="H44" s="46" t="e">
        <f>标准成本!D76</f>
        <v>#VALUE!</v>
      </c>
      <c r="I44" s="46">
        <f>标准成本!D89</f>
        <v>0</v>
      </c>
      <c r="J44" s="46">
        <f>标准成本!D102</f>
        <v>0</v>
      </c>
      <c r="K44" s="47"/>
      <c r="AI44" s="40" t="s">
        <v>20</v>
      </c>
      <c r="AJ44" s="40" t="s">
        <v>80</v>
      </c>
    </row>
    <row r="45" spans="1:36">
      <c r="A45" s="50">
        <v>3</v>
      </c>
      <c r="B45" s="48" t="s">
        <v>81</v>
      </c>
      <c r="C45" s="46">
        <f>标准成本!D8</f>
        <v>21.214969726730484</v>
      </c>
      <c r="D45" s="46">
        <f>标准成本!D22</f>
        <v>22.543148880519027</v>
      </c>
      <c r="E45" s="46">
        <f>标准成本!D36</f>
        <v>50.111840505102805</v>
      </c>
      <c r="F45" s="46">
        <f>标准成本!D49</f>
        <v>32.549722418629671</v>
      </c>
      <c r="G45" s="46">
        <f>标准成本!D62</f>
        <v>24.939614834760189</v>
      </c>
      <c r="H45" s="46" t="e">
        <f>标准成本!D75</f>
        <v>#VALUE!</v>
      </c>
      <c r="I45" s="46">
        <f>标准成本!D88</f>
        <v>0</v>
      </c>
      <c r="J45" s="46">
        <f>标准成本!D101</f>
        <v>0</v>
      </c>
      <c r="K45" s="47"/>
      <c r="AI45" s="40" t="s">
        <v>66</v>
      </c>
      <c r="AJ45" s="40" t="s">
        <v>81</v>
      </c>
    </row>
    <row r="46" spans="1:36" s="35" customFormat="1">
      <c r="A46" s="50">
        <v>4</v>
      </c>
      <c r="B46" s="48" t="s">
        <v>82</v>
      </c>
      <c r="C46" s="53">
        <f>C21/C6</f>
        <v>0</v>
      </c>
      <c r="D46" s="53">
        <f t="shared" ref="D46:J46" si="28">D21/D6</f>
        <v>0</v>
      </c>
      <c r="E46" s="53">
        <f t="shared" si="28"/>
        <v>0</v>
      </c>
      <c r="F46" s="53">
        <f t="shared" si="28"/>
        <v>0</v>
      </c>
      <c r="G46" s="53">
        <f t="shared" si="28"/>
        <v>0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AI46" s="48" t="s">
        <v>26</v>
      </c>
      <c r="AJ46" s="48" t="s">
        <v>84</v>
      </c>
    </row>
    <row r="47" spans="1:36" s="35" customFormat="1">
      <c r="A47" s="50">
        <v>5</v>
      </c>
      <c r="B47" s="48" t="s">
        <v>84</v>
      </c>
      <c r="C47" s="46">
        <f>标准成本!D11</f>
        <v>11.14008849557522</v>
      </c>
      <c r="D47" s="46">
        <f>标准成本!D25</f>
        <v>11.837522123893807</v>
      </c>
      <c r="E47" s="46">
        <f>标准成本!D39</f>
        <v>26.313982300884955</v>
      </c>
      <c r="F47" s="46">
        <f>标准成本!D52</f>
        <v>17.092024778761065</v>
      </c>
      <c r="G47" s="46">
        <f>标准成本!D65</f>
        <v>13.095918584070798</v>
      </c>
      <c r="H47" s="46" t="e">
        <f>标准成本!D78</f>
        <v>#VALUE!</v>
      </c>
      <c r="I47" s="46">
        <f>标准成本!D91</f>
        <v>0</v>
      </c>
      <c r="J47" s="46">
        <f>标准成本!D104</f>
        <v>0</v>
      </c>
      <c r="K47" s="53"/>
      <c r="AI47" s="48" t="s">
        <v>26</v>
      </c>
      <c r="AJ47" s="48" t="s">
        <v>84</v>
      </c>
    </row>
    <row r="48" spans="1:36">
      <c r="A48" s="40" t="s">
        <v>77</v>
      </c>
      <c r="B48" s="43" t="s">
        <v>95</v>
      </c>
      <c r="C48" s="47">
        <f>C40-C43-C44-C45-C47-C46</f>
        <v>-50.518992775299083</v>
      </c>
      <c r="D48" s="47">
        <f t="shared" ref="D48:J48" si="29">D40-D43-D44-D45-D47-D46</f>
        <v>-419.46819205834049</v>
      </c>
      <c r="E48" s="47">
        <f t="shared" si="29"/>
        <v>-268.79013082417316</v>
      </c>
      <c r="F48" s="47">
        <f t="shared" si="29"/>
        <v>40.197874809169598</v>
      </c>
      <c r="G48" s="47">
        <f t="shared" si="29"/>
        <v>-52.783013281511913</v>
      </c>
      <c r="H48" s="47" t="e">
        <f t="shared" si="29"/>
        <v>#VALUE!</v>
      </c>
      <c r="I48" s="47" t="e">
        <f t="shared" si="29"/>
        <v>#DIV/0!</v>
      </c>
      <c r="J48" s="47" t="e">
        <f t="shared" si="29"/>
        <v>#DIV/0!</v>
      </c>
      <c r="K48" s="47"/>
      <c r="AI48" s="40" t="s">
        <v>94</v>
      </c>
      <c r="AJ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4:B4"/>
    <mergeCell ref="A5:B5"/>
    <mergeCell ref="K3:K5"/>
    <mergeCell ref="A1:B1"/>
    <mergeCell ref="C1:K1"/>
    <mergeCell ref="A2:B2"/>
    <mergeCell ref="C2:K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0" activePane="bottomRight" state="frozen"/>
      <selection pane="topRight"/>
      <selection pane="bottomLeft"/>
      <selection pane="bottomRight" activeCell="J7" sqref="J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35" t="s">
        <v>135</v>
      </c>
      <c r="B1" s="235"/>
      <c r="C1" s="239" t="s">
        <v>233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福田长沙汽车厂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6" t="str">
        <f>'2023年'!C3</f>
        <v>驾驶员座椅总成</v>
      </c>
      <c r="D3" s="146" t="str">
        <f>'2023年'!D3</f>
        <v>驾驶员座椅总成</v>
      </c>
      <c r="E3" s="146" t="str">
        <f>'2023年'!E3</f>
        <v>驾驶员座椅总成</v>
      </c>
      <c r="F3" s="146" t="str">
        <f>'2023年'!F3</f>
        <v>副驾驶员座椅总成</v>
      </c>
      <c r="G3" s="146" t="str">
        <f>'2023年'!G3</f>
        <v>副驾驶员座椅总成</v>
      </c>
      <c r="H3" s="146">
        <f>'2023年'!H3</f>
        <v>0</v>
      </c>
      <c r="I3" s="146">
        <f>'2023年'!I3</f>
        <v>0</v>
      </c>
      <c r="J3" s="146">
        <f>'2023年'!J3</f>
        <v>0</v>
      </c>
      <c r="K3" s="236" t="s">
        <v>14</v>
      </c>
    </row>
    <row r="4" spans="1:40">
      <c r="A4" s="235" t="s">
        <v>138</v>
      </c>
      <c r="B4" s="235"/>
      <c r="C4" s="146" t="str">
        <f>'2023年'!C4</f>
        <v>L168100000539</v>
      </c>
      <c r="D4" s="146" t="str">
        <f>'2023年'!D4</f>
        <v>L168100000540</v>
      </c>
      <c r="E4" s="146" t="str">
        <f>'2023年'!E4</f>
        <v>L168100000541</v>
      </c>
      <c r="F4" s="146" t="str">
        <f>'2023年'!F4</f>
        <v>L168100000425</v>
      </c>
      <c r="G4" s="146" t="str">
        <f>'2023年'!G4</f>
        <v>L168100000426</v>
      </c>
      <c r="H4" s="146">
        <f>'2023年'!H4</f>
        <v>0</v>
      </c>
      <c r="I4" s="146">
        <f>'2023年'!I4</f>
        <v>0</v>
      </c>
      <c r="J4" s="146">
        <f>'2023年'!J4</f>
        <v>0</v>
      </c>
      <c r="K4" s="237"/>
    </row>
    <row r="5" spans="1:40">
      <c r="A5" s="235" t="s">
        <v>139</v>
      </c>
      <c r="B5" s="235"/>
      <c r="C5" s="39"/>
      <c r="D5" s="39"/>
      <c r="E5" s="39"/>
      <c r="F5" s="39"/>
      <c r="G5" s="39"/>
      <c r="H5" s="39"/>
      <c r="I5" s="39"/>
      <c r="J5" s="39"/>
      <c r="K5" s="238"/>
      <c r="AN5" s="36" t="s">
        <v>15</v>
      </c>
    </row>
    <row r="6" spans="1:40" ht="17.25">
      <c r="A6" s="40" t="s">
        <v>13</v>
      </c>
      <c r="B6" s="41" t="s">
        <v>140</v>
      </c>
      <c r="C6" s="12">
        <f>销量!C11</f>
        <v>112</v>
      </c>
      <c r="D6" s="12">
        <f>销量!D11</f>
        <v>100</v>
      </c>
      <c r="E6" s="12">
        <f>销量!E11</f>
        <v>100</v>
      </c>
      <c r="F6" s="12">
        <f>销量!F11</f>
        <v>200</v>
      </c>
      <c r="G6" s="12">
        <f>销量!G11</f>
        <v>112</v>
      </c>
      <c r="H6" s="12">
        <f>销量!H11</f>
        <v>0</v>
      </c>
      <c r="I6" s="12">
        <f>销量!I11</f>
        <v>0</v>
      </c>
      <c r="J6" s="12">
        <f>销量!J11</f>
        <v>0</v>
      </c>
      <c r="K6" s="42">
        <f t="shared" ref="K6:K15" si="0">SUM(C6:J6)</f>
        <v>624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5">
        <v>1</v>
      </c>
      <c r="B7" s="41" t="s">
        <v>17</v>
      </c>
      <c r="C7" s="42">
        <f>C6*销量!C8</f>
        <v>58576.991150442482</v>
      </c>
      <c r="D7" s="42">
        <f>D6*销量!D8</f>
        <v>55575.221238938058</v>
      </c>
      <c r="E7" s="42">
        <f>E6*销量!E8</f>
        <v>123539.82300884956</v>
      </c>
      <c r="F7" s="42">
        <f>F6*销量!F8</f>
        <v>160488.49557522126</v>
      </c>
      <c r="G7" s="42">
        <f>G6*销量!G8</f>
        <v>68861.168141592934</v>
      </c>
      <c r="H7" s="42"/>
      <c r="I7" s="42">
        <f>I6*销量!I8</f>
        <v>0</v>
      </c>
      <c r="J7" s="42">
        <f>J6*销量!J8</f>
        <v>0</v>
      </c>
      <c r="K7" s="42">
        <f>SUM(C7:J7)</f>
        <v>467041.69911504426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5">
        <v>2</v>
      </c>
      <c r="B8" s="145" t="s">
        <v>19</v>
      </c>
      <c r="C8" s="42">
        <f>C7*(1-销量!$O$7)</f>
        <v>0</v>
      </c>
      <c r="D8" s="42">
        <f>D7*(1-销量!$O$7)</f>
        <v>0</v>
      </c>
      <c r="E8" s="42">
        <f>E7*(1-销量!$O$7)</f>
        <v>0</v>
      </c>
      <c r="F8" s="42">
        <f>F7*(1-销量!$O$7)</f>
        <v>0</v>
      </c>
      <c r="G8" s="42">
        <f>G7*(1-销量!$O$7)</f>
        <v>0</v>
      </c>
      <c r="H8" s="42">
        <f>H7*(1-销量!$O$7)</f>
        <v>0</v>
      </c>
      <c r="I8" s="42">
        <f>I7*(1-销量!$O$7)</f>
        <v>0</v>
      </c>
      <c r="J8" s="42">
        <f>J7*(1-销量!$O$7)</f>
        <v>0</v>
      </c>
      <c r="K8" s="42">
        <f t="shared" si="0"/>
        <v>0</v>
      </c>
      <c r="L8" s="57"/>
      <c r="V8" s="145" t="s">
        <v>21</v>
      </c>
      <c r="AL8" s="40" t="s">
        <v>20</v>
      </c>
      <c r="AM8" s="145" t="s">
        <v>21</v>
      </c>
      <c r="AN8" s="36" t="s">
        <v>16</v>
      </c>
    </row>
    <row r="9" spans="1:40">
      <c r="A9" s="145">
        <v>3</v>
      </c>
      <c r="B9" s="41" t="s">
        <v>22</v>
      </c>
      <c r="C9" s="42">
        <f>+C7-C8</f>
        <v>58576.991150442482</v>
      </c>
      <c r="D9" s="42">
        <f t="shared" ref="D9:J9" si="1">+D7-D8</f>
        <v>55575.221238938058</v>
      </c>
      <c r="E9" s="42">
        <f t="shared" si="1"/>
        <v>123539.82300884956</v>
      </c>
      <c r="F9" s="42">
        <f t="shared" si="1"/>
        <v>160488.49557522126</v>
      </c>
      <c r="G9" s="42">
        <f t="shared" si="1"/>
        <v>68861.168141592934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467041.69911504426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5">
        <v>4</v>
      </c>
      <c r="B10" s="40" t="s">
        <v>25</v>
      </c>
      <c r="C10" s="42">
        <f>C6*C33</f>
        <v>52462.767676203264</v>
      </c>
      <c r="D10" s="42">
        <f t="shared" ref="D10:J10" si="2">D6*D33</f>
        <v>85489.432658935388</v>
      </c>
      <c r="E10" s="42">
        <f t="shared" si="2"/>
        <v>124334.85030293536</v>
      </c>
      <c r="F10" s="42">
        <f t="shared" si="2"/>
        <v>118993.23210168569</v>
      </c>
      <c r="G10" s="42">
        <f t="shared" si="2"/>
        <v>60324.343800943978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441604.62654070364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5">
        <v>5</v>
      </c>
      <c r="B11" s="40" t="s">
        <v>28</v>
      </c>
      <c r="C11" s="42">
        <f>+C6*C36</f>
        <v>3405.7014190925906</v>
      </c>
      <c r="D11" s="42">
        <f t="shared" ref="D11:J11" si="3">+D6*D36</f>
        <v>3231.1767149959919</v>
      </c>
      <c r="E11" s="42">
        <f t="shared" si="3"/>
        <v>7182.6794492586059</v>
      </c>
      <c r="F11" s="42">
        <f t="shared" si="3"/>
        <v>9330.897446145751</v>
      </c>
      <c r="G11" s="42">
        <f t="shared" si="3"/>
        <v>4003.6296411654284</v>
      </c>
      <c r="H11" s="42"/>
      <c r="I11" s="42">
        <f t="shared" si="3"/>
        <v>0</v>
      </c>
      <c r="J11" s="42">
        <f t="shared" si="3"/>
        <v>0</v>
      </c>
      <c r="K11" s="42">
        <f t="shared" si="0"/>
        <v>27154.084670658369</v>
      </c>
      <c r="V11" s="40" t="s">
        <v>28</v>
      </c>
      <c r="AL11" s="40" t="s">
        <v>29</v>
      </c>
      <c r="AM11" s="40" t="s">
        <v>28</v>
      </c>
    </row>
    <row r="12" spans="1:40">
      <c r="A12" s="145">
        <v>6</v>
      </c>
      <c r="B12" s="40" t="s">
        <v>30</v>
      </c>
      <c r="C12" s="42">
        <f>+C6*C37</f>
        <v>1058.3899817190461</v>
      </c>
      <c r="D12" s="42">
        <f t="shared" ref="D12:J12" si="4">+D6*D37</f>
        <v>1004.1529316527087</v>
      </c>
      <c r="E12" s="42">
        <f t="shared" si="4"/>
        <v>2232.1616123999706</v>
      </c>
      <c r="F12" s="42">
        <f t="shared" si="4"/>
        <v>2899.763414985383</v>
      </c>
      <c r="G12" s="42">
        <f t="shared" si="4"/>
        <v>1244.2081619274527</v>
      </c>
      <c r="H12" s="42"/>
      <c r="I12" s="42">
        <f t="shared" si="4"/>
        <v>0</v>
      </c>
      <c r="J12" s="42">
        <f t="shared" si="4"/>
        <v>0</v>
      </c>
      <c r="K12" s="42">
        <f t="shared" si="0"/>
        <v>8438.6761026845616</v>
      </c>
      <c r="V12" s="40" t="s">
        <v>30</v>
      </c>
      <c r="AL12" s="40" t="s">
        <v>31</v>
      </c>
      <c r="AM12" s="40" t="s">
        <v>30</v>
      </c>
    </row>
    <row r="13" spans="1:40">
      <c r="A13" s="145">
        <v>7</v>
      </c>
      <c r="B13" s="40" t="s">
        <v>32</v>
      </c>
      <c r="C13" s="42">
        <f>+C6*C38</f>
        <v>585.76991150442473</v>
      </c>
      <c r="D13" s="42">
        <f t="shared" ref="D13:J13" si="5">+D6*D38</f>
        <v>555.75221238938059</v>
      </c>
      <c r="E13" s="42">
        <f t="shared" si="5"/>
        <v>1235.3982300884957</v>
      </c>
      <c r="F13" s="42">
        <f t="shared" si="5"/>
        <v>1604.8849557522126</v>
      </c>
      <c r="G13" s="42">
        <f t="shared" si="5"/>
        <v>688.6116814159293</v>
      </c>
      <c r="H13" s="42"/>
      <c r="I13" s="42">
        <f t="shared" si="5"/>
        <v>0</v>
      </c>
      <c r="J13" s="42">
        <f t="shared" si="5"/>
        <v>0</v>
      </c>
      <c r="K13" s="42">
        <f t="shared" si="0"/>
        <v>4670.4169911504432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5">
        <v>8</v>
      </c>
      <c r="B14" s="43" t="s">
        <v>34</v>
      </c>
      <c r="C14" s="42">
        <f>SUM(C11:C13)</f>
        <v>5049.8613123160612</v>
      </c>
      <c r="D14" s="42">
        <f t="shared" ref="D14:J14" si="6">SUM(D11:D13)</f>
        <v>4791.0818590380813</v>
      </c>
      <c r="E14" s="42">
        <f t="shared" si="6"/>
        <v>10650.239291747073</v>
      </c>
      <c r="F14" s="42">
        <f t="shared" si="6"/>
        <v>13835.545816883347</v>
      </c>
      <c r="G14" s="42">
        <f t="shared" si="6"/>
        <v>5936.4494845088111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40263.177764493368</v>
      </c>
      <c r="V14" s="43" t="s">
        <v>34</v>
      </c>
      <c r="AL14" s="40" t="s">
        <v>35</v>
      </c>
      <c r="AM14" s="43" t="s">
        <v>34</v>
      </c>
    </row>
    <row r="15" spans="1:40">
      <c r="A15" s="145">
        <v>9</v>
      </c>
      <c r="B15" s="43" t="s">
        <v>36</v>
      </c>
      <c r="C15" s="42">
        <f>+C9-C10-C14</f>
        <v>1064.3621619231562</v>
      </c>
      <c r="D15" s="42">
        <f t="shared" ref="D15:J15" si="7">+D9-D10-D14</f>
        <v>-34705.29327903541</v>
      </c>
      <c r="E15" s="42">
        <f t="shared" si="7"/>
        <v>-11445.266585832871</v>
      </c>
      <c r="F15" s="42">
        <f t="shared" si="7"/>
        <v>27659.717656652221</v>
      </c>
      <c r="G15" s="42">
        <f t="shared" si="7"/>
        <v>2600.3748561401453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-14826.105190152757</v>
      </c>
      <c r="V15" s="43" t="s">
        <v>36</v>
      </c>
      <c r="AL15" s="40" t="s">
        <v>37</v>
      </c>
      <c r="AM15" s="43" t="s">
        <v>36</v>
      </c>
    </row>
    <row r="16" spans="1:40">
      <c r="A16" s="145">
        <v>10</v>
      </c>
      <c r="B16" s="40" t="s">
        <v>38</v>
      </c>
      <c r="C16" s="44">
        <f>+C15/C9</f>
        <v>1.8170311260774209E-2</v>
      </c>
      <c r="D16" s="44">
        <f t="shared" ref="D16:J16" si="8">+D15/D9</f>
        <v>-0.62447422619920401</v>
      </c>
      <c r="E16" s="44">
        <f t="shared" si="8"/>
        <v>-9.2644349870996734E-2</v>
      </c>
      <c r="F16" s="44">
        <f t="shared" si="8"/>
        <v>0.17234704305448523</v>
      </c>
      <c r="G16" s="44">
        <f t="shared" si="8"/>
        <v>3.7762572525537642E-2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-3.1744714054966448E-2</v>
      </c>
      <c r="V16" s="40" t="s">
        <v>38</v>
      </c>
      <c r="AL16" s="40" t="s">
        <v>39</v>
      </c>
      <c r="AM16" s="40" t="s">
        <v>38</v>
      </c>
    </row>
    <row r="17" spans="1:40">
      <c r="A17" s="145">
        <v>11</v>
      </c>
      <c r="B17" s="40" t="s">
        <v>40</v>
      </c>
      <c r="C17" s="42">
        <f>C6*C43+C18</f>
        <v>2635.9646017699115</v>
      </c>
      <c r="D17" s="42">
        <f t="shared" ref="D17:J17" si="10">D6*D43+D18</f>
        <v>2500.8849557522126</v>
      </c>
      <c r="E17" s="42">
        <f t="shared" si="10"/>
        <v>5559.2920353982299</v>
      </c>
      <c r="F17" s="42">
        <f t="shared" si="10"/>
        <v>7221.9823008849562</v>
      </c>
      <c r="G17" s="42">
        <f t="shared" si="10"/>
        <v>3098.752566371682</v>
      </c>
      <c r="H17" s="42"/>
      <c r="I17" s="42">
        <f t="shared" si="10"/>
        <v>0</v>
      </c>
      <c r="J17" s="42">
        <f t="shared" si="10"/>
        <v>0</v>
      </c>
      <c r="K17" s="42">
        <f>SUM(C17:J17)</f>
        <v>21016.876460176991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5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5">
        <v>13</v>
      </c>
      <c r="B19" s="40" t="s">
        <v>42</v>
      </c>
      <c r="C19" s="42">
        <f>C6*C44</f>
        <v>462.75823008849562</v>
      </c>
      <c r="D19" s="42">
        <f t="shared" ref="D19:J19" si="12">D6*D44</f>
        <v>439.04424778761069</v>
      </c>
      <c r="E19" s="42">
        <f t="shared" si="12"/>
        <v>975.96460176991172</v>
      </c>
      <c r="F19" s="42">
        <f t="shared" si="12"/>
        <v>1267.859115044248</v>
      </c>
      <c r="G19" s="42">
        <f t="shared" si="12"/>
        <v>544.00322831858421</v>
      </c>
      <c r="H19" s="42"/>
      <c r="I19" s="42">
        <f t="shared" si="12"/>
        <v>0</v>
      </c>
      <c r="J19" s="42">
        <f t="shared" si="12"/>
        <v>0</v>
      </c>
      <c r="K19" s="42">
        <f>SUM(C19:J19)</f>
        <v>3689.6294230088502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5">
        <v>14</v>
      </c>
      <c r="B20" s="40" t="s">
        <v>44</v>
      </c>
      <c r="C20" s="42">
        <f>C6*C45</f>
        <v>2376.0766093938141</v>
      </c>
      <c r="D20" s="42">
        <f t="shared" ref="D20:J20" si="13">D6*D45</f>
        <v>2254.3148880519029</v>
      </c>
      <c r="E20" s="42">
        <f t="shared" si="13"/>
        <v>5011.1840505102809</v>
      </c>
      <c r="F20" s="42">
        <f t="shared" si="13"/>
        <v>6509.9444837259343</v>
      </c>
      <c r="G20" s="42">
        <f t="shared" si="13"/>
        <v>2793.2368614931411</v>
      </c>
      <c r="H20" s="42"/>
      <c r="I20" s="42">
        <f t="shared" si="13"/>
        <v>0</v>
      </c>
      <c r="J20" s="42">
        <f t="shared" si="13"/>
        <v>0</v>
      </c>
      <c r="K20" s="42">
        <f>SUM(C20:J20)</f>
        <v>18944.756893175072</v>
      </c>
      <c r="V20" s="40" t="s">
        <v>44</v>
      </c>
      <c r="AL20" s="40" t="s">
        <v>45</v>
      </c>
      <c r="AM20" s="40" t="s">
        <v>44</v>
      </c>
    </row>
    <row r="21" spans="1:40">
      <c r="A21" s="145">
        <v>15</v>
      </c>
      <c r="B21" s="40" t="s">
        <v>46</v>
      </c>
      <c r="C21" s="47">
        <f>$K$21/$K$6*C6</f>
        <v>0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/>
      <c r="I21" s="47">
        <f t="shared" si="14"/>
        <v>0</v>
      </c>
      <c r="J21" s="47">
        <f t="shared" si="14"/>
        <v>0</v>
      </c>
      <c r="K21" s="42">
        <f>项目投资!E27</f>
        <v>0</v>
      </c>
      <c r="V21" s="40" t="s">
        <v>46</v>
      </c>
      <c r="AL21" s="40"/>
      <c r="AM21" s="40"/>
    </row>
    <row r="22" spans="1:40">
      <c r="A22" s="145">
        <v>16</v>
      </c>
      <c r="B22" s="40" t="s">
        <v>47</v>
      </c>
      <c r="C22" s="42">
        <f>C6*C47</f>
        <v>1247.6899115044248</v>
      </c>
      <c r="D22" s="42">
        <f t="shared" ref="D22:J22" si="15">D6*D47</f>
        <v>1183.7522123893807</v>
      </c>
      <c r="E22" s="42">
        <f t="shared" si="15"/>
        <v>2631.3982300884954</v>
      </c>
      <c r="F22" s="42">
        <f t="shared" si="15"/>
        <v>3418.404955752213</v>
      </c>
      <c r="G22" s="42">
        <f t="shared" si="15"/>
        <v>1466.7428814159293</v>
      </c>
      <c r="H22" s="42"/>
      <c r="I22" s="42">
        <f t="shared" si="15"/>
        <v>0</v>
      </c>
      <c r="J22" s="42">
        <f t="shared" si="15"/>
        <v>0</v>
      </c>
      <c r="K22" s="42">
        <f>SUM(C22:J22)</f>
        <v>9947.9881911504417</v>
      </c>
      <c r="V22" s="40" t="s">
        <v>47</v>
      </c>
      <c r="AL22" s="40" t="s">
        <v>48</v>
      </c>
      <c r="AM22" s="40" t="s">
        <v>47</v>
      </c>
    </row>
    <row r="23" spans="1:40">
      <c r="A23" s="145">
        <v>17</v>
      </c>
      <c r="B23" s="43" t="s">
        <v>49</v>
      </c>
      <c r="C23" s="47">
        <f>+C22+C21+C20+C19+C17</f>
        <v>6722.4893527566455</v>
      </c>
      <c r="D23" s="47">
        <f t="shared" ref="D23:J23" si="16">+D22+D21+D20+D19+D17</f>
        <v>6377.9963039811064</v>
      </c>
      <c r="E23" s="47">
        <f t="shared" si="16"/>
        <v>14177.838917766918</v>
      </c>
      <c r="F23" s="47">
        <f t="shared" si="16"/>
        <v>18418.190855407353</v>
      </c>
      <c r="G23" s="47">
        <f t="shared" si="16"/>
        <v>7902.7355375993375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53599.250967511354</v>
      </c>
      <c r="V23" s="43" t="s">
        <v>49</v>
      </c>
      <c r="AL23" s="40" t="s">
        <v>50</v>
      </c>
      <c r="AM23" s="43" t="s">
        <v>49</v>
      </c>
    </row>
    <row r="24" spans="1:40">
      <c r="A24" s="145">
        <v>18</v>
      </c>
      <c r="B24" s="48" t="s">
        <v>51</v>
      </c>
      <c r="C24" s="47">
        <f>+C15-C23</f>
        <v>-5658.1271908334893</v>
      </c>
      <c r="D24" s="47">
        <f t="shared" ref="D24:J24" si="18">+D15-D23</f>
        <v>-41083.289583016514</v>
      </c>
      <c r="E24" s="47">
        <f t="shared" si="18"/>
        <v>-25623.105503599789</v>
      </c>
      <c r="F24" s="47">
        <f t="shared" si="18"/>
        <v>9241.5268012448687</v>
      </c>
      <c r="G24" s="47">
        <f t="shared" si="18"/>
        <v>-5302.3606814591922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-68425.356157664108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5">
        <v>19</v>
      </c>
      <c r="B25" s="40" t="s">
        <v>229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1386.2290201867302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5">
        <v>20</v>
      </c>
      <c r="B26" s="40" t="s">
        <v>55</v>
      </c>
      <c r="C26" s="47">
        <f t="shared" ref="C26" si="21">C24-C25</f>
        <v>-5658.1271908334893</v>
      </c>
      <c r="D26" s="47">
        <f t="shared" ref="D26:J26" si="22">D24-D25</f>
        <v>-41083.289583016514</v>
      </c>
      <c r="E26" s="47">
        <f t="shared" si="22"/>
        <v>-25623.105503599789</v>
      </c>
      <c r="F26" s="47">
        <f t="shared" si="22"/>
        <v>7855.2977810581388</v>
      </c>
      <c r="G26" s="47">
        <f t="shared" si="22"/>
        <v>-5302.3606814591922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K24-K25</f>
        <v>-68425.356157664108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5">
        <v>21</v>
      </c>
      <c r="B27" s="40" t="s">
        <v>59</v>
      </c>
      <c r="C27" s="49">
        <f t="shared" ref="C27:K27" si="23">C26/C7</f>
        <v>-9.6592998030605545E-2</v>
      </c>
      <c r="D27" s="49">
        <f t="shared" ref="D27:J27" si="24">D26/D7</f>
        <v>-0.73923753549058369</v>
      </c>
      <c r="E27" s="49">
        <f t="shared" si="24"/>
        <v>-0.2074076591623765</v>
      </c>
      <c r="F27" s="49">
        <f t="shared" si="24"/>
        <v>4.8946173698639642E-2</v>
      </c>
      <c r="G27" s="49">
        <f t="shared" si="24"/>
        <v>-7.700073676584214E-2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-0.14650802334634622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5">
        <v>1</v>
      </c>
      <c r="B31" s="45" t="s">
        <v>64</v>
      </c>
      <c r="C31" s="51">
        <f>'2023年'!C31</f>
        <v>523.00884955752213</v>
      </c>
      <c r="D31" s="51">
        <f>'2023年'!D31</f>
        <v>555.75221238938059</v>
      </c>
      <c r="E31" s="51">
        <f>'2023年'!E31</f>
        <v>1235.3982300884957</v>
      </c>
      <c r="F31" s="51">
        <f>'2023年'!F31</f>
        <v>802.4424778761063</v>
      </c>
      <c r="G31" s="51">
        <f>'2023年'!G31</f>
        <v>614.83185840707972</v>
      </c>
      <c r="H31" s="51" t="str">
        <f>'2023年'!H31</f>
        <v>含到诸城运费，不含到长沙运费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5">
        <v>2</v>
      </c>
      <c r="B32" s="40" t="s">
        <v>144</v>
      </c>
      <c r="C32" s="42">
        <f>C9/C6</f>
        <v>523.00884955752213</v>
      </c>
      <c r="D32" s="42">
        <f t="shared" ref="D32:J32" si="25">D9/D6</f>
        <v>555.75221238938059</v>
      </c>
      <c r="E32" s="42">
        <f t="shared" si="25"/>
        <v>1235.3982300884957</v>
      </c>
      <c r="F32" s="42">
        <f t="shared" si="25"/>
        <v>802.4424778761063</v>
      </c>
      <c r="G32" s="42">
        <f t="shared" si="25"/>
        <v>614.83185840707972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5">
        <v>3</v>
      </c>
      <c r="B33" s="45" t="s">
        <v>65</v>
      </c>
      <c r="C33" s="154">
        <f>材料成本!F20</f>
        <v>468.41756853752918</v>
      </c>
      <c r="D33" s="154">
        <f>'2023年'!D33*(1-0.01)</f>
        <v>854.89432658935391</v>
      </c>
      <c r="E33" s="154">
        <f>'2023年'!E33*(1-0.01)</f>
        <v>1243.3485030293537</v>
      </c>
      <c r="F33" s="154">
        <f>'2023年'!F33*(1-0.01)</f>
        <v>594.9661605084284</v>
      </c>
      <c r="G33" s="154">
        <f>'2023年'!G33*(1-0.01)</f>
        <v>538.61021250842839</v>
      </c>
      <c r="H33" s="154">
        <f>'2023年'!H33*(1-0.01)</f>
        <v>0</v>
      </c>
      <c r="I33" s="154">
        <f>'2023年'!I33*(1-0.01)</f>
        <v>0</v>
      </c>
      <c r="J33" s="154">
        <f>'2023年'!J33*(1-0.01)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5">
        <v>4</v>
      </c>
      <c r="B34" s="40" t="s">
        <v>67</v>
      </c>
      <c r="C34" s="52">
        <f>C32-C33</f>
        <v>54.591281019992948</v>
      </c>
      <c r="D34" s="52">
        <f t="shared" ref="D34:J34" si="26">D32-D33</f>
        <v>-299.14211419997332</v>
      </c>
      <c r="E34" s="52">
        <f t="shared" si="26"/>
        <v>-7.9502729408579853</v>
      </c>
      <c r="F34" s="52">
        <f t="shared" si="26"/>
        <v>207.47631736767789</v>
      </c>
      <c r="G34" s="52">
        <f t="shared" si="26"/>
        <v>76.221645898651332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69</v>
      </c>
      <c r="AM35" s="43" t="s">
        <v>8</v>
      </c>
    </row>
    <row r="36" spans="1:39">
      <c r="A36" s="145">
        <v>1</v>
      </c>
      <c r="B36" s="40" t="s">
        <v>70</v>
      </c>
      <c r="C36" s="46">
        <f>'2023年'!C36</f>
        <v>30.408048384755272</v>
      </c>
      <c r="D36" s="46">
        <f>'2023年'!D36</f>
        <v>32.31176714995992</v>
      </c>
      <c r="E36" s="46">
        <f>'2023年'!E36</f>
        <v>71.82679449258606</v>
      </c>
      <c r="F36" s="46">
        <f>'2023年'!F36</f>
        <v>46.654487230728755</v>
      </c>
      <c r="G36" s="46">
        <f>'2023年'!G36</f>
        <v>35.746693224691327</v>
      </c>
      <c r="H36" s="46" t="e">
        <f>'2023年'!H36</f>
        <v>#VALUE!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5">
        <v>2</v>
      </c>
      <c r="B37" s="40" t="s">
        <v>71</v>
      </c>
      <c r="C37" s="46">
        <f>'2023年'!C37</f>
        <v>9.4499105510629118</v>
      </c>
      <c r="D37" s="46">
        <f>'2023年'!D37</f>
        <v>10.041529316527088</v>
      </c>
      <c r="E37" s="46">
        <f>'2023年'!E37</f>
        <v>22.321616123999707</v>
      </c>
      <c r="F37" s="46">
        <f>'2023年'!F37</f>
        <v>14.498817074926915</v>
      </c>
      <c r="G37" s="46">
        <f>'2023年'!G37</f>
        <v>11.109001445780828</v>
      </c>
      <c r="H37" s="46" t="e">
        <f>'2023年'!H37</f>
        <v>#VALUE!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5">
        <v>3</v>
      </c>
      <c r="B38" s="40" t="s">
        <v>72</v>
      </c>
      <c r="C38" s="46">
        <f>'2023年'!C38</f>
        <v>5.2300884955752212</v>
      </c>
      <c r="D38" s="46">
        <f>'2023年'!D38</f>
        <v>5.557522123893806</v>
      </c>
      <c r="E38" s="46">
        <f>'2023年'!E38</f>
        <v>12.353982300884956</v>
      </c>
      <c r="F38" s="46">
        <f>'2023年'!F38</f>
        <v>8.0244247787610625</v>
      </c>
      <c r="G38" s="46">
        <f>'2023年'!G38</f>
        <v>6.1483185840707977</v>
      </c>
      <c r="H38" s="46" t="e">
        <f>'2023年'!H38</f>
        <v>#VALUE!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5">
        <v>1</v>
      </c>
      <c r="B40" s="40" t="s">
        <v>75</v>
      </c>
      <c r="C40" s="47">
        <f>C34-C36-C37-C38</f>
        <v>9.5032335885995423</v>
      </c>
      <c r="D40" s="47">
        <f t="shared" ref="D40:J40" si="27">D34-D36-D37-D38</f>
        <v>-347.05293279035413</v>
      </c>
      <c r="E40" s="47">
        <f t="shared" si="27"/>
        <v>-114.4526658583287</v>
      </c>
      <c r="F40" s="47">
        <f t="shared" si="27"/>
        <v>138.29858828326115</v>
      </c>
      <c r="G40" s="47">
        <f t="shared" si="27"/>
        <v>23.217632644108381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5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5">
        <v>1</v>
      </c>
      <c r="B43" s="48" t="s">
        <v>79</v>
      </c>
      <c r="C43" s="46">
        <f>'2023年'!C43</f>
        <v>23.535398230088497</v>
      </c>
      <c r="D43" s="46">
        <f>'2023年'!D43</f>
        <v>25.008849557522126</v>
      </c>
      <c r="E43" s="46">
        <f>'2023年'!E43</f>
        <v>55.592920353982301</v>
      </c>
      <c r="F43" s="46">
        <f>'2023年'!F43</f>
        <v>36.10991150442478</v>
      </c>
      <c r="G43" s="46">
        <f>'2023年'!G43</f>
        <v>27.667433628318587</v>
      </c>
      <c r="H43" s="46" t="e">
        <f>'2023年'!H43</f>
        <v>#VALUE!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5">
        <v>2</v>
      </c>
      <c r="B44" s="48" t="s">
        <v>80</v>
      </c>
      <c r="C44" s="46">
        <f>'2023年'!C44</f>
        <v>4.1317699115044251</v>
      </c>
      <c r="D44" s="46">
        <f>'2023年'!D44</f>
        <v>4.3904424778761069</v>
      </c>
      <c r="E44" s="46">
        <f>'2023年'!E44</f>
        <v>9.7596460176991169</v>
      </c>
      <c r="F44" s="46">
        <f>'2023年'!F44</f>
        <v>6.3392955752212403</v>
      </c>
      <c r="G44" s="46">
        <f>'2023年'!G44</f>
        <v>4.85717168141593</v>
      </c>
      <c r="H44" s="46" t="e">
        <f>'2023年'!H44</f>
        <v>#VALUE!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5">
        <v>3</v>
      </c>
      <c r="B45" s="48" t="s">
        <v>81</v>
      </c>
      <c r="C45" s="46">
        <f>'2023年'!C45</f>
        <v>21.214969726730484</v>
      </c>
      <c r="D45" s="46">
        <f>'2023年'!D45</f>
        <v>22.543148880519027</v>
      </c>
      <c r="E45" s="46">
        <f>'2023年'!E45</f>
        <v>50.111840505102805</v>
      </c>
      <c r="F45" s="46">
        <f>'2023年'!F45</f>
        <v>32.549722418629671</v>
      </c>
      <c r="G45" s="46">
        <f>'2023年'!G45</f>
        <v>24.939614834760189</v>
      </c>
      <c r="H45" s="46" t="e">
        <f>'2023年'!H45</f>
        <v>#VALUE!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5">
        <v>4</v>
      </c>
      <c r="B46" s="48" t="s">
        <v>82</v>
      </c>
      <c r="C46" s="53">
        <f>C21/C6</f>
        <v>0</v>
      </c>
      <c r="D46" s="53">
        <f t="shared" ref="D46:J46" si="28">D21/D6</f>
        <v>0</v>
      </c>
      <c r="E46" s="53">
        <f t="shared" si="28"/>
        <v>0</v>
      </c>
      <c r="F46" s="53">
        <f t="shared" si="28"/>
        <v>0</v>
      </c>
      <c r="G46" s="53">
        <f t="shared" si="28"/>
        <v>0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5">
        <v>5</v>
      </c>
      <c r="B47" s="48" t="s">
        <v>84</v>
      </c>
      <c r="C47" s="53">
        <f>'2023年'!C47</f>
        <v>11.14008849557522</v>
      </c>
      <c r="D47" s="53">
        <f>'2023年'!D47</f>
        <v>11.837522123893807</v>
      </c>
      <c r="E47" s="53">
        <f>'2023年'!E47</f>
        <v>26.313982300884955</v>
      </c>
      <c r="F47" s="53">
        <f>'2023年'!F47</f>
        <v>17.092024778761065</v>
      </c>
      <c r="G47" s="53">
        <f>'2023年'!G47</f>
        <v>13.095918584070798</v>
      </c>
      <c r="H47" s="53" t="e">
        <f>'2023年'!H47</f>
        <v>#VALUE!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-50.518992775299083</v>
      </c>
      <c r="D48" s="47">
        <f t="shared" ref="D48:J48" si="29">D40-D43-D44-D45-D47-D46</f>
        <v>-410.83289583016517</v>
      </c>
      <c r="E48" s="47">
        <f t="shared" si="29"/>
        <v>-256.23105503599788</v>
      </c>
      <c r="F48" s="47">
        <f t="shared" si="29"/>
        <v>46.207634006224389</v>
      </c>
      <c r="G48" s="47">
        <f t="shared" si="29"/>
        <v>-47.342506084457128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0" activePane="bottomRight" state="frozen"/>
      <selection pane="topRight"/>
      <selection pane="bottomLeft"/>
      <selection pane="bottomRight" activeCell="J7" sqref="J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19" width="9" style="36" customWidth="1"/>
    <col min="20" max="32" width="9" style="36"/>
    <col min="33" max="33" width="4.375" style="36" customWidth="1"/>
    <col min="34" max="34" width="13.875" style="36" customWidth="1"/>
    <col min="35" max="16384" width="9" style="36"/>
  </cols>
  <sheetData>
    <row r="1" spans="1:35">
      <c r="A1" s="235" t="s">
        <v>135</v>
      </c>
      <c r="B1" s="235"/>
      <c r="C1" s="239" t="s">
        <v>226</v>
      </c>
      <c r="D1" s="240"/>
      <c r="E1" s="240"/>
      <c r="F1" s="240"/>
      <c r="G1" s="240"/>
      <c r="H1" s="240"/>
      <c r="I1" s="240"/>
      <c r="J1" s="240"/>
      <c r="K1" s="241"/>
    </row>
    <row r="2" spans="1:35">
      <c r="A2" s="235" t="s">
        <v>136</v>
      </c>
      <c r="B2" s="235"/>
      <c r="C2" s="243" t="str">
        <f>'2023年'!C2:K2</f>
        <v>福田长沙汽车厂</v>
      </c>
      <c r="D2" s="244"/>
      <c r="E2" s="244"/>
      <c r="F2" s="244"/>
      <c r="G2" s="244"/>
      <c r="H2" s="244"/>
      <c r="I2" s="244"/>
      <c r="J2" s="244"/>
      <c r="K2" s="245"/>
    </row>
    <row r="3" spans="1:35">
      <c r="A3" s="235" t="s">
        <v>137</v>
      </c>
      <c r="B3" s="235"/>
      <c r="C3" s="146" t="str">
        <f>'2023年'!C3</f>
        <v>驾驶员座椅总成</v>
      </c>
      <c r="D3" s="146" t="str">
        <f>'2023年'!D3</f>
        <v>驾驶员座椅总成</v>
      </c>
      <c r="E3" s="146" t="str">
        <f>'2023年'!E3</f>
        <v>驾驶员座椅总成</v>
      </c>
      <c r="F3" s="146" t="str">
        <f>'2023年'!F3</f>
        <v>副驾驶员座椅总成</v>
      </c>
      <c r="G3" s="146" t="str">
        <f>'2023年'!G3</f>
        <v>副驾驶员座椅总成</v>
      </c>
      <c r="H3" s="146">
        <f>'2023年'!H3</f>
        <v>0</v>
      </c>
      <c r="I3" s="146">
        <f>'2023年'!I3</f>
        <v>0</v>
      </c>
      <c r="J3" s="146">
        <f>'2023年'!J3</f>
        <v>0</v>
      </c>
      <c r="K3" s="236" t="s">
        <v>14</v>
      </c>
    </row>
    <row r="4" spans="1:35" ht="16.5" customHeight="1">
      <c r="A4" s="235" t="s">
        <v>138</v>
      </c>
      <c r="B4" s="235"/>
      <c r="C4" s="146" t="str">
        <f>'2023年'!C4</f>
        <v>L168100000539</v>
      </c>
      <c r="D4" s="146" t="str">
        <f>'2023年'!D4</f>
        <v>L168100000540</v>
      </c>
      <c r="E4" s="146" t="str">
        <f>'2023年'!E4</f>
        <v>L168100000541</v>
      </c>
      <c r="F4" s="146" t="str">
        <f>'2023年'!F4</f>
        <v>L168100000425</v>
      </c>
      <c r="G4" s="146" t="str">
        <f>'2023年'!G4</f>
        <v>L168100000426</v>
      </c>
      <c r="H4" s="146">
        <f>'2023年'!H4</f>
        <v>0</v>
      </c>
      <c r="I4" s="146">
        <f>'2023年'!I4</f>
        <v>0</v>
      </c>
      <c r="J4" s="146">
        <f>'2023年'!J4</f>
        <v>0</v>
      </c>
      <c r="K4" s="237"/>
    </row>
    <row r="5" spans="1:35">
      <c r="A5" s="235" t="s">
        <v>139</v>
      </c>
      <c r="B5" s="235"/>
      <c r="C5" s="39"/>
      <c r="D5" s="39"/>
      <c r="E5" s="39"/>
      <c r="F5" s="39"/>
      <c r="G5" s="39"/>
      <c r="H5" s="39"/>
      <c r="I5" s="39"/>
      <c r="J5" s="39"/>
      <c r="K5" s="238"/>
      <c r="AI5" s="36" t="s">
        <v>15</v>
      </c>
    </row>
    <row r="6" spans="1:35" ht="17.25">
      <c r="A6" s="40" t="s">
        <v>13</v>
      </c>
      <c r="B6" s="41" t="s">
        <v>140</v>
      </c>
      <c r="C6" s="12">
        <f>销量!C12</f>
        <v>148</v>
      </c>
      <c r="D6" s="12">
        <f>销量!D12</f>
        <v>130</v>
      </c>
      <c r="E6" s="12">
        <f>销量!E12</f>
        <v>130</v>
      </c>
      <c r="F6" s="12">
        <f>销量!F12</f>
        <v>260</v>
      </c>
      <c r="G6" s="12">
        <f>销量!G12</f>
        <v>148</v>
      </c>
      <c r="H6" s="12">
        <f>销量!H12</f>
        <v>0</v>
      </c>
      <c r="I6" s="12">
        <f>销量!I12</f>
        <v>0</v>
      </c>
      <c r="J6" s="12">
        <f>销量!J12</f>
        <v>0</v>
      </c>
      <c r="K6" s="42">
        <f>SUM(C6:J6)</f>
        <v>816</v>
      </c>
      <c r="AG6" s="40" t="s">
        <v>13</v>
      </c>
      <c r="AH6" s="41" t="s">
        <v>3</v>
      </c>
      <c r="AI6" s="36" t="s">
        <v>16</v>
      </c>
    </row>
    <row r="7" spans="1:35">
      <c r="A7" s="145">
        <v>1</v>
      </c>
      <c r="B7" s="41" t="s">
        <v>17</v>
      </c>
      <c r="C7" s="42">
        <f>C6*销量!C8</f>
        <v>77405.30973451327</v>
      </c>
      <c r="D7" s="42">
        <f>D6*销量!D8</f>
        <v>72247.787610619474</v>
      </c>
      <c r="E7" s="42">
        <f>E6*销量!E8</f>
        <v>160601.76991150444</v>
      </c>
      <c r="F7" s="42">
        <f>F6*销量!F8</f>
        <v>208635.04424778765</v>
      </c>
      <c r="G7" s="42">
        <f>G6*销量!G8</f>
        <v>90995.115044247796</v>
      </c>
      <c r="H7" s="42"/>
      <c r="I7" s="42">
        <f>I6*销量!I8</f>
        <v>0</v>
      </c>
      <c r="J7" s="42">
        <f>J6*销量!J8</f>
        <v>0</v>
      </c>
      <c r="K7" s="42">
        <f t="shared" ref="K7:K17" si="0">SUM(C7:J7)</f>
        <v>609885.0265486727</v>
      </c>
      <c r="L7" s="37"/>
      <c r="AG7" s="40" t="s">
        <v>18</v>
      </c>
      <c r="AH7" s="41" t="s">
        <v>17</v>
      </c>
      <c r="AI7" s="36" t="s">
        <v>16</v>
      </c>
    </row>
    <row r="8" spans="1:35">
      <c r="A8" s="145">
        <v>2</v>
      </c>
      <c r="B8" s="145" t="s">
        <v>19</v>
      </c>
      <c r="C8" s="42">
        <f>C7*(1-销量!$O$8)</f>
        <v>0</v>
      </c>
      <c r="D8" s="42">
        <f>D7*(1-销量!$O$8)</f>
        <v>0</v>
      </c>
      <c r="E8" s="42">
        <f>E7*(1-销量!$O$8)</f>
        <v>0</v>
      </c>
      <c r="F8" s="42">
        <f>F7*(1-销量!$O$8)</f>
        <v>0</v>
      </c>
      <c r="G8" s="42">
        <f>G7*(1-销量!$O$8)</f>
        <v>0</v>
      </c>
      <c r="H8" s="42">
        <f>H7*(1-销量!$O$8)</f>
        <v>0</v>
      </c>
      <c r="I8" s="42">
        <f>I7*(1-销量!$O$8)</f>
        <v>0</v>
      </c>
      <c r="J8" s="42">
        <f>J7*(1-销量!$O$8)</f>
        <v>0</v>
      </c>
      <c r="K8" s="42">
        <f t="shared" si="0"/>
        <v>0</v>
      </c>
      <c r="L8" s="57"/>
      <c r="AG8" s="40" t="s">
        <v>20</v>
      </c>
      <c r="AH8" s="145" t="s">
        <v>21</v>
      </c>
      <c r="AI8" s="36" t="s">
        <v>16</v>
      </c>
    </row>
    <row r="9" spans="1:35">
      <c r="A9" s="145">
        <v>3</v>
      </c>
      <c r="B9" s="41" t="s">
        <v>22</v>
      </c>
      <c r="C9" s="42">
        <f>+C7-C8</f>
        <v>77405.30973451327</v>
      </c>
      <c r="D9" s="42">
        <f t="shared" ref="D9:J9" si="1">+D7-D8</f>
        <v>72247.787610619474</v>
      </c>
      <c r="E9" s="42">
        <f t="shared" si="1"/>
        <v>160601.76991150444</v>
      </c>
      <c r="F9" s="42">
        <f t="shared" si="1"/>
        <v>208635.04424778765</v>
      </c>
      <c r="G9" s="42">
        <f t="shared" si="1"/>
        <v>90995.115044247796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609885.0265486727</v>
      </c>
      <c r="AG9" s="40" t="s">
        <v>23</v>
      </c>
      <c r="AH9" s="41" t="s">
        <v>22</v>
      </c>
      <c r="AI9" s="36" t="s">
        <v>24</v>
      </c>
    </row>
    <row r="10" spans="1:35">
      <c r="A10" s="145">
        <v>4</v>
      </c>
      <c r="B10" s="40" t="s">
        <v>25</v>
      </c>
      <c r="C10" s="42">
        <f t="shared" ref="C10:J10" si="2">C6*C33</f>
        <v>68632.542142118778</v>
      </c>
      <c r="D10" s="42">
        <f t="shared" si="2"/>
        <v>110024.89983204985</v>
      </c>
      <c r="E10" s="42">
        <f t="shared" si="2"/>
        <v>160018.95233987781</v>
      </c>
      <c r="F10" s="42">
        <f t="shared" si="2"/>
        <v>153144.28971486946</v>
      </c>
      <c r="G10" s="42">
        <f t="shared" si="2"/>
        <v>78917.168336734918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570737.85236565082</v>
      </c>
      <c r="AG10" s="40" t="s">
        <v>26</v>
      </c>
      <c r="AH10" s="40" t="s">
        <v>25</v>
      </c>
      <c r="AI10" s="36" t="s">
        <v>27</v>
      </c>
    </row>
    <row r="11" spans="1:35">
      <c r="A11" s="145">
        <v>5</v>
      </c>
      <c r="B11" s="40" t="s">
        <v>28</v>
      </c>
      <c r="C11" s="42">
        <f>+C6*C36</f>
        <v>4500.3911609437801</v>
      </c>
      <c r="D11" s="42">
        <f t="shared" ref="D11:J11" si="3">+D6*D36</f>
        <v>4200.5297294947895</v>
      </c>
      <c r="E11" s="42">
        <f t="shared" si="3"/>
        <v>9337.4832840361887</v>
      </c>
      <c r="F11" s="42">
        <f t="shared" si="3"/>
        <v>12130.166679989476</v>
      </c>
      <c r="G11" s="42">
        <f t="shared" si="3"/>
        <v>5290.5105972543161</v>
      </c>
      <c r="H11" s="42"/>
      <c r="I11" s="42">
        <f t="shared" si="3"/>
        <v>0</v>
      </c>
      <c r="J11" s="42">
        <f t="shared" si="3"/>
        <v>0</v>
      </c>
      <c r="K11" s="42">
        <f t="shared" si="0"/>
        <v>35459.08145171855</v>
      </c>
      <c r="AG11" s="40" t="s">
        <v>29</v>
      </c>
      <c r="AH11" s="40" t="s">
        <v>28</v>
      </c>
    </row>
    <row r="12" spans="1:35">
      <c r="A12" s="145">
        <v>6</v>
      </c>
      <c r="B12" s="40" t="s">
        <v>30</v>
      </c>
      <c r="C12" s="42">
        <f>+C6*C37</f>
        <v>1398.5867615573109</v>
      </c>
      <c r="D12" s="42">
        <f t="shared" ref="D12:J12" si="4">+D6*D37</f>
        <v>1305.3988111485214</v>
      </c>
      <c r="E12" s="42">
        <f t="shared" si="4"/>
        <v>2901.8100961199621</v>
      </c>
      <c r="F12" s="42">
        <f t="shared" si="4"/>
        <v>3769.692439480998</v>
      </c>
      <c r="G12" s="42">
        <f t="shared" si="4"/>
        <v>1644.1322139755625</v>
      </c>
      <c r="H12" s="42"/>
      <c r="I12" s="42">
        <f t="shared" si="4"/>
        <v>0</v>
      </c>
      <c r="J12" s="42">
        <f t="shared" si="4"/>
        <v>0</v>
      </c>
      <c r="K12" s="42">
        <f t="shared" si="0"/>
        <v>11019.620322282355</v>
      </c>
      <c r="AG12" s="40" t="s">
        <v>31</v>
      </c>
      <c r="AH12" s="40" t="s">
        <v>30</v>
      </c>
    </row>
    <row r="13" spans="1:35">
      <c r="A13" s="145">
        <v>7</v>
      </c>
      <c r="B13" s="40" t="s">
        <v>32</v>
      </c>
      <c r="C13" s="42">
        <f>+C6*C38</f>
        <v>774.05309734513276</v>
      </c>
      <c r="D13" s="42">
        <f t="shared" ref="D13:J13" si="5">+D6*D38</f>
        <v>722.4778761061948</v>
      </c>
      <c r="E13" s="42">
        <f t="shared" si="5"/>
        <v>1606.0176991150443</v>
      </c>
      <c r="F13" s="42">
        <f t="shared" si="5"/>
        <v>2086.3504424778762</v>
      </c>
      <c r="G13" s="42">
        <f t="shared" si="5"/>
        <v>909.95115044247802</v>
      </c>
      <c r="H13" s="42"/>
      <c r="I13" s="42">
        <f t="shared" si="5"/>
        <v>0</v>
      </c>
      <c r="J13" s="42">
        <f t="shared" si="5"/>
        <v>0</v>
      </c>
      <c r="K13" s="42">
        <f t="shared" si="0"/>
        <v>6098.8502654867261</v>
      </c>
      <c r="AG13" s="40" t="s">
        <v>33</v>
      </c>
      <c r="AH13" s="40" t="s">
        <v>32</v>
      </c>
      <c r="AI13" s="36" t="s">
        <v>16</v>
      </c>
    </row>
    <row r="14" spans="1:35">
      <c r="A14" s="145">
        <v>8</v>
      </c>
      <c r="B14" s="43" t="s">
        <v>34</v>
      </c>
      <c r="C14" s="42">
        <f>SUM(C11:C13)</f>
        <v>6673.031019846223</v>
      </c>
      <c r="D14" s="42">
        <f t="shared" ref="D14:J14" si="6">SUM(D11:D13)</f>
        <v>6228.4064167495053</v>
      </c>
      <c r="E14" s="42">
        <f t="shared" si="6"/>
        <v>13845.311079271194</v>
      </c>
      <c r="F14" s="42">
        <f t="shared" si="6"/>
        <v>17986.209561948348</v>
      </c>
      <c r="G14" s="42">
        <f t="shared" si="6"/>
        <v>7844.5939616723563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52577.552039487629</v>
      </c>
      <c r="AG14" s="40" t="s">
        <v>35</v>
      </c>
      <c r="AH14" s="43" t="s">
        <v>34</v>
      </c>
    </row>
    <row r="15" spans="1:35">
      <c r="A15" s="145">
        <v>9</v>
      </c>
      <c r="B15" s="43" t="s">
        <v>36</v>
      </c>
      <c r="C15" s="42">
        <f>+C9-C10-C14</f>
        <v>2099.7365725482687</v>
      </c>
      <c r="D15" s="42">
        <f t="shared" ref="D15:J15" si="7">+D9-D10-D14</f>
        <v>-44005.518638179885</v>
      </c>
      <c r="E15" s="42">
        <f t="shared" si="7"/>
        <v>-13262.493507644567</v>
      </c>
      <c r="F15" s="42">
        <f t="shared" si="7"/>
        <v>37504.544970969844</v>
      </c>
      <c r="G15" s="42">
        <f t="shared" si="7"/>
        <v>4233.3527458405215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-13430.377856465821</v>
      </c>
      <c r="AG15" s="40" t="s">
        <v>37</v>
      </c>
      <c r="AH15" s="43" t="s">
        <v>36</v>
      </c>
    </row>
    <row r="16" spans="1:35">
      <c r="A16" s="145">
        <v>10</v>
      </c>
      <c r="B16" s="40" t="s">
        <v>38</v>
      </c>
      <c r="C16" s="44">
        <f>+C15/C9</f>
        <v>2.712651857798902E-2</v>
      </c>
      <c r="D16" s="44">
        <f t="shared" ref="D16:J16" si="8">+D15/D9</f>
        <v>-0.60909157350738929</v>
      </c>
      <c r="E16" s="44">
        <f t="shared" si="8"/>
        <v>-8.2579995942463957E-2</v>
      </c>
      <c r="F16" s="44">
        <f t="shared" si="8"/>
        <v>0.17976148305376333</v>
      </c>
      <c r="G16" s="44">
        <f t="shared" si="8"/>
        <v>4.6522857230105019E-2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-2.2021163451852659E-2</v>
      </c>
      <c r="AG16" s="40" t="s">
        <v>39</v>
      </c>
      <c r="AH16" s="40" t="s">
        <v>38</v>
      </c>
    </row>
    <row r="17" spans="1:35">
      <c r="A17" s="145">
        <v>11</v>
      </c>
      <c r="B17" s="40" t="s">
        <v>40</v>
      </c>
      <c r="C17" s="42">
        <f>C6*C43+C18</f>
        <v>3483.2389380530976</v>
      </c>
      <c r="D17" s="42">
        <f t="shared" ref="D17:J17" si="10">D6*D43+D18</f>
        <v>3251.1504424778764</v>
      </c>
      <c r="E17" s="42">
        <f t="shared" si="10"/>
        <v>7227.0796460176989</v>
      </c>
      <c r="F17" s="42">
        <f t="shared" si="10"/>
        <v>9388.5769911504431</v>
      </c>
      <c r="G17" s="42">
        <f t="shared" si="10"/>
        <v>4094.7801769911507</v>
      </c>
      <c r="H17" s="42"/>
      <c r="I17" s="42">
        <f t="shared" si="10"/>
        <v>0</v>
      </c>
      <c r="J17" s="42">
        <f t="shared" si="10"/>
        <v>0</v>
      </c>
      <c r="K17" s="42">
        <f t="shared" si="0"/>
        <v>27444.826194690268</v>
      </c>
      <c r="L17" s="57"/>
      <c r="AG17" s="40" t="s">
        <v>41</v>
      </c>
      <c r="AH17" s="40" t="s">
        <v>40</v>
      </c>
    </row>
    <row r="18" spans="1:35" s="34" customFormat="1">
      <c r="A18" s="145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35">
      <c r="A19" s="145">
        <v>13</v>
      </c>
      <c r="B19" s="40" t="s">
        <v>42</v>
      </c>
      <c r="C19" s="42">
        <f>C6*C44</f>
        <v>611.50194690265494</v>
      </c>
      <c r="D19" s="42">
        <f t="shared" ref="D19:J19" si="12">D6*D44</f>
        <v>570.75752212389386</v>
      </c>
      <c r="E19" s="42">
        <f t="shared" si="12"/>
        <v>1268.7539823008851</v>
      </c>
      <c r="F19" s="42">
        <f t="shared" si="12"/>
        <v>1648.2168495575224</v>
      </c>
      <c r="G19" s="42">
        <f t="shared" si="12"/>
        <v>718.86140884955762</v>
      </c>
      <c r="H19" s="42"/>
      <c r="I19" s="42">
        <f t="shared" si="12"/>
        <v>0</v>
      </c>
      <c r="J19" s="42">
        <f t="shared" si="12"/>
        <v>0</v>
      </c>
      <c r="K19" s="42">
        <f t="shared" ref="K19:K20" si="13">SUM(C19:J19)</f>
        <v>4818.0917097345136</v>
      </c>
      <c r="L19" s="34"/>
      <c r="AG19" s="40" t="s">
        <v>43</v>
      </c>
      <c r="AH19" s="40" t="s">
        <v>42</v>
      </c>
      <c r="AI19" s="36" t="s">
        <v>16</v>
      </c>
    </row>
    <row r="20" spans="1:35">
      <c r="A20" s="145">
        <v>14</v>
      </c>
      <c r="B20" s="40" t="s">
        <v>44</v>
      </c>
      <c r="C20" s="42">
        <f>C6*C45</f>
        <v>3139.8155195561117</v>
      </c>
      <c r="D20" s="42">
        <f t="shared" ref="D20:J20" si="14">D6*D45</f>
        <v>2930.6093544674736</v>
      </c>
      <c r="E20" s="42">
        <f t="shared" si="14"/>
        <v>6514.5392656633649</v>
      </c>
      <c r="F20" s="42">
        <f t="shared" si="14"/>
        <v>8462.9278288437145</v>
      </c>
      <c r="G20" s="42">
        <f t="shared" si="14"/>
        <v>3691.0629955445079</v>
      </c>
      <c r="H20" s="42"/>
      <c r="I20" s="42">
        <f t="shared" si="14"/>
        <v>0</v>
      </c>
      <c r="J20" s="42">
        <f t="shared" si="14"/>
        <v>0</v>
      </c>
      <c r="K20" s="42">
        <f t="shared" si="13"/>
        <v>24738.954964075172</v>
      </c>
      <c r="AG20" s="40" t="s">
        <v>45</v>
      </c>
      <c r="AH20" s="40" t="s">
        <v>44</v>
      </c>
    </row>
    <row r="21" spans="1:35">
      <c r="A21" s="145">
        <v>15</v>
      </c>
      <c r="B21" s="40" t="s">
        <v>46</v>
      </c>
      <c r="C21" s="47">
        <f>$K$21/$K$6*C6</f>
        <v>0</v>
      </c>
      <c r="D21" s="47">
        <f t="shared" ref="D21:J21" si="15">$K$21/$K$6*D6</f>
        <v>0</v>
      </c>
      <c r="E21" s="47">
        <f t="shared" si="15"/>
        <v>0</v>
      </c>
      <c r="F21" s="47">
        <f t="shared" si="15"/>
        <v>0</v>
      </c>
      <c r="G21" s="47">
        <f t="shared" si="15"/>
        <v>0</v>
      </c>
      <c r="H21" s="47"/>
      <c r="I21" s="47">
        <f t="shared" si="15"/>
        <v>0</v>
      </c>
      <c r="J21" s="47">
        <f t="shared" si="15"/>
        <v>0</v>
      </c>
      <c r="K21" s="42">
        <f>项目投资!F27</f>
        <v>0</v>
      </c>
      <c r="AG21" s="40"/>
      <c r="AH21" s="40"/>
    </row>
    <row r="22" spans="1:35">
      <c r="A22" s="145">
        <v>16</v>
      </c>
      <c r="B22" s="40" t="s">
        <v>47</v>
      </c>
      <c r="C22" s="42">
        <f>C6*C47</f>
        <v>1648.7330973451326</v>
      </c>
      <c r="D22" s="42">
        <f t="shared" ref="D22:J22" si="16">D6*D47</f>
        <v>1538.8778761061949</v>
      </c>
      <c r="E22" s="42">
        <f t="shared" si="16"/>
        <v>3420.817699115044</v>
      </c>
      <c r="F22" s="42">
        <f t="shared" si="16"/>
        <v>4443.9264424778767</v>
      </c>
      <c r="G22" s="42">
        <f t="shared" si="16"/>
        <v>1938.1959504424781</v>
      </c>
      <c r="H22" s="42"/>
      <c r="I22" s="42">
        <f t="shared" si="16"/>
        <v>0</v>
      </c>
      <c r="J22" s="42">
        <f t="shared" si="16"/>
        <v>0</v>
      </c>
      <c r="K22" s="42">
        <f t="shared" ref="K22" si="17">SUM(C22:J22)</f>
        <v>12990.551065486725</v>
      </c>
      <c r="AG22" s="40" t="s">
        <v>48</v>
      </c>
      <c r="AH22" s="40" t="s">
        <v>47</v>
      </c>
    </row>
    <row r="23" spans="1:35">
      <c r="A23" s="145">
        <v>17</v>
      </c>
      <c r="B23" s="43" t="s">
        <v>49</v>
      </c>
      <c r="C23" s="47">
        <f>+C22+C21+C20+C19+C17</f>
        <v>8883.2895018569961</v>
      </c>
      <c r="D23" s="47">
        <f t="shared" ref="D23:J23" si="18">+D22+D21+D20+D19+D17</f>
        <v>8291.3951951754389</v>
      </c>
      <c r="E23" s="47">
        <f>+E22+E21+E20+E19+E17</f>
        <v>18431.190593096995</v>
      </c>
      <c r="F23" s="47">
        <f t="shared" si="18"/>
        <v>23943.648112029558</v>
      </c>
      <c r="G23" s="47">
        <f t="shared" si="18"/>
        <v>10442.900531827694</v>
      </c>
      <c r="H23" s="47">
        <f t="shared" si="18"/>
        <v>0</v>
      </c>
      <c r="I23" s="47">
        <f t="shared" si="18"/>
        <v>0</v>
      </c>
      <c r="J23" s="47">
        <f t="shared" si="18"/>
        <v>0</v>
      </c>
      <c r="K23" s="47">
        <f t="shared" ref="K23" si="19">+K22+K21+K20+K19+K17</f>
        <v>69992.423933986676</v>
      </c>
      <c r="AG23" s="40" t="s">
        <v>50</v>
      </c>
      <c r="AH23" s="43" t="s">
        <v>49</v>
      </c>
    </row>
    <row r="24" spans="1:35">
      <c r="A24" s="145">
        <v>18</v>
      </c>
      <c r="B24" s="48" t="s">
        <v>51</v>
      </c>
      <c r="C24" s="47">
        <f>+C15-C23</f>
        <v>-6783.5529293087275</v>
      </c>
      <c r="D24" s="47">
        <f t="shared" ref="D24:J24" si="20">+D15-D23</f>
        <v>-52296.913833355327</v>
      </c>
      <c r="E24" s="47">
        <f t="shared" si="20"/>
        <v>-31693.684100741564</v>
      </c>
      <c r="F24" s="47">
        <f t="shared" si="20"/>
        <v>13560.896858940287</v>
      </c>
      <c r="G24" s="47">
        <f t="shared" si="20"/>
        <v>-6209.5477859871726</v>
      </c>
      <c r="H24" s="47">
        <f t="shared" si="20"/>
        <v>0</v>
      </c>
      <c r="I24" s="47">
        <f t="shared" si="20"/>
        <v>0</v>
      </c>
      <c r="J24" s="47">
        <f t="shared" si="20"/>
        <v>0</v>
      </c>
      <c r="K24" s="47">
        <f t="shared" ref="K24" si="21">+K15-K23</f>
        <v>-83422.801790452504</v>
      </c>
      <c r="M24" s="59"/>
      <c r="AG24" s="40" t="s">
        <v>52</v>
      </c>
      <c r="AH24" s="40" t="s">
        <v>51</v>
      </c>
    </row>
    <row r="25" spans="1:35">
      <c r="A25" s="145">
        <v>19</v>
      </c>
      <c r="B25" s="40" t="s">
        <v>228</v>
      </c>
      <c r="C25" s="47">
        <f>IF(C24&lt;0,0,C24*0.15)</f>
        <v>0</v>
      </c>
      <c r="D25" s="47">
        <f t="shared" ref="D25:J25" si="22">IF(D24&lt;0,0,D24*0.15)</f>
        <v>0</v>
      </c>
      <c r="E25" s="47">
        <f t="shared" si="22"/>
        <v>0</v>
      </c>
      <c r="F25" s="47">
        <f t="shared" si="22"/>
        <v>2034.134528841043</v>
      </c>
      <c r="G25" s="47">
        <f t="shared" si="22"/>
        <v>0</v>
      </c>
      <c r="H25" s="47">
        <f t="shared" si="22"/>
        <v>0</v>
      </c>
      <c r="I25" s="47">
        <f t="shared" si="22"/>
        <v>0</v>
      </c>
      <c r="J25" s="47">
        <f t="shared" si="22"/>
        <v>0</v>
      </c>
      <c r="K25" s="47">
        <f>IF(K24&lt;0,0,K24*0.15)</f>
        <v>0</v>
      </c>
      <c r="L25" s="55"/>
      <c r="M25" s="55"/>
      <c r="N25" s="55"/>
      <c r="AG25" s="40" t="s">
        <v>54</v>
      </c>
      <c r="AH25" s="40" t="s">
        <v>53</v>
      </c>
    </row>
    <row r="26" spans="1:35">
      <c r="A26" s="145">
        <v>20</v>
      </c>
      <c r="B26" s="40" t="s">
        <v>55</v>
      </c>
      <c r="C26" s="47">
        <f t="shared" ref="C26" si="23">C24-C25</f>
        <v>-6783.5529293087275</v>
      </c>
      <c r="D26" s="47">
        <f t="shared" ref="D26:J26" si="24">D24-D25</f>
        <v>-52296.913833355327</v>
      </c>
      <c r="E26" s="47">
        <f t="shared" si="24"/>
        <v>-31693.684100741564</v>
      </c>
      <c r="F26" s="47">
        <f t="shared" si="24"/>
        <v>11526.762330099244</v>
      </c>
      <c r="G26" s="47">
        <f t="shared" si="24"/>
        <v>-6209.5477859871726</v>
      </c>
      <c r="H26" s="47">
        <f t="shared" si="24"/>
        <v>0</v>
      </c>
      <c r="I26" s="47">
        <f t="shared" si="24"/>
        <v>0</v>
      </c>
      <c r="J26" s="47">
        <f t="shared" si="24"/>
        <v>0</v>
      </c>
      <c r="K26" s="42">
        <f>+SUM(C26:J26)</f>
        <v>-85456.936319293556</v>
      </c>
      <c r="L26" s="55"/>
      <c r="M26" s="55"/>
      <c r="N26" s="55"/>
      <c r="AG26" s="40" t="s">
        <v>56</v>
      </c>
      <c r="AH26" s="40" t="s">
        <v>55</v>
      </c>
    </row>
    <row r="27" spans="1:35">
      <c r="A27" s="145">
        <v>21</v>
      </c>
      <c r="B27" s="40" t="s">
        <v>59</v>
      </c>
      <c r="C27" s="49">
        <f t="shared" ref="C27:K27" si="25">C26/C7</f>
        <v>-8.7636790713390755E-2</v>
      </c>
      <c r="D27" s="49">
        <f t="shared" ref="D27:J27" si="26">D26/D7</f>
        <v>-0.72385488279876919</v>
      </c>
      <c r="E27" s="49">
        <f t="shared" si="26"/>
        <v>-0.19734330523384375</v>
      </c>
      <c r="F27" s="49">
        <f t="shared" si="26"/>
        <v>5.5248447698026039E-2</v>
      </c>
      <c r="G27" s="49">
        <f t="shared" si="26"/>
        <v>-6.8240452061274756E-2</v>
      </c>
      <c r="H27" s="49" t="e">
        <f t="shared" si="26"/>
        <v>#DIV/0!</v>
      </c>
      <c r="I27" s="49" t="e">
        <f t="shared" si="26"/>
        <v>#DIV/0!</v>
      </c>
      <c r="J27" s="49" t="e">
        <f t="shared" si="26"/>
        <v>#DIV/0!</v>
      </c>
      <c r="K27" s="49">
        <f t="shared" si="25"/>
        <v>-0.14011974814809386</v>
      </c>
      <c r="L27" s="55"/>
      <c r="M27" s="55"/>
      <c r="N27" s="55"/>
      <c r="AG27" s="40" t="s">
        <v>58</v>
      </c>
      <c r="AH27" s="40" t="s">
        <v>59</v>
      </c>
    </row>
    <row r="28" spans="1:35">
      <c r="L28" s="55"/>
      <c r="M28" s="55"/>
      <c r="N28" s="55"/>
    </row>
    <row r="29" spans="1:35">
      <c r="A29" s="36" t="s">
        <v>60</v>
      </c>
      <c r="K29" s="37" t="s">
        <v>143</v>
      </c>
      <c r="L29" s="55"/>
      <c r="M29" s="55"/>
      <c r="N29" s="55"/>
      <c r="AG29" s="36" t="s">
        <v>60</v>
      </c>
    </row>
    <row r="30" spans="1:35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AG30" s="40" t="s">
        <v>63</v>
      </c>
      <c r="AH30" s="43" t="s">
        <v>62</v>
      </c>
    </row>
    <row r="31" spans="1:35">
      <c r="A31" s="145">
        <v>1</v>
      </c>
      <c r="B31" s="45" t="s">
        <v>64</v>
      </c>
      <c r="C31" s="51">
        <f>'2023年'!C31</f>
        <v>523.00884955752213</v>
      </c>
      <c r="D31" s="51">
        <f>'2023年'!D31</f>
        <v>555.75221238938059</v>
      </c>
      <c r="E31" s="51">
        <f>'2023年'!E31</f>
        <v>1235.3982300884957</v>
      </c>
      <c r="F31" s="51">
        <f>'2023年'!F31</f>
        <v>802.4424778761063</v>
      </c>
      <c r="G31" s="51">
        <f>'2023年'!G31</f>
        <v>614.83185840707972</v>
      </c>
      <c r="H31" s="51" t="str">
        <f>'2023年'!H31</f>
        <v>含到诸城运费，不含到长沙运费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AG31" s="40" t="s">
        <v>18</v>
      </c>
      <c r="AH31" s="40" t="s">
        <v>64</v>
      </c>
    </row>
    <row r="32" spans="1:35">
      <c r="A32" s="145">
        <v>2</v>
      </c>
      <c r="B32" s="40" t="s">
        <v>144</v>
      </c>
      <c r="C32" s="42">
        <f>C9/C6</f>
        <v>523.00884955752213</v>
      </c>
      <c r="D32" s="42">
        <f t="shared" ref="D32:J32" si="27">D9/D6</f>
        <v>555.75221238938059</v>
      </c>
      <c r="E32" s="42">
        <f t="shared" si="27"/>
        <v>1235.3982300884957</v>
      </c>
      <c r="F32" s="42">
        <f t="shared" si="27"/>
        <v>802.4424778761063</v>
      </c>
      <c r="G32" s="42">
        <f t="shared" si="27"/>
        <v>614.83185840707972</v>
      </c>
      <c r="H32" s="42" t="e">
        <f t="shared" si="27"/>
        <v>#DIV/0!</v>
      </c>
      <c r="I32" s="42" t="e">
        <f t="shared" si="27"/>
        <v>#DIV/0!</v>
      </c>
      <c r="J32" s="42" t="e">
        <f t="shared" si="27"/>
        <v>#DIV/0!</v>
      </c>
      <c r="K32" s="47"/>
      <c r="L32" s="55"/>
      <c r="M32" s="55"/>
      <c r="N32" s="55"/>
      <c r="O32" s="55"/>
      <c r="P32" s="55"/>
      <c r="Q32" s="55"/>
      <c r="R32" s="55"/>
      <c r="AG32" s="40"/>
      <c r="AH32" s="40"/>
    </row>
    <row r="33" spans="1:34">
      <c r="A33" s="145">
        <v>3</v>
      </c>
      <c r="B33" s="45" t="s">
        <v>65</v>
      </c>
      <c r="C33" s="42">
        <f>'2024年'!C33*(1-0.01)</f>
        <v>463.73339285215388</v>
      </c>
      <c r="D33" s="42">
        <f>'2024年'!D33*(1-0.01)</f>
        <v>846.3453833234604</v>
      </c>
      <c r="E33" s="42">
        <f>'2024年'!E33*(1-0.01)</f>
        <v>1230.9150179990602</v>
      </c>
      <c r="F33" s="42">
        <f>'2024年'!F33*(1-0.01)</f>
        <v>589.01649890334409</v>
      </c>
      <c r="G33" s="42">
        <f>'2024年'!G33*(1-0.01)</f>
        <v>533.22411038334405</v>
      </c>
      <c r="H33" s="42">
        <f>'2024年'!H33*(1-0.01)</f>
        <v>0</v>
      </c>
      <c r="I33" s="42">
        <f>'2024年'!I33*(1-0.01)</f>
        <v>0</v>
      </c>
      <c r="J33" s="42">
        <f>'2024年'!J33*(1-0.01)</f>
        <v>0</v>
      </c>
      <c r="K33" s="47"/>
      <c r="M33" s="55"/>
      <c r="N33" s="55"/>
      <c r="O33" s="55"/>
      <c r="P33" s="55"/>
      <c r="Q33" s="55"/>
      <c r="R33" s="55"/>
      <c r="AG33" s="40" t="s">
        <v>20</v>
      </c>
      <c r="AH33" s="40" t="s">
        <v>65</v>
      </c>
    </row>
    <row r="34" spans="1:34" ht="17.25" customHeight="1">
      <c r="A34" s="145">
        <v>4</v>
      </c>
      <c r="B34" s="40" t="s">
        <v>67</v>
      </c>
      <c r="C34" s="52">
        <f>C32-C33</f>
        <v>59.275456705368242</v>
      </c>
      <c r="D34" s="52">
        <f t="shared" ref="D34:J34" si="28">D32-D33</f>
        <v>-290.59317093407981</v>
      </c>
      <c r="E34" s="52">
        <f t="shared" si="28"/>
        <v>4.483212089435483</v>
      </c>
      <c r="F34" s="52">
        <f t="shared" si="28"/>
        <v>213.42597897276221</v>
      </c>
      <c r="G34" s="52">
        <f t="shared" si="28"/>
        <v>81.607748023735667</v>
      </c>
      <c r="H34" s="52" t="e">
        <f t="shared" si="28"/>
        <v>#DIV/0!</v>
      </c>
      <c r="I34" s="52" t="e">
        <f t="shared" si="28"/>
        <v>#DIV/0!</v>
      </c>
      <c r="J34" s="52" t="e">
        <f t="shared" si="28"/>
        <v>#DIV/0!</v>
      </c>
      <c r="K34" s="47"/>
      <c r="M34" s="55"/>
      <c r="N34" s="55"/>
      <c r="O34" s="55"/>
      <c r="P34" s="55"/>
      <c r="Q34" s="55"/>
      <c r="R34" s="55"/>
      <c r="AG34" s="40" t="s">
        <v>66</v>
      </c>
      <c r="AH34" s="40" t="s">
        <v>67</v>
      </c>
    </row>
    <row r="35" spans="1:34">
      <c r="A35" s="40" t="s">
        <v>63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AG35" s="40" t="s">
        <v>69</v>
      </c>
      <c r="AH35" s="43" t="s">
        <v>8</v>
      </c>
    </row>
    <row r="36" spans="1:34">
      <c r="A36" s="145">
        <v>1</v>
      </c>
      <c r="B36" s="40" t="s">
        <v>70</v>
      </c>
      <c r="C36" s="46">
        <f>'2023年'!C36</f>
        <v>30.408048384755272</v>
      </c>
      <c r="D36" s="46">
        <f>'2023年'!D36</f>
        <v>32.31176714995992</v>
      </c>
      <c r="E36" s="46">
        <f>'2023年'!E36</f>
        <v>71.82679449258606</v>
      </c>
      <c r="F36" s="46">
        <f>'2023年'!F36</f>
        <v>46.654487230728755</v>
      </c>
      <c r="G36" s="46">
        <f>'2023年'!G36</f>
        <v>35.746693224691327</v>
      </c>
      <c r="H36" s="46" t="e">
        <f>'2023年'!H36</f>
        <v>#VALUE!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AG36" s="40" t="s">
        <v>66</v>
      </c>
      <c r="AH36" s="40" t="s">
        <v>70</v>
      </c>
    </row>
    <row r="37" spans="1:34">
      <c r="A37" s="145">
        <v>2</v>
      </c>
      <c r="B37" s="40" t="s">
        <v>71</v>
      </c>
      <c r="C37" s="46">
        <f>'2023年'!C37</f>
        <v>9.4499105510629118</v>
      </c>
      <c r="D37" s="46">
        <f>'2023年'!D37</f>
        <v>10.041529316527088</v>
      </c>
      <c r="E37" s="46">
        <f>'2023年'!E37</f>
        <v>22.321616123999707</v>
      </c>
      <c r="F37" s="46">
        <f>'2023年'!F37</f>
        <v>14.498817074926915</v>
      </c>
      <c r="G37" s="46">
        <f>'2023年'!G37</f>
        <v>11.109001445780828</v>
      </c>
      <c r="H37" s="46" t="e">
        <f>'2023年'!H37</f>
        <v>#VALUE!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AG37" s="40" t="s">
        <v>23</v>
      </c>
      <c r="AH37" s="40" t="s">
        <v>71</v>
      </c>
    </row>
    <row r="38" spans="1:34">
      <c r="A38" s="145">
        <v>3</v>
      </c>
      <c r="B38" s="40" t="s">
        <v>72</v>
      </c>
      <c r="C38" s="46">
        <f>'2023年'!C38</f>
        <v>5.2300884955752212</v>
      </c>
      <c r="D38" s="46">
        <f>'2023年'!D38</f>
        <v>5.557522123893806</v>
      </c>
      <c r="E38" s="46">
        <f>'2023年'!E38</f>
        <v>12.353982300884956</v>
      </c>
      <c r="F38" s="46">
        <f>'2023年'!F38</f>
        <v>8.0244247787610625</v>
      </c>
      <c r="G38" s="46">
        <f>'2023年'!G38</f>
        <v>6.1483185840707977</v>
      </c>
      <c r="H38" s="46" t="e">
        <f>'2023年'!H38</f>
        <v>#VALUE!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AG38" s="40" t="s">
        <v>29</v>
      </c>
      <c r="AH38" s="40" t="s">
        <v>72</v>
      </c>
    </row>
    <row r="39" spans="1:34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AG39" s="40" t="s">
        <v>73</v>
      </c>
      <c r="AH39" s="43" t="s">
        <v>74</v>
      </c>
    </row>
    <row r="40" spans="1:34">
      <c r="A40" s="145">
        <v>1</v>
      </c>
      <c r="B40" s="40" t="s">
        <v>75</v>
      </c>
      <c r="C40" s="47">
        <f>C34-C36-C37-C38</f>
        <v>14.18740927397484</v>
      </c>
      <c r="D40" s="47">
        <f t="shared" ref="D40:J40" si="29">D34-D36-D37-D38</f>
        <v>-338.50398952446062</v>
      </c>
      <c r="E40" s="47">
        <f t="shared" si="29"/>
        <v>-102.01918082803523</v>
      </c>
      <c r="F40" s="47">
        <f t="shared" si="29"/>
        <v>144.24824988834547</v>
      </c>
      <c r="G40" s="47">
        <f t="shared" si="29"/>
        <v>28.603734769192716</v>
      </c>
      <c r="H40" s="47" t="e">
        <f t="shared" si="29"/>
        <v>#DIV/0!</v>
      </c>
      <c r="I40" s="47" t="e">
        <f t="shared" si="29"/>
        <v>#DIV/0!</v>
      </c>
      <c r="J40" s="47" t="e">
        <f t="shared" si="29"/>
        <v>#DIV/0!</v>
      </c>
      <c r="K40" s="47"/>
      <c r="AG40" s="40" t="s">
        <v>18</v>
      </c>
      <c r="AH40" s="40" t="s">
        <v>75</v>
      </c>
    </row>
    <row r="41" spans="1:34">
      <c r="A41" s="145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AG41" s="40" t="s">
        <v>20</v>
      </c>
      <c r="AH41" s="40" t="s">
        <v>76</v>
      </c>
    </row>
    <row r="42" spans="1:34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AG42" s="40" t="s">
        <v>77</v>
      </c>
      <c r="AH42" s="43" t="s">
        <v>78</v>
      </c>
    </row>
    <row r="43" spans="1:34">
      <c r="A43" s="145">
        <v>1</v>
      </c>
      <c r="B43" s="48" t="s">
        <v>79</v>
      </c>
      <c r="C43" s="46">
        <f>'2023年'!C43</f>
        <v>23.535398230088497</v>
      </c>
      <c r="D43" s="46">
        <f>'2023年'!D43</f>
        <v>25.008849557522126</v>
      </c>
      <c r="E43" s="46">
        <f>'2023年'!E43</f>
        <v>55.592920353982301</v>
      </c>
      <c r="F43" s="46">
        <f>'2023年'!F43</f>
        <v>36.10991150442478</v>
      </c>
      <c r="G43" s="46">
        <f>'2023年'!G43</f>
        <v>27.667433628318587</v>
      </c>
      <c r="H43" s="46" t="e">
        <f>'2023年'!H43</f>
        <v>#VALUE!</v>
      </c>
      <c r="I43" s="46">
        <f>'2023年'!I43</f>
        <v>0</v>
      </c>
      <c r="J43" s="46">
        <f>'2023年'!J43</f>
        <v>0</v>
      </c>
      <c r="K43" s="47"/>
      <c r="AG43" s="40" t="s">
        <v>18</v>
      </c>
      <c r="AH43" s="40" t="s">
        <v>79</v>
      </c>
    </row>
    <row r="44" spans="1:34">
      <c r="A44" s="145">
        <v>2</v>
      </c>
      <c r="B44" s="48" t="s">
        <v>80</v>
      </c>
      <c r="C44" s="46">
        <f>'2023年'!C44</f>
        <v>4.1317699115044251</v>
      </c>
      <c r="D44" s="46">
        <f>'2023年'!D44</f>
        <v>4.3904424778761069</v>
      </c>
      <c r="E44" s="46">
        <f>'2023年'!E44</f>
        <v>9.7596460176991169</v>
      </c>
      <c r="F44" s="46">
        <f>'2023年'!F44</f>
        <v>6.3392955752212403</v>
      </c>
      <c r="G44" s="46">
        <f>'2023年'!G44</f>
        <v>4.85717168141593</v>
      </c>
      <c r="H44" s="46" t="e">
        <f>'2023年'!H44</f>
        <v>#VALUE!</v>
      </c>
      <c r="I44" s="46">
        <f>'2023年'!I44</f>
        <v>0</v>
      </c>
      <c r="J44" s="46">
        <f>'2023年'!J44</f>
        <v>0</v>
      </c>
      <c r="K44" s="47"/>
      <c r="AG44" s="40" t="s">
        <v>20</v>
      </c>
      <c r="AH44" s="40" t="s">
        <v>80</v>
      </c>
    </row>
    <row r="45" spans="1:34">
      <c r="A45" s="145">
        <v>3</v>
      </c>
      <c r="B45" s="48" t="s">
        <v>81</v>
      </c>
      <c r="C45" s="46">
        <f>'2023年'!C45</f>
        <v>21.214969726730484</v>
      </c>
      <c r="D45" s="46">
        <f>'2023年'!D45</f>
        <v>22.543148880519027</v>
      </c>
      <c r="E45" s="46">
        <f>'2023年'!E45</f>
        <v>50.111840505102805</v>
      </c>
      <c r="F45" s="46">
        <f>'2023年'!F45</f>
        <v>32.549722418629671</v>
      </c>
      <c r="G45" s="46">
        <f>'2023年'!G45</f>
        <v>24.939614834760189</v>
      </c>
      <c r="H45" s="46" t="e">
        <f>'2023年'!H45</f>
        <v>#VALUE!</v>
      </c>
      <c r="I45" s="46">
        <f>'2023年'!I45</f>
        <v>0</v>
      </c>
      <c r="J45" s="46">
        <f>'2023年'!J45</f>
        <v>0</v>
      </c>
      <c r="K45" s="47"/>
      <c r="AG45" s="40" t="s">
        <v>66</v>
      </c>
      <c r="AH45" s="40" t="s">
        <v>81</v>
      </c>
    </row>
    <row r="46" spans="1:34" s="35" customFormat="1">
      <c r="A46" s="145">
        <v>4</v>
      </c>
      <c r="B46" s="48" t="s">
        <v>82</v>
      </c>
      <c r="C46" s="53">
        <f>C21/C6</f>
        <v>0</v>
      </c>
      <c r="D46" s="53">
        <f t="shared" ref="D46:J46" si="30">D21/D6</f>
        <v>0</v>
      </c>
      <c r="E46" s="53">
        <f t="shared" si="30"/>
        <v>0</v>
      </c>
      <c r="F46" s="53">
        <f t="shared" si="30"/>
        <v>0</v>
      </c>
      <c r="G46" s="53">
        <f t="shared" si="30"/>
        <v>0</v>
      </c>
      <c r="H46" s="53" t="e">
        <f t="shared" si="30"/>
        <v>#DIV/0!</v>
      </c>
      <c r="I46" s="53" t="e">
        <f t="shared" si="30"/>
        <v>#DIV/0!</v>
      </c>
      <c r="J46" s="53" t="e">
        <f t="shared" si="30"/>
        <v>#DIV/0!</v>
      </c>
      <c r="K46" s="53"/>
      <c r="AG46" s="48" t="s">
        <v>26</v>
      </c>
      <c r="AH46" s="48" t="s">
        <v>84</v>
      </c>
    </row>
    <row r="47" spans="1:34" s="35" customFormat="1">
      <c r="A47" s="145">
        <v>5</v>
      </c>
      <c r="B47" s="48" t="s">
        <v>84</v>
      </c>
      <c r="C47" s="53">
        <f>'2023年'!C47</f>
        <v>11.14008849557522</v>
      </c>
      <c r="D47" s="53">
        <f>'2023年'!D47</f>
        <v>11.837522123893807</v>
      </c>
      <c r="E47" s="53">
        <f>'2023年'!E47</f>
        <v>26.313982300884955</v>
      </c>
      <c r="F47" s="53">
        <f>'2023年'!F47</f>
        <v>17.092024778761065</v>
      </c>
      <c r="G47" s="53">
        <f>'2023年'!G47</f>
        <v>13.095918584070798</v>
      </c>
      <c r="H47" s="53" t="e">
        <f>'2023年'!H47</f>
        <v>#VALUE!</v>
      </c>
      <c r="I47" s="53">
        <f>'2023年'!I47</f>
        <v>0</v>
      </c>
      <c r="J47" s="53">
        <f>'2023年'!J47</f>
        <v>0</v>
      </c>
      <c r="K47" s="53"/>
      <c r="AG47" s="48" t="s">
        <v>26</v>
      </c>
      <c r="AH47" s="48" t="s">
        <v>84</v>
      </c>
    </row>
    <row r="48" spans="1:34">
      <c r="A48" s="40" t="s">
        <v>77</v>
      </c>
      <c r="B48" s="43" t="s">
        <v>95</v>
      </c>
      <c r="C48" s="47">
        <f>C40-C43-C44-C45-C47-C46</f>
        <v>-45.834817089923781</v>
      </c>
      <c r="D48" s="47">
        <f t="shared" ref="D48:J48" si="31">D40-D43-D44-D45-D47-D46</f>
        <v>-402.28395256427166</v>
      </c>
      <c r="E48" s="47">
        <f t="shared" si="31"/>
        <v>-243.79757000570442</v>
      </c>
      <c r="F48" s="47">
        <f t="shared" si="31"/>
        <v>52.157295611308705</v>
      </c>
      <c r="G48" s="47">
        <f t="shared" si="31"/>
        <v>-41.956403959372793</v>
      </c>
      <c r="H48" s="47" t="e">
        <f t="shared" si="31"/>
        <v>#DIV/0!</v>
      </c>
      <c r="I48" s="47" t="e">
        <f t="shared" si="31"/>
        <v>#DIV/0!</v>
      </c>
      <c r="J48" s="47" t="e">
        <f t="shared" si="31"/>
        <v>#DIV/0!</v>
      </c>
      <c r="K48" s="47"/>
      <c r="AG48" s="40" t="s">
        <v>94</v>
      </c>
      <c r="AH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K3:K5"/>
    <mergeCell ref="C2:K2"/>
    <mergeCell ref="C1:K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20" activePane="bottomRight" state="frozen"/>
      <selection pane="topRight"/>
      <selection pane="bottomLeft"/>
      <selection pane="bottomRight" activeCell="J7" sqref="J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35" t="s">
        <v>135</v>
      </c>
      <c r="B1" s="235"/>
      <c r="C1" s="239" t="s">
        <v>227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福田长沙汽车厂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6" t="str">
        <f>'2023年'!C3</f>
        <v>驾驶员座椅总成</v>
      </c>
      <c r="D3" s="146" t="str">
        <f>'2023年'!D3</f>
        <v>驾驶员座椅总成</v>
      </c>
      <c r="E3" s="146" t="str">
        <f>'2023年'!E3</f>
        <v>驾驶员座椅总成</v>
      </c>
      <c r="F3" s="146" t="str">
        <f>'2023年'!F3</f>
        <v>副驾驶员座椅总成</v>
      </c>
      <c r="G3" s="146" t="str">
        <f>'2023年'!G3</f>
        <v>副驾驶员座椅总成</v>
      </c>
      <c r="H3" s="146">
        <f>'2023年'!H3</f>
        <v>0</v>
      </c>
      <c r="I3" s="146">
        <f>'2023年'!I3</f>
        <v>0</v>
      </c>
      <c r="J3" s="146">
        <f>'2023年'!J3</f>
        <v>0</v>
      </c>
      <c r="K3" s="236" t="s">
        <v>14</v>
      </c>
    </row>
    <row r="4" spans="1:40">
      <c r="A4" s="235" t="s">
        <v>138</v>
      </c>
      <c r="B4" s="235"/>
      <c r="C4" s="146" t="str">
        <f>'2023年'!C4</f>
        <v>L168100000539</v>
      </c>
      <c r="D4" s="146" t="str">
        <f>'2023年'!D4</f>
        <v>L168100000540</v>
      </c>
      <c r="E4" s="146" t="str">
        <f>'2023年'!E4</f>
        <v>L168100000541</v>
      </c>
      <c r="F4" s="146" t="str">
        <f>'2023年'!F4</f>
        <v>L168100000425</v>
      </c>
      <c r="G4" s="146" t="str">
        <f>'2023年'!G4</f>
        <v>L168100000426</v>
      </c>
      <c r="H4" s="146">
        <f>'2023年'!H4</f>
        <v>0</v>
      </c>
      <c r="I4" s="146">
        <f>'2023年'!I4</f>
        <v>0</v>
      </c>
      <c r="J4" s="146">
        <f>'2023年'!J4</f>
        <v>0</v>
      </c>
      <c r="K4" s="237"/>
    </row>
    <row r="5" spans="1:40">
      <c r="A5" s="235" t="s">
        <v>139</v>
      </c>
      <c r="B5" s="235"/>
      <c r="C5" s="39"/>
      <c r="D5" s="39"/>
      <c r="E5" s="39"/>
      <c r="F5" s="39"/>
      <c r="G5" s="39"/>
      <c r="H5" s="39"/>
      <c r="I5" s="39"/>
      <c r="J5" s="39"/>
      <c r="K5" s="238"/>
      <c r="AN5" s="36" t="s">
        <v>15</v>
      </c>
    </row>
    <row r="6" spans="1:40" ht="17.25">
      <c r="A6" s="40" t="s">
        <v>13</v>
      </c>
      <c r="B6" s="41" t="s">
        <v>140</v>
      </c>
      <c r="C6" s="12">
        <f>销量!C13</f>
        <v>184</v>
      </c>
      <c r="D6" s="12">
        <f>销量!D13</f>
        <v>150</v>
      </c>
      <c r="E6" s="12">
        <f>销量!E13</f>
        <v>150</v>
      </c>
      <c r="F6" s="12">
        <f>销量!F13</f>
        <v>300</v>
      </c>
      <c r="G6" s="12">
        <f>销量!G13</f>
        <v>184</v>
      </c>
      <c r="H6" s="12">
        <f>销量!H13</f>
        <v>0</v>
      </c>
      <c r="I6" s="12">
        <f>销量!I13</f>
        <v>0</v>
      </c>
      <c r="J6" s="12">
        <f>销量!J13</f>
        <v>0</v>
      </c>
      <c r="K6" s="42">
        <f>SUM(C6:J6)</f>
        <v>968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5">
        <v>1</v>
      </c>
      <c r="B7" s="41" t="s">
        <v>17</v>
      </c>
      <c r="C7" s="42">
        <f>C6*销量!C8</f>
        <v>96233.628318584073</v>
      </c>
      <c r="D7" s="42">
        <f>D6*销量!D8</f>
        <v>83362.831858407095</v>
      </c>
      <c r="E7" s="42">
        <f>E6*销量!E8</f>
        <v>185309.73451327434</v>
      </c>
      <c r="F7" s="42">
        <f>F6*销量!F8</f>
        <v>240732.74336283188</v>
      </c>
      <c r="G7" s="42">
        <f>G6*销量!G8</f>
        <v>113129.06194690267</v>
      </c>
      <c r="H7" s="42"/>
      <c r="I7" s="42">
        <f>I6*销量!I8</f>
        <v>0</v>
      </c>
      <c r="J7" s="42">
        <f>J6*销量!J8</f>
        <v>0</v>
      </c>
      <c r="K7" s="42">
        <f t="shared" ref="K7:K22" si="0">SUM(C7:J7)</f>
        <v>718768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5">
        <v>2</v>
      </c>
      <c r="B8" s="145" t="s">
        <v>19</v>
      </c>
      <c r="C8" s="42">
        <f>C7*(1-销量!$O$9)</f>
        <v>0</v>
      </c>
      <c r="D8" s="42">
        <f>D7*(1-销量!$O$9)</f>
        <v>0</v>
      </c>
      <c r="E8" s="42">
        <f>E7*(1-销量!$O$9)</f>
        <v>0</v>
      </c>
      <c r="F8" s="42">
        <f>F7*(1-销量!$O$9)</f>
        <v>0</v>
      </c>
      <c r="G8" s="42">
        <f>G7*(1-销量!$O$9)</f>
        <v>0</v>
      </c>
      <c r="H8" s="42">
        <f>H7*(1-销量!$O$9)</f>
        <v>0</v>
      </c>
      <c r="I8" s="42">
        <f>I7*(1-销量!$O$9)</f>
        <v>0</v>
      </c>
      <c r="J8" s="42">
        <f>J7*(1-销量!$O$9)</f>
        <v>0</v>
      </c>
      <c r="K8" s="42">
        <f t="shared" si="0"/>
        <v>0</v>
      </c>
      <c r="L8" s="57"/>
      <c r="V8" s="145" t="s">
        <v>21</v>
      </c>
      <c r="AL8" s="40" t="s">
        <v>20</v>
      </c>
      <c r="AM8" s="145" t="s">
        <v>21</v>
      </c>
      <c r="AN8" s="36" t="s">
        <v>16</v>
      </c>
    </row>
    <row r="9" spans="1:40">
      <c r="A9" s="145">
        <v>3</v>
      </c>
      <c r="B9" s="41" t="s">
        <v>22</v>
      </c>
      <c r="C9" s="42">
        <f>+C7-C8</f>
        <v>96233.628318584073</v>
      </c>
      <c r="D9" s="42">
        <f t="shared" ref="D9:J9" si="1">+D7-D8</f>
        <v>83362.831858407095</v>
      </c>
      <c r="E9" s="42">
        <f t="shared" si="1"/>
        <v>185309.73451327434</v>
      </c>
      <c r="F9" s="42">
        <f t="shared" si="1"/>
        <v>240732.74336283188</v>
      </c>
      <c r="G9" s="42">
        <f t="shared" si="1"/>
        <v>113129.06194690267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718768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5">
        <v>4</v>
      </c>
      <c r="B10" s="40" t="s">
        <v>25</v>
      </c>
      <c r="C10" s="42">
        <f>C6*C33</f>
        <v>84473.674841948348</v>
      </c>
      <c r="D10" s="42">
        <f t="shared" ref="D10:J10" si="2">D6*D33</f>
        <v>125682.28942353386</v>
      </c>
      <c r="E10" s="42">
        <f t="shared" si="2"/>
        <v>182790.88017286043</v>
      </c>
      <c r="F10" s="42">
        <f t="shared" si="2"/>
        <v>174937.9001742932</v>
      </c>
      <c r="G10" s="42">
        <f t="shared" si="2"/>
        <v>97132.103947429947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665016.84856006573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5">
        <v>5</v>
      </c>
      <c r="B11" s="40" t="s">
        <v>28</v>
      </c>
      <c r="C11" s="42">
        <f>+C6*C36</f>
        <v>5595.0809027949699</v>
      </c>
      <c r="D11" s="42">
        <f t="shared" ref="D11:J11" si="3">+D6*D36</f>
        <v>4846.7650724939876</v>
      </c>
      <c r="E11" s="42">
        <f t="shared" si="3"/>
        <v>10774.019173887909</v>
      </c>
      <c r="F11" s="42">
        <f t="shared" si="3"/>
        <v>13996.346169218627</v>
      </c>
      <c r="G11" s="42">
        <f t="shared" si="3"/>
        <v>6577.3915533432046</v>
      </c>
      <c r="H11" s="42"/>
      <c r="I11" s="42">
        <f t="shared" si="3"/>
        <v>0</v>
      </c>
      <c r="J11" s="42">
        <f t="shared" si="3"/>
        <v>0</v>
      </c>
      <c r="K11" s="42">
        <f t="shared" si="0"/>
        <v>41789.602871738694</v>
      </c>
      <c r="V11" s="40" t="s">
        <v>28</v>
      </c>
      <c r="AL11" s="40" t="s">
        <v>29</v>
      </c>
      <c r="AM11" s="40" t="s">
        <v>28</v>
      </c>
    </row>
    <row r="12" spans="1:40">
      <c r="A12" s="145">
        <v>6</v>
      </c>
      <c r="B12" s="40" t="s">
        <v>30</v>
      </c>
      <c r="C12" s="42">
        <f>+C6*C37</f>
        <v>1738.7835413955759</v>
      </c>
      <c r="D12" s="42">
        <f t="shared" ref="D12:J12" si="4">+D6*D37</f>
        <v>1506.2293974790632</v>
      </c>
      <c r="E12" s="42">
        <f t="shared" si="4"/>
        <v>3348.2424185999562</v>
      </c>
      <c r="F12" s="42">
        <f t="shared" si="4"/>
        <v>4349.6451224780749</v>
      </c>
      <c r="G12" s="42">
        <f t="shared" si="4"/>
        <v>2044.0562660236724</v>
      </c>
      <c r="H12" s="42"/>
      <c r="I12" s="42">
        <f t="shared" si="4"/>
        <v>0</v>
      </c>
      <c r="J12" s="42">
        <f t="shared" si="4"/>
        <v>0</v>
      </c>
      <c r="K12" s="42">
        <f t="shared" si="0"/>
        <v>12986.956745976342</v>
      </c>
      <c r="V12" s="40" t="s">
        <v>30</v>
      </c>
      <c r="AL12" s="40" t="s">
        <v>31</v>
      </c>
      <c r="AM12" s="40" t="s">
        <v>30</v>
      </c>
    </row>
    <row r="13" spans="1:40">
      <c r="A13" s="145">
        <v>7</v>
      </c>
      <c r="B13" s="40" t="s">
        <v>32</v>
      </c>
      <c r="C13" s="42">
        <f>+C6*C38</f>
        <v>962.33628318584067</v>
      </c>
      <c r="D13" s="42">
        <f t="shared" ref="D13:J13" si="5">+D6*D38</f>
        <v>833.62831858407094</v>
      </c>
      <c r="E13" s="42">
        <f t="shared" si="5"/>
        <v>1853.0973451327434</v>
      </c>
      <c r="F13" s="42">
        <f t="shared" si="5"/>
        <v>2407.3274336283189</v>
      </c>
      <c r="G13" s="42">
        <f t="shared" si="5"/>
        <v>1131.2906194690268</v>
      </c>
      <c r="H13" s="42"/>
      <c r="I13" s="42">
        <f t="shared" si="5"/>
        <v>0</v>
      </c>
      <c r="J13" s="42">
        <f t="shared" si="5"/>
        <v>0</v>
      </c>
      <c r="K13" s="42">
        <f t="shared" si="0"/>
        <v>7187.6800000000012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5">
        <v>8</v>
      </c>
      <c r="B14" s="43" t="s">
        <v>34</v>
      </c>
      <c r="C14" s="42">
        <f>SUM(C11:C13)</f>
        <v>8296.2007273763866</v>
      </c>
      <c r="D14" s="42">
        <f t="shared" ref="D14:J14" si="6">SUM(D11:D13)</f>
        <v>7186.6227885571225</v>
      </c>
      <c r="E14" s="42">
        <f t="shared" si="6"/>
        <v>15975.358937620609</v>
      </c>
      <c r="F14" s="42">
        <f t="shared" si="6"/>
        <v>20753.318725325018</v>
      </c>
      <c r="G14" s="42">
        <f t="shared" si="6"/>
        <v>9752.7384388359023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61964.239617715037</v>
      </c>
      <c r="V14" s="43" t="s">
        <v>34</v>
      </c>
      <c r="AL14" s="40" t="s">
        <v>35</v>
      </c>
      <c r="AM14" s="43" t="s">
        <v>34</v>
      </c>
    </row>
    <row r="15" spans="1:40">
      <c r="A15" s="145">
        <v>9</v>
      </c>
      <c r="B15" s="43" t="s">
        <v>36</v>
      </c>
      <c r="C15" s="42">
        <f>+C9-C10-C14</f>
        <v>3463.7527492593381</v>
      </c>
      <c r="D15" s="42">
        <f t="shared" ref="D15:J15" si="7">+D9-D10-D14</f>
        <v>-49506.080353683887</v>
      </c>
      <c r="E15" s="42">
        <f t="shared" si="7"/>
        <v>-13456.504597206704</v>
      </c>
      <c r="F15" s="42">
        <f t="shared" si="7"/>
        <v>45041.52446321366</v>
      </c>
      <c r="G15" s="42">
        <f t="shared" si="7"/>
        <v>6244.2195606368223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-8213.0881777807699</v>
      </c>
      <c r="V15" s="43" t="s">
        <v>36</v>
      </c>
      <c r="AL15" s="40" t="s">
        <v>37</v>
      </c>
      <c r="AM15" s="43" t="s">
        <v>36</v>
      </c>
    </row>
    <row r="16" spans="1:40">
      <c r="A16" s="145">
        <v>10</v>
      </c>
      <c r="B16" s="40" t="s">
        <v>38</v>
      </c>
      <c r="C16" s="44">
        <f>+C15/C9</f>
        <v>3.5993163822032041E-2</v>
      </c>
      <c r="D16" s="44">
        <f t="shared" ref="D16:J16" si="8">+D15/D9</f>
        <v>-0.59386274734249234</v>
      </c>
      <c r="E16" s="44">
        <f t="shared" si="8"/>
        <v>-7.2616285553216697E-2</v>
      </c>
      <c r="F16" s="44">
        <f t="shared" si="8"/>
        <v>0.18710177865304833</v>
      </c>
      <c r="G16" s="44">
        <f t="shared" si="8"/>
        <v>5.5195539087626817E-2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>
        <f t="shared" ref="K16" si="9">+K15/K9</f>
        <v>-1.1426619128537678E-2</v>
      </c>
      <c r="V16" s="40" t="s">
        <v>38</v>
      </c>
      <c r="AL16" s="40" t="s">
        <v>39</v>
      </c>
      <c r="AM16" s="40" t="s">
        <v>38</v>
      </c>
    </row>
    <row r="17" spans="1:40">
      <c r="A17" s="145">
        <v>11</v>
      </c>
      <c r="B17" s="40" t="s">
        <v>40</v>
      </c>
      <c r="C17" s="42">
        <f>C6*C43+C18</f>
        <v>4330.5132743362838</v>
      </c>
      <c r="D17" s="42">
        <f t="shared" ref="D17:J17" si="10">D6*D43+D18</f>
        <v>3751.3274336283189</v>
      </c>
      <c r="E17" s="42">
        <f t="shared" si="10"/>
        <v>8338.9380530973449</v>
      </c>
      <c r="F17" s="42">
        <f t="shared" si="10"/>
        <v>10832.973451327434</v>
      </c>
      <c r="G17" s="42">
        <f t="shared" si="10"/>
        <v>5090.8077876106199</v>
      </c>
      <c r="H17" s="42"/>
      <c r="I17" s="42">
        <f t="shared" si="10"/>
        <v>0</v>
      </c>
      <c r="J17" s="42">
        <f t="shared" si="10"/>
        <v>0</v>
      </c>
      <c r="K17" s="42">
        <f t="shared" si="0"/>
        <v>32344.560000000005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5">
        <v>12</v>
      </c>
      <c r="B18" s="45" t="s">
        <v>141</v>
      </c>
      <c r="C18" s="46">
        <f>$K$18/$K$6*C6</f>
        <v>0</v>
      </c>
      <c r="D18" s="46">
        <f t="shared" ref="D18:J18" si="11">$K$18/$K$6*D6</f>
        <v>0</v>
      </c>
      <c r="E18" s="46">
        <f t="shared" si="11"/>
        <v>0</v>
      </c>
      <c r="F18" s="46">
        <f t="shared" si="11"/>
        <v>0</v>
      </c>
      <c r="G18" s="46">
        <f t="shared" si="11"/>
        <v>0</v>
      </c>
      <c r="H18" s="46">
        <f t="shared" si="11"/>
        <v>0</v>
      </c>
      <c r="I18" s="46">
        <f t="shared" si="11"/>
        <v>0</v>
      </c>
      <c r="J18" s="46">
        <f t="shared" si="11"/>
        <v>0</v>
      </c>
      <c r="K18" s="46">
        <f>项目投资!D26</f>
        <v>0</v>
      </c>
      <c r="L18" s="58" t="s">
        <v>142</v>
      </c>
      <c r="M18" s="58"/>
      <c r="N18" s="58"/>
    </row>
    <row r="19" spans="1:40">
      <c r="A19" s="145">
        <v>13</v>
      </c>
      <c r="B19" s="40" t="s">
        <v>42</v>
      </c>
      <c r="C19" s="42">
        <f>C6*C44</f>
        <v>760.24566371681419</v>
      </c>
      <c r="D19" s="42">
        <f t="shared" ref="D19:J19" si="12">D6*D44</f>
        <v>658.56637168141606</v>
      </c>
      <c r="E19" s="42">
        <f t="shared" si="12"/>
        <v>1463.9469026548675</v>
      </c>
      <c r="F19" s="42">
        <f t="shared" si="12"/>
        <v>1901.788672566372</v>
      </c>
      <c r="G19" s="42">
        <f t="shared" si="12"/>
        <v>893.71958938053115</v>
      </c>
      <c r="H19" s="42"/>
      <c r="I19" s="42">
        <f t="shared" si="12"/>
        <v>0</v>
      </c>
      <c r="J19" s="42">
        <f t="shared" si="12"/>
        <v>0</v>
      </c>
      <c r="K19" s="42">
        <f t="shared" si="0"/>
        <v>5678.2672000000011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5">
        <v>14</v>
      </c>
      <c r="B20" s="40" t="s">
        <v>44</v>
      </c>
      <c r="C20" s="42">
        <f>C6*C45</f>
        <v>3903.5544297184092</v>
      </c>
      <c r="D20" s="42">
        <f t="shared" ref="D20:J20" si="13">D6*D45</f>
        <v>3381.4723320778539</v>
      </c>
      <c r="E20" s="42">
        <f t="shared" si="13"/>
        <v>7516.7760757654205</v>
      </c>
      <c r="F20" s="42">
        <f t="shared" si="13"/>
        <v>9764.9167255889006</v>
      </c>
      <c r="G20" s="42">
        <f t="shared" si="13"/>
        <v>4588.8891295958747</v>
      </c>
      <c r="H20" s="42"/>
      <c r="I20" s="42">
        <f t="shared" si="13"/>
        <v>0</v>
      </c>
      <c r="J20" s="42">
        <f t="shared" si="13"/>
        <v>0</v>
      </c>
      <c r="K20" s="42">
        <f t="shared" si="0"/>
        <v>29155.60869274646</v>
      </c>
      <c r="V20" s="40" t="s">
        <v>44</v>
      </c>
      <c r="AL20" s="40" t="s">
        <v>45</v>
      </c>
      <c r="AM20" s="40" t="s">
        <v>44</v>
      </c>
    </row>
    <row r="21" spans="1:40">
      <c r="A21" s="145">
        <v>15</v>
      </c>
      <c r="B21" s="40" t="s">
        <v>46</v>
      </c>
      <c r="C21" s="47">
        <f>$K$21/$K$6*C6</f>
        <v>0</v>
      </c>
      <c r="D21" s="47">
        <f t="shared" ref="D21:J21" si="14">$K$21/$K$6*D6</f>
        <v>0</v>
      </c>
      <c r="E21" s="47">
        <f t="shared" si="14"/>
        <v>0</v>
      </c>
      <c r="F21" s="47">
        <f t="shared" si="14"/>
        <v>0</v>
      </c>
      <c r="G21" s="47">
        <f t="shared" si="14"/>
        <v>0</v>
      </c>
      <c r="H21" s="47"/>
      <c r="I21" s="47">
        <f t="shared" si="14"/>
        <v>0</v>
      </c>
      <c r="J21" s="47">
        <f t="shared" si="14"/>
        <v>0</v>
      </c>
      <c r="K21" s="42">
        <f>项目投资!G27</f>
        <v>0</v>
      </c>
      <c r="V21" s="40" t="s">
        <v>46</v>
      </c>
      <c r="AL21" s="40"/>
      <c r="AM21" s="40"/>
    </row>
    <row r="22" spans="1:40">
      <c r="A22" s="145">
        <v>16</v>
      </c>
      <c r="B22" s="40" t="s">
        <v>47</v>
      </c>
      <c r="C22" s="42">
        <f>C6*C47</f>
        <v>2049.7762831858404</v>
      </c>
      <c r="D22" s="42">
        <f t="shared" ref="D22:J22" si="15">D6*D47</f>
        <v>1775.6283185840712</v>
      </c>
      <c r="E22" s="42">
        <f t="shared" si="15"/>
        <v>3947.0973451327432</v>
      </c>
      <c r="F22" s="42">
        <f t="shared" si="15"/>
        <v>5127.6074336283191</v>
      </c>
      <c r="G22" s="42">
        <f t="shared" si="15"/>
        <v>2409.6490194690268</v>
      </c>
      <c r="H22" s="42"/>
      <c r="I22" s="42">
        <f t="shared" si="15"/>
        <v>0</v>
      </c>
      <c r="J22" s="42">
        <f t="shared" si="15"/>
        <v>0</v>
      </c>
      <c r="K22" s="42">
        <f t="shared" si="0"/>
        <v>15309.758400000001</v>
      </c>
      <c r="V22" s="40" t="s">
        <v>47</v>
      </c>
      <c r="AL22" s="40" t="s">
        <v>48</v>
      </c>
      <c r="AM22" s="40" t="s">
        <v>47</v>
      </c>
    </row>
    <row r="23" spans="1:40">
      <c r="A23" s="145">
        <v>17</v>
      </c>
      <c r="B23" s="43" t="s">
        <v>49</v>
      </c>
      <c r="C23" s="47">
        <f>+C22+C21+C20+C19+C17</f>
        <v>11044.089650957347</v>
      </c>
      <c r="D23" s="47">
        <f t="shared" ref="D23:J23" si="16">+D22+D21+D20+D19+D17</f>
        <v>9566.9944559716605</v>
      </c>
      <c r="E23" s="47">
        <f t="shared" si="16"/>
        <v>21266.758376650374</v>
      </c>
      <c r="F23" s="47">
        <f t="shared" si="16"/>
        <v>27627.286283111029</v>
      </c>
      <c r="G23" s="47">
        <f t="shared" si="16"/>
        <v>12983.065526056052</v>
      </c>
      <c r="H23" s="47">
        <f t="shared" si="16"/>
        <v>0</v>
      </c>
      <c r="I23" s="47">
        <f t="shared" si="16"/>
        <v>0</v>
      </c>
      <c r="J23" s="47">
        <f t="shared" si="16"/>
        <v>0</v>
      </c>
      <c r="K23" s="47">
        <f t="shared" ref="K23" si="17">+K22+K21+K20+K19+K17</f>
        <v>82488.19429274647</v>
      </c>
      <c r="V23" s="43" t="s">
        <v>49</v>
      </c>
      <c r="AL23" s="40" t="s">
        <v>50</v>
      </c>
      <c r="AM23" s="43" t="s">
        <v>49</v>
      </c>
    </row>
    <row r="24" spans="1:40">
      <c r="A24" s="145">
        <v>18</v>
      </c>
      <c r="B24" s="48" t="s">
        <v>51</v>
      </c>
      <c r="C24" s="47">
        <f>+C15-C23</f>
        <v>-7580.3369016980087</v>
      </c>
      <c r="D24" s="47">
        <f t="shared" ref="D24:J24" si="18">+D15-D23</f>
        <v>-59073.074809655547</v>
      </c>
      <c r="E24" s="47">
        <f t="shared" si="18"/>
        <v>-34723.262973857076</v>
      </c>
      <c r="F24" s="47">
        <f t="shared" si="18"/>
        <v>17414.238180102631</v>
      </c>
      <c r="G24" s="47">
        <f t="shared" si="18"/>
        <v>-6738.8459654192302</v>
      </c>
      <c r="H24" s="47">
        <f t="shared" si="18"/>
        <v>0</v>
      </c>
      <c r="I24" s="47">
        <f t="shared" si="18"/>
        <v>0</v>
      </c>
      <c r="J24" s="47">
        <f t="shared" si="18"/>
        <v>0</v>
      </c>
      <c r="K24" s="47">
        <f t="shared" ref="K24" si="19">+K15-K23</f>
        <v>-90701.282470527236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5">
        <v>19</v>
      </c>
      <c r="B25" s="40" t="s">
        <v>228</v>
      </c>
      <c r="C25" s="47">
        <f>IF(C24&lt;0,0,C24*0.15)</f>
        <v>0</v>
      </c>
      <c r="D25" s="47">
        <f t="shared" ref="D25:J25" si="20">IF(D24&lt;0,0,D24*0.15)</f>
        <v>0</v>
      </c>
      <c r="E25" s="47">
        <f t="shared" si="20"/>
        <v>0</v>
      </c>
      <c r="F25" s="47">
        <f t="shared" si="20"/>
        <v>2612.1357270153944</v>
      </c>
      <c r="G25" s="47">
        <f t="shared" si="20"/>
        <v>0</v>
      </c>
      <c r="H25" s="47">
        <f t="shared" si="20"/>
        <v>0</v>
      </c>
      <c r="I25" s="47">
        <f t="shared" si="20"/>
        <v>0</v>
      </c>
      <c r="J25" s="47">
        <f t="shared" si="20"/>
        <v>0</v>
      </c>
      <c r="K25" s="47">
        <f>IF(K24&lt;0,0,K24*0.15)</f>
        <v>0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5">
        <v>20</v>
      </c>
      <c r="B26" s="40" t="s">
        <v>55</v>
      </c>
      <c r="C26" s="47">
        <f t="shared" ref="C26" si="21">C24-C25</f>
        <v>-7580.3369016980087</v>
      </c>
      <c r="D26" s="47">
        <f t="shared" ref="D26:J26" si="22">D24-D25</f>
        <v>-59073.074809655547</v>
      </c>
      <c r="E26" s="47">
        <f t="shared" si="22"/>
        <v>-34723.262973857076</v>
      </c>
      <c r="F26" s="47">
        <f t="shared" si="22"/>
        <v>14802.102453087236</v>
      </c>
      <c r="G26" s="47">
        <f t="shared" si="22"/>
        <v>-6738.8459654192302</v>
      </c>
      <c r="H26" s="47">
        <f t="shared" si="22"/>
        <v>0</v>
      </c>
      <c r="I26" s="47">
        <f t="shared" si="22"/>
        <v>0</v>
      </c>
      <c r="J26" s="47">
        <f t="shared" si="22"/>
        <v>0</v>
      </c>
      <c r="K26" s="42">
        <f>+SUM(C26:J26)</f>
        <v>-93313.418197542618</v>
      </c>
      <c r="L26" s="55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5">
        <v>21</v>
      </c>
      <c r="B27" s="40" t="s">
        <v>59</v>
      </c>
      <c r="C27" s="49">
        <f t="shared" ref="C27:K27" si="23">C26/C7</f>
        <v>-7.8770145469347727E-2</v>
      </c>
      <c r="D27" s="49">
        <f t="shared" ref="D27:J27" si="24">D26/D7</f>
        <v>-0.70862605663387213</v>
      </c>
      <c r="E27" s="49">
        <f t="shared" si="24"/>
        <v>-0.18737959484459646</v>
      </c>
      <c r="F27" s="49">
        <f t="shared" si="24"/>
        <v>6.1487698957418263E-2</v>
      </c>
      <c r="G27" s="49">
        <f t="shared" si="24"/>
        <v>-5.9567770203752944E-2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>
        <f t="shared" si="23"/>
        <v>-0.12982411320139825</v>
      </c>
      <c r="L27" s="55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5">
        <v>1</v>
      </c>
      <c r="B31" s="45" t="s">
        <v>64</v>
      </c>
      <c r="C31" s="51">
        <f>'2023年'!C31</f>
        <v>523.00884955752213</v>
      </c>
      <c r="D31" s="51">
        <f>'2023年'!D31</f>
        <v>555.75221238938059</v>
      </c>
      <c r="E31" s="51">
        <f>'2023年'!E31</f>
        <v>1235.3982300884957</v>
      </c>
      <c r="F31" s="51">
        <f>'2023年'!F31</f>
        <v>802.4424778761063</v>
      </c>
      <c r="G31" s="51">
        <f>'2023年'!G31</f>
        <v>614.83185840707972</v>
      </c>
      <c r="H31" s="51" t="str">
        <f>'2023年'!H31</f>
        <v>含到诸城运费，不含到长沙运费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5">
        <v>2</v>
      </c>
      <c r="B32" s="40" t="s">
        <v>144</v>
      </c>
      <c r="C32" s="42">
        <f>C9/C6</f>
        <v>523.00884955752213</v>
      </c>
      <c r="D32" s="42">
        <f t="shared" ref="D32:J32" si="25">D9/D6</f>
        <v>555.75221238938059</v>
      </c>
      <c r="E32" s="42">
        <f t="shared" si="25"/>
        <v>1235.3982300884957</v>
      </c>
      <c r="F32" s="42">
        <f t="shared" si="25"/>
        <v>802.4424778761063</v>
      </c>
      <c r="G32" s="42">
        <f t="shared" si="25"/>
        <v>614.83185840707972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5">
        <v>3</v>
      </c>
      <c r="B33" s="45" t="s">
        <v>65</v>
      </c>
      <c r="C33" s="42">
        <f>'2025年'!C33*(1-0.01)</f>
        <v>459.09605892363231</v>
      </c>
      <c r="D33" s="42">
        <f>'2025年'!D33*(1-0.01)</f>
        <v>837.88192949022573</v>
      </c>
      <c r="E33" s="42">
        <f>'2025年'!E33*(1-0.01)</f>
        <v>1218.6058678190695</v>
      </c>
      <c r="F33" s="42">
        <f>'2025年'!F33*(1-0.01)</f>
        <v>583.12633391431064</v>
      </c>
      <c r="G33" s="42">
        <f>'2025年'!G33*(1-0.01)</f>
        <v>527.89186927951062</v>
      </c>
      <c r="H33" s="42">
        <f>'2025年'!H33*(1-0.01)</f>
        <v>0</v>
      </c>
      <c r="I33" s="42">
        <f>'2025年'!I33*(1-0.01)</f>
        <v>0</v>
      </c>
      <c r="J33" s="42">
        <f>'2025年'!J33*(1-0.01)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5">
        <v>4</v>
      </c>
      <c r="B34" s="40" t="s">
        <v>67</v>
      </c>
      <c r="C34" s="52">
        <f>C32-C33</f>
        <v>63.912790633889813</v>
      </c>
      <c r="D34" s="52">
        <f t="shared" ref="D34:J34" si="26">D32-D33</f>
        <v>-282.12971710084514</v>
      </c>
      <c r="E34" s="52">
        <f t="shared" si="26"/>
        <v>16.792362269426121</v>
      </c>
      <c r="F34" s="52">
        <f t="shared" si="26"/>
        <v>219.31614396179566</v>
      </c>
      <c r="G34" s="52">
        <f t="shared" si="26"/>
        <v>86.939989127569106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69</v>
      </c>
      <c r="AM35" s="43" t="s">
        <v>8</v>
      </c>
    </row>
    <row r="36" spans="1:39">
      <c r="A36" s="145">
        <v>1</v>
      </c>
      <c r="B36" s="40" t="s">
        <v>70</v>
      </c>
      <c r="C36" s="46">
        <f>'2023年'!C36</f>
        <v>30.408048384755272</v>
      </c>
      <c r="D36" s="46">
        <f>'2023年'!D36</f>
        <v>32.31176714995992</v>
      </c>
      <c r="E36" s="46">
        <f>'2023年'!E36</f>
        <v>71.82679449258606</v>
      </c>
      <c r="F36" s="46">
        <f>'2023年'!F36</f>
        <v>46.654487230728755</v>
      </c>
      <c r="G36" s="46">
        <f>'2023年'!G36</f>
        <v>35.746693224691327</v>
      </c>
      <c r="H36" s="46" t="e">
        <f>'2023年'!H36</f>
        <v>#VALUE!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5">
        <v>2</v>
      </c>
      <c r="B37" s="40" t="s">
        <v>71</v>
      </c>
      <c r="C37" s="46">
        <f>'2023年'!C37</f>
        <v>9.4499105510629118</v>
      </c>
      <c r="D37" s="46">
        <f>'2023年'!D37</f>
        <v>10.041529316527088</v>
      </c>
      <c r="E37" s="46">
        <f>'2023年'!E37</f>
        <v>22.321616123999707</v>
      </c>
      <c r="F37" s="46">
        <f>'2023年'!F37</f>
        <v>14.498817074926915</v>
      </c>
      <c r="G37" s="46">
        <f>'2023年'!G37</f>
        <v>11.109001445780828</v>
      </c>
      <c r="H37" s="46" t="e">
        <f>'2023年'!H37</f>
        <v>#VALUE!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5">
        <v>3</v>
      </c>
      <c r="B38" s="40" t="s">
        <v>72</v>
      </c>
      <c r="C38" s="46">
        <f>'2023年'!C38</f>
        <v>5.2300884955752212</v>
      </c>
      <c r="D38" s="46">
        <f>'2023年'!D38</f>
        <v>5.557522123893806</v>
      </c>
      <c r="E38" s="46">
        <f>'2023年'!E38</f>
        <v>12.353982300884956</v>
      </c>
      <c r="F38" s="46">
        <f>'2023年'!F38</f>
        <v>8.0244247787610625</v>
      </c>
      <c r="G38" s="46">
        <f>'2023年'!G38</f>
        <v>6.1483185840707977</v>
      </c>
      <c r="H38" s="46" t="e">
        <f>'2023年'!H38</f>
        <v>#VALUE!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5">
        <v>1</v>
      </c>
      <c r="B40" s="40" t="s">
        <v>75</v>
      </c>
      <c r="C40" s="47">
        <f>C34-C36-C37-C38</f>
        <v>18.824743202496403</v>
      </c>
      <c r="D40" s="47">
        <f t="shared" ref="D40:J40" si="27">D34-D36-D37-D38</f>
        <v>-330.04053569122595</v>
      </c>
      <c r="E40" s="47">
        <f t="shared" si="27"/>
        <v>-89.710030648044594</v>
      </c>
      <c r="F40" s="47">
        <f t="shared" si="27"/>
        <v>150.13841487737892</v>
      </c>
      <c r="G40" s="47">
        <f t="shared" si="27"/>
        <v>33.935975873026152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5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5">
        <v>1</v>
      </c>
      <c r="B43" s="48" t="s">
        <v>79</v>
      </c>
      <c r="C43" s="46">
        <f>'2023年'!C43</f>
        <v>23.535398230088497</v>
      </c>
      <c r="D43" s="46">
        <f>'2023年'!D43</f>
        <v>25.008849557522126</v>
      </c>
      <c r="E43" s="46">
        <f>'2023年'!E43</f>
        <v>55.592920353982301</v>
      </c>
      <c r="F43" s="46">
        <f>'2023年'!F43</f>
        <v>36.10991150442478</v>
      </c>
      <c r="G43" s="46">
        <f>'2023年'!G43</f>
        <v>27.667433628318587</v>
      </c>
      <c r="H43" s="46" t="e">
        <f>'2023年'!H43</f>
        <v>#VALUE!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5">
        <v>2</v>
      </c>
      <c r="B44" s="48" t="s">
        <v>80</v>
      </c>
      <c r="C44" s="46">
        <f>'2023年'!C44</f>
        <v>4.1317699115044251</v>
      </c>
      <c r="D44" s="46">
        <f>'2023年'!D44</f>
        <v>4.3904424778761069</v>
      </c>
      <c r="E44" s="46">
        <f>'2023年'!E44</f>
        <v>9.7596460176991169</v>
      </c>
      <c r="F44" s="46">
        <f>'2023年'!F44</f>
        <v>6.3392955752212403</v>
      </c>
      <c r="G44" s="46">
        <f>'2023年'!G44</f>
        <v>4.85717168141593</v>
      </c>
      <c r="H44" s="46" t="e">
        <f>'2023年'!H44</f>
        <v>#VALUE!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5">
        <v>3</v>
      </c>
      <c r="B45" s="48" t="s">
        <v>81</v>
      </c>
      <c r="C45" s="46">
        <f>'2023年'!C45</f>
        <v>21.214969726730484</v>
      </c>
      <c r="D45" s="46">
        <f>'2023年'!D45</f>
        <v>22.543148880519027</v>
      </c>
      <c r="E45" s="46">
        <f>'2023年'!E45</f>
        <v>50.111840505102805</v>
      </c>
      <c r="F45" s="46">
        <f>'2023年'!F45</f>
        <v>32.549722418629671</v>
      </c>
      <c r="G45" s="46">
        <f>'2023年'!G45</f>
        <v>24.939614834760189</v>
      </c>
      <c r="H45" s="46" t="e">
        <f>'2023年'!H45</f>
        <v>#VALUE!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5">
        <v>4</v>
      </c>
      <c r="B46" s="48" t="s">
        <v>82</v>
      </c>
      <c r="C46" s="53">
        <f>C21/C6</f>
        <v>0</v>
      </c>
      <c r="D46" s="53">
        <f t="shared" ref="D46:J46" si="28">D21/D6</f>
        <v>0</v>
      </c>
      <c r="E46" s="53">
        <f t="shared" si="28"/>
        <v>0</v>
      </c>
      <c r="F46" s="53">
        <f t="shared" si="28"/>
        <v>0</v>
      </c>
      <c r="G46" s="53">
        <f t="shared" si="28"/>
        <v>0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5">
        <v>5</v>
      </c>
      <c r="B47" s="48" t="s">
        <v>84</v>
      </c>
      <c r="C47" s="53">
        <f>'2023年'!C47</f>
        <v>11.14008849557522</v>
      </c>
      <c r="D47" s="53">
        <f>'2023年'!D47</f>
        <v>11.837522123893807</v>
      </c>
      <c r="E47" s="53">
        <f>'2023年'!E47</f>
        <v>26.313982300884955</v>
      </c>
      <c r="F47" s="53">
        <f>'2023年'!F47</f>
        <v>17.092024778761065</v>
      </c>
      <c r="G47" s="53">
        <f>'2023年'!G47</f>
        <v>13.095918584070798</v>
      </c>
      <c r="H47" s="53" t="e">
        <f>'2023年'!H47</f>
        <v>#VALUE!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>
        <f>C40-C43-C44-C45-C47-C46</f>
        <v>-41.197483161402218</v>
      </c>
      <c r="D48" s="47">
        <f t="shared" ref="D48:J48" si="29">D40-D43-D44-D45-D47-D46</f>
        <v>-393.82049873103699</v>
      </c>
      <c r="E48" s="47">
        <f t="shared" si="29"/>
        <v>-231.48841982571378</v>
      </c>
      <c r="F48" s="47">
        <f t="shared" si="29"/>
        <v>58.047460600342156</v>
      </c>
      <c r="G48" s="47">
        <f t="shared" si="29"/>
        <v>-36.624162855539353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J7" sqref="J7"/>
    </sheetView>
  </sheetViews>
  <sheetFormatPr defaultColWidth="9" defaultRowHeight="16.5"/>
  <cols>
    <col min="1" max="1" width="5.125" style="36" customWidth="1"/>
    <col min="2" max="2" width="17.5" style="36" customWidth="1"/>
    <col min="3" max="10" width="13.25" style="37" customWidth="1"/>
    <col min="11" max="11" width="18.75" style="37" customWidth="1"/>
    <col min="12" max="12" width="12.375" style="36" customWidth="1"/>
    <col min="13" max="13" width="10.125" style="36" customWidth="1"/>
    <col min="14" max="20" width="9" style="36" customWidth="1"/>
    <col min="21" max="37" width="9" style="36"/>
    <col min="38" max="38" width="4.375" style="36" customWidth="1"/>
    <col min="39" max="39" width="13.875" style="36" customWidth="1"/>
    <col min="40" max="16384" width="9" style="36"/>
  </cols>
  <sheetData>
    <row r="1" spans="1:40">
      <c r="A1" s="235" t="s">
        <v>135</v>
      </c>
      <c r="B1" s="235"/>
      <c r="C1" s="239" t="s">
        <v>232</v>
      </c>
      <c r="D1" s="240"/>
      <c r="E1" s="240"/>
      <c r="F1" s="240"/>
      <c r="G1" s="240"/>
      <c r="H1" s="240"/>
      <c r="I1" s="240"/>
      <c r="J1" s="240"/>
      <c r="K1" s="241"/>
    </row>
    <row r="2" spans="1:40">
      <c r="A2" s="235" t="s">
        <v>136</v>
      </c>
      <c r="B2" s="235"/>
      <c r="C2" s="242" t="str">
        <f>'2023年'!C2:K2</f>
        <v>福田长沙汽车厂</v>
      </c>
      <c r="D2" s="242"/>
      <c r="E2" s="242"/>
      <c r="F2" s="242"/>
      <c r="G2" s="242"/>
      <c r="H2" s="242"/>
      <c r="I2" s="242"/>
      <c r="J2" s="242"/>
      <c r="K2" s="242"/>
    </row>
    <row r="3" spans="1:40">
      <c r="A3" s="235" t="s">
        <v>137</v>
      </c>
      <c r="B3" s="235"/>
      <c r="C3" s="146" t="str">
        <f>'2023年'!C3</f>
        <v>驾驶员座椅总成</v>
      </c>
      <c r="D3" s="146" t="str">
        <f>'2023年'!D3</f>
        <v>驾驶员座椅总成</v>
      </c>
      <c r="E3" s="146" t="str">
        <f>'2023年'!E3</f>
        <v>驾驶员座椅总成</v>
      </c>
      <c r="F3" s="146" t="str">
        <f>'2023年'!F3</f>
        <v>副驾驶员座椅总成</v>
      </c>
      <c r="G3" s="146" t="str">
        <f>'2023年'!G3</f>
        <v>副驾驶员座椅总成</v>
      </c>
      <c r="H3" s="146">
        <f>'2023年'!H3</f>
        <v>0</v>
      </c>
      <c r="I3" s="146">
        <f>'2023年'!I3</f>
        <v>0</v>
      </c>
      <c r="J3" s="146">
        <f>'2023年'!J3</f>
        <v>0</v>
      </c>
      <c r="K3" s="236" t="s">
        <v>14</v>
      </c>
    </row>
    <row r="4" spans="1:40">
      <c r="A4" s="235" t="s">
        <v>138</v>
      </c>
      <c r="B4" s="235"/>
      <c r="C4" s="146" t="str">
        <f>'2023年'!C4</f>
        <v>L168100000539</v>
      </c>
      <c r="D4" s="146" t="str">
        <f>'2023年'!D4</f>
        <v>L168100000540</v>
      </c>
      <c r="E4" s="146" t="str">
        <f>'2023年'!E4</f>
        <v>L168100000541</v>
      </c>
      <c r="F4" s="146" t="str">
        <f>'2023年'!F4</f>
        <v>L168100000425</v>
      </c>
      <c r="G4" s="146" t="str">
        <f>'2023年'!G4</f>
        <v>L168100000426</v>
      </c>
      <c r="H4" s="146">
        <f>'2023年'!H4</f>
        <v>0</v>
      </c>
      <c r="I4" s="146">
        <f>'2023年'!I4</f>
        <v>0</v>
      </c>
      <c r="J4" s="146">
        <f>'2023年'!J4</f>
        <v>0</v>
      </c>
      <c r="K4" s="237"/>
    </row>
    <row r="5" spans="1:40">
      <c r="A5" s="235" t="s">
        <v>139</v>
      </c>
      <c r="B5" s="235"/>
      <c r="C5" s="39"/>
      <c r="D5" s="39"/>
      <c r="E5" s="39"/>
      <c r="F5" s="39"/>
      <c r="G5" s="39"/>
      <c r="H5" s="39"/>
      <c r="I5" s="39"/>
      <c r="J5" s="39"/>
      <c r="K5" s="238"/>
      <c r="AN5" s="36" t="s">
        <v>15</v>
      </c>
    </row>
    <row r="6" spans="1:40" ht="17.25">
      <c r="A6" s="40" t="s">
        <v>13</v>
      </c>
      <c r="B6" s="41" t="s">
        <v>140</v>
      </c>
      <c r="C6" s="12">
        <f>销量!C14</f>
        <v>0</v>
      </c>
      <c r="D6" s="12">
        <f>销量!D14</f>
        <v>0</v>
      </c>
      <c r="E6" s="12">
        <f>销量!E14</f>
        <v>0</v>
      </c>
      <c r="F6" s="12">
        <f>销量!F14</f>
        <v>0</v>
      </c>
      <c r="G6" s="12">
        <f>销量!G14</f>
        <v>0</v>
      </c>
      <c r="H6" s="12">
        <f>销量!H14</f>
        <v>0</v>
      </c>
      <c r="I6" s="12">
        <f>销量!I14</f>
        <v>0</v>
      </c>
      <c r="J6" s="12">
        <f>销量!J14</f>
        <v>0</v>
      </c>
      <c r="K6" s="42">
        <f t="shared" ref="K6:K15" si="0">SUM(C6:J6)</f>
        <v>0</v>
      </c>
      <c r="V6" s="41" t="s">
        <v>3</v>
      </c>
      <c r="AL6" s="40" t="s">
        <v>13</v>
      </c>
      <c r="AM6" s="41" t="s">
        <v>3</v>
      </c>
      <c r="AN6" s="36" t="s">
        <v>16</v>
      </c>
    </row>
    <row r="7" spans="1:40">
      <c r="A7" s="145">
        <v>1</v>
      </c>
      <c r="B7" s="41" t="s">
        <v>17</v>
      </c>
      <c r="C7" s="42">
        <f>C6*销量!C8</f>
        <v>0</v>
      </c>
      <c r="D7" s="42">
        <f>D6*销量!D8</f>
        <v>0</v>
      </c>
      <c r="E7" s="42">
        <f>E6*销量!E8</f>
        <v>0</v>
      </c>
      <c r="F7" s="42">
        <f>F6*销量!F8</f>
        <v>0</v>
      </c>
      <c r="G7" s="42">
        <f>G6*销量!G8</f>
        <v>0</v>
      </c>
      <c r="H7" s="42"/>
      <c r="I7" s="42">
        <f>I6*销量!I8</f>
        <v>0</v>
      </c>
      <c r="J7" s="42">
        <f>J6*销量!J8</f>
        <v>0</v>
      </c>
      <c r="K7" s="42">
        <f t="shared" si="0"/>
        <v>0</v>
      </c>
      <c r="L7" s="37"/>
      <c r="V7" s="41" t="s">
        <v>17</v>
      </c>
      <c r="AL7" s="40" t="s">
        <v>18</v>
      </c>
      <c r="AM7" s="41" t="s">
        <v>17</v>
      </c>
      <c r="AN7" s="36" t="s">
        <v>16</v>
      </c>
    </row>
    <row r="8" spans="1:40">
      <c r="A8" s="145">
        <v>2</v>
      </c>
      <c r="B8" s="145" t="s">
        <v>19</v>
      </c>
      <c r="C8" s="42">
        <f>C7*(1-销量!$O$10)</f>
        <v>0</v>
      </c>
      <c r="D8" s="42">
        <f>D7*(1-销量!$O$10)</f>
        <v>0</v>
      </c>
      <c r="E8" s="42">
        <f>E7*(1-销量!$O$10)</f>
        <v>0</v>
      </c>
      <c r="F8" s="42">
        <f>F7*(1-销量!$O$10)</f>
        <v>0</v>
      </c>
      <c r="G8" s="42">
        <f>G7*(1-销量!$O$10)</f>
        <v>0</v>
      </c>
      <c r="H8" s="42">
        <f>H7*(1-销量!$O$10)</f>
        <v>0</v>
      </c>
      <c r="I8" s="42">
        <f>I7*(1-销量!$O$10)</f>
        <v>0</v>
      </c>
      <c r="J8" s="42">
        <f>J7*(1-销量!$O$10)</f>
        <v>0</v>
      </c>
      <c r="K8" s="42">
        <f t="shared" si="0"/>
        <v>0</v>
      </c>
      <c r="L8" s="57"/>
      <c r="V8" s="145" t="s">
        <v>21</v>
      </c>
      <c r="AL8" s="40" t="s">
        <v>20</v>
      </c>
      <c r="AM8" s="145" t="s">
        <v>21</v>
      </c>
      <c r="AN8" s="36" t="s">
        <v>16</v>
      </c>
    </row>
    <row r="9" spans="1:40">
      <c r="A9" s="145">
        <v>3</v>
      </c>
      <c r="B9" s="41" t="s">
        <v>22</v>
      </c>
      <c r="C9" s="42">
        <f>+C7-C8</f>
        <v>0</v>
      </c>
      <c r="D9" s="42">
        <f t="shared" ref="D9:J9" si="1">+D7-D8</f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2">
        <f t="shared" si="1"/>
        <v>0</v>
      </c>
      <c r="J9" s="42">
        <f t="shared" si="1"/>
        <v>0</v>
      </c>
      <c r="K9" s="42">
        <f t="shared" si="0"/>
        <v>0</v>
      </c>
      <c r="V9" s="41" t="s">
        <v>22</v>
      </c>
      <c r="AL9" s="40" t="s">
        <v>23</v>
      </c>
      <c r="AM9" s="41" t="s">
        <v>22</v>
      </c>
      <c r="AN9" s="36" t="s">
        <v>24</v>
      </c>
    </row>
    <row r="10" spans="1:40">
      <c r="A10" s="145">
        <v>4</v>
      </c>
      <c r="B10" s="40" t="s">
        <v>25</v>
      </c>
      <c r="C10" s="42">
        <f>C6*C33</f>
        <v>0</v>
      </c>
      <c r="D10" s="42">
        <f t="shared" ref="D10:J10" si="2">D6*D33</f>
        <v>0</v>
      </c>
      <c r="E10" s="42">
        <f t="shared" si="2"/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0"/>
        <v>0</v>
      </c>
      <c r="V10" s="40" t="s">
        <v>25</v>
      </c>
      <c r="AL10" s="40" t="s">
        <v>26</v>
      </c>
      <c r="AM10" s="40" t="s">
        <v>25</v>
      </c>
      <c r="AN10" s="36" t="s">
        <v>27</v>
      </c>
    </row>
    <row r="11" spans="1:40">
      <c r="A11" s="145">
        <v>5</v>
      </c>
      <c r="B11" s="40" t="s">
        <v>28</v>
      </c>
      <c r="C11" s="42">
        <f>+C6*C36</f>
        <v>0</v>
      </c>
      <c r="D11" s="42">
        <f t="shared" ref="D11:J11" si="3">+D6*D36</f>
        <v>0</v>
      </c>
      <c r="E11" s="42">
        <f t="shared" si="3"/>
        <v>0</v>
      </c>
      <c r="F11" s="42">
        <f t="shared" si="3"/>
        <v>0</v>
      </c>
      <c r="G11" s="42">
        <f t="shared" si="3"/>
        <v>0</v>
      </c>
      <c r="H11" s="42"/>
      <c r="I11" s="42">
        <f t="shared" si="3"/>
        <v>0</v>
      </c>
      <c r="J11" s="42">
        <f t="shared" si="3"/>
        <v>0</v>
      </c>
      <c r="K11" s="42">
        <f t="shared" si="0"/>
        <v>0</v>
      </c>
      <c r="V11" s="40" t="s">
        <v>28</v>
      </c>
      <c r="AL11" s="40" t="s">
        <v>29</v>
      </c>
      <c r="AM11" s="40" t="s">
        <v>28</v>
      </c>
    </row>
    <row r="12" spans="1:40">
      <c r="A12" s="145">
        <v>6</v>
      </c>
      <c r="B12" s="40" t="s">
        <v>30</v>
      </c>
      <c r="C12" s="42">
        <f>+C6*C37</f>
        <v>0</v>
      </c>
      <c r="D12" s="42">
        <f t="shared" ref="D12:J12" si="4">+D6*D37</f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2"/>
      <c r="I12" s="42">
        <f t="shared" si="4"/>
        <v>0</v>
      </c>
      <c r="J12" s="42">
        <f t="shared" si="4"/>
        <v>0</v>
      </c>
      <c r="K12" s="42">
        <f t="shared" si="0"/>
        <v>0</v>
      </c>
      <c r="V12" s="40" t="s">
        <v>30</v>
      </c>
      <c r="AL12" s="40" t="s">
        <v>31</v>
      </c>
      <c r="AM12" s="40" t="s">
        <v>30</v>
      </c>
    </row>
    <row r="13" spans="1:40">
      <c r="A13" s="145">
        <v>7</v>
      </c>
      <c r="B13" s="40" t="s">
        <v>32</v>
      </c>
      <c r="C13" s="42">
        <f>+C6*C38</f>
        <v>0</v>
      </c>
      <c r="D13" s="42">
        <f t="shared" ref="D13:J13" si="5">+D6*D38</f>
        <v>0</v>
      </c>
      <c r="E13" s="42">
        <f t="shared" si="5"/>
        <v>0</v>
      </c>
      <c r="F13" s="42">
        <f t="shared" si="5"/>
        <v>0</v>
      </c>
      <c r="G13" s="42">
        <f t="shared" si="5"/>
        <v>0</v>
      </c>
      <c r="H13" s="42"/>
      <c r="I13" s="42">
        <f t="shared" si="5"/>
        <v>0</v>
      </c>
      <c r="J13" s="42">
        <f t="shared" si="5"/>
        <v>0</v>
      </c>
      <c r="K13" s="42">
        <f t="shared" si="0"/>
        <v>0</v>
      </c>
      <c r="V13" s="40" t="s">
        <v>32</v>
      </c>
      <c r="AL13" s="40" t="s">
        <v>33</v>
      </c>
      <c r="AM13" s="40" t="s">
        <v>32</v>
      </c>
      <c r="AN13" s="36" t="s">
        <v>16</v>
      </c>
    </row>
    <row r="14" spans="1:40">
      <c r="A14" s="145">
        <v>8</v>
      </c>
      <c r="B14" s="43" t="s">
        <v>34</v>
      </c>
      <c r="C14" s="42">
        <f>SUM(C11:C13)</f>
        <v>0</v>
      </c>
      <c r="D14" s="42">
        <f t="shared" ref="D14:J14" si="6">SUM(D11:D13)</f>
        <v>0</v>
      </c>
      <c r="E14" s="42">
        <f t="shared" si="6"/>
        <v>0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0"/>
        <v>0</v>
      </c>
      <c r="V14" s="43" t="s">
        <v>34</v>
      </c>
      <c r="AL14" s="40" t="s">
        <v>35</v>
      </c>
      <c r="AM14" s="43" t="s">
        <v>34</v>
      </c>
    </row>
    <row r="15" spans="1:40">
      <c r="A15" s="145">
        <v>9</v>
      </c>
      <c r="B15" s="43" t="s">
        <v>36</v>
      </c>
      <c r="C15" s="42">
        <f>+C9-C10-C14</f>
        <v>0</v>
      </c>
      <c r="D15" s="42">
        <f t="shared" ref="D15:J15" si="7">+D9-D10-D14</f>
        <v>0</v>
      </c>
      <c r="E15" s="42">
        <f t="shared" si="7"/>
        <v>0</v>
      </c>
      <c r="F15" s="42">
        <f t="shared" si="7"/>
        <v>0</v>
      </c>
      <c r="G15" s="42">
        <f t="shared" si="7"/>
        <v>0</v>
      </c>
      <c r="H15" s="42">
        <f t="shared" si="7"/>
        <v>0</v>
      </c>
      <c r="I15" s="42">
        <f t="shared" si="7"/>
        <v>0</v>
      </c>
      <c r="J15" s="42">
        <f t="shared" si="7"/>
        <v>0</v>
      </c>
      <c r="K15" s="42">
        <f t="shared" si="0"/>
        <v>0</v>
      </c>
      <c r="V15" s="43" t="s">
        <v>36</v>
      </c>
      <c r="AL15" s="40" t="s">
        <v>37</v>
      </c>
      <c r="AM15" s="43" t="s">
        <v>36</v>
      </c>
    </row>
    <row r="16" spans="1:40">
      <c r="A16" s="145">
        <v>10</v>
      </c>
      <c r="B16" s="40" t="s">
        <v>38</v>
      </c>
      <c r="C16" s="44" t="e">
        <f>+C15/C9</f>
        <v>#DIV/0!</v>
      </c>
      <c r="D16" s="44" t="e">
        <f t="shared" ref="D16:J16" si="8">+D15/D9</f>
        <v>#DIV/0!</v>
      </c>
      <c r="E16" s="44" t="e">
        <f t="shared" si="8"/>
        <v>#DIV/0!</v>
      </c>
      <c r="F16" s="44" t="e">
        <f t="shared" si="8"/>
        <v>#DIV/0!</v>
      </c>
      <c r="G16" s="44" t="e">
        <f t="shared" si="8"/>
        <v>#DIV/0!</v>
      </c>
      <c r="H16" s="44" t="e">
        <f t="shared" si="8"/>
        <v>#DIV/0!</v>
      </c>
      <c r="I16" s="44" t="e">
        <f t="shared" si="8"/>
        <v>#DIV/0!</v>
      </c>
      <c r="J16" s="44" t="e">
        <f t="shared" si="8"/>
        <v>#DIV/0!</v>
      </c>
      <c r="K16" s="44" t="e">
        <f t="shared" ref="K16" si="9">+K15/K9</f>
        <v>#DIV/0!</v>
      </c>
      <c r="V16" s="40" t="s">
        <v>38</v>
      </c>
      <c r="AL16" s="40" t="s">
        <v>39</v>
      </c>
      <c r="AM16" s="40" t="s">
        <v>38</v>
      </c>
    </row>
    <row r="17" spans="1:40">
      <c r="A17" s="145">
        <v>11</v>
      </c>
      <c r="B17" s="40" t="s">
        <v>40</v>
      </c>
      <c r="C17" s="42" t="e">
        <f>C6*C43+C18</f>
        <v>#DIV/0!</v>
      </c>
      <c r="D17" s="42" t="e">
        <f t="shared" ref="D17:J17" si="10">D6*D43+D18</f>
        <v>#DIV/0!</v>
      </c>
      <c r="E17" s="42" t="e">
        <f t="shared" si="10"/>
        <v>#DIV/0!</v>
      </c>
      <c r="F17" s="42" t="e">
        <f t="shared" si="10"/>
        <v>#DIV/0!</v>
      </c>
      <c r="G17" s="42" t="e">
        <f t="shared" si="10"/>
        <v>#DIV/0!</v>
      </c>
      <c r="H17" s="42"/>
      <c r="I17" s="42" t="e">
        <f t="shared" si="10"/>
        <v>#DIV/0!</v>
      </c>
      <c r="J17" s="42" t="e">
        <f t="shared" si="10"/>
        <v>#DIV/0!</v>
      </c>
      <c r="K17" s="42" t="e">
        <f>SUM(C17:J17)</f>
        <v>#DIV/0!</v>
      </c>
      <c r="L17" s="57"/>
      <c r="V17" s="40" t="s">
        <v>40</v>
      </c>
      <c r="AL17" s="40" t="s">
        <v>41</v>
      </c>
      <c r="AM17" s="40" t="s">
        <v>40</v>
      </c>
    </row>
    <row r="18" spans="1:40" s="34" customFormat="1">
      <c r="A18" s="145">
        <v>12</v>
      </c>
      <c r="B18" s="45" t="s">
        <v>141</v>
      </c>
      <c r="C18" s="46" t="e">
        <f>$K$18/$K$6*C6</f>
        <v>#DIV/0!</v>
      </c>
      <c r="D18" s="46" t="e">
        <f t="shared" ref="D18:J18" si="11">$K$18/$K$6*D6</f>
        <v>#DIV/0!</v>
      </c>
      <c r="E18" s="46" t="e">
        <f t="shared" si="11"/>
        <v>#DIV/0!</v>
      </c>
      <c r="F18" s="46" t="e">
        <f t="shared" si="11"/>
        <v>#DIV/0!</v>
      </c>
      <c r="G18" s="46" t="e">
        <f t="shared" si="11"/>
        <v>#DIV/0!</v>
      </c>
      <c r="H18" s="46" t="e">
        <f t="shared" si="11"/>
        <v>#DIV/0!</v>
      </c>
      <c r="I18" s="46" t="e">
        <f t="shared" si="11"/>
        <v>#DIV/0!</v>
      </c>
      <c r="J18" s="46" t="e">
        <f t="shared" si="11"/>
        <v>#DIV/0!</v>
      </c>
      <c r="K18" s="46">
        <f>项目投资!D26</f>
        <v>0</v>
      </c>
      <c r="L18" s="58" t="s">
        <v>142</v>
      </c>
      <c r="M18" s="58"/>
      <c r="N18" s="58"/>
    </row>
    <row r="19" spans="1:40">
      <c r="A19" s="145">
        <v>13</v>
      </c>
      <c r="B19" s="40" t="s">
        <v>42</v>
      </c>
      <c r="C19" s="42">
        <f>C6*C44</f>
        <v>0</v>
      </c>
      <c r="D19" s="42">
        <f t="shared" ref="D19:J19" si="12">D6*D44</f>
        <v>0</v>
      </c>
      <c r="E19" s="42">
        <f t="shared" si="12"/>
        <v>0</v>
      </c>
      <c r="F19" s="42">
        <f t="shared" si="12"/>
        <v>0</v>
      </c>
      <c r="G19" s="42">
        <f t="shared" si="12"/>
        <v>0</v>
      </c>
      <c r="H19" s="42"/>
      <c r="I19" s="42">
        <f t="shared" si="12"/>
        <v>0</v>
      </c>
      <c r="J19" s="42">
        <f t="shared" si="12"/>
        <v>0</v>
      </c>
      <c r="K19" s="42">
        <f>SUM(C19:J19)</f>
        <v>0</v>
      </c>
      <c r="L19" s="34"/>
      <c r="V19" s="40" t="s">
        <v>42</v>
      </c>
      <c r="AL19" s="40" t="s">
        <v>43</v>
      </c>
      <c r="AM19" s="40" t="s">
        <v>42</v>
      </c>
      <c r="AN19" s="36" t="s">
        <v>16</v>
      </c>
    </row>
    <row r="20" spans="1:40">
      <c r="A20" s="145">
        <v>14</v>
      </c>
      <c r="B20" s="40" t="s">
        <v>44</v>
      </c>
      <c r="C20" s="42">
        <f>C6*C45</f>
        <v>0</v>
      </c>
      <c r="D20" s="42">
        <f t="shared" ref="D20:J20" si="13">D6*D45</f>
        <v>0</v>
      </c>
      <c r="E20" s="42">
        <f t="shared" si="13"/>
        <v>0</v>
      </c>
      <c r="F20" s="42">
        <f t="shared" si="13"/>
        <v>0</v>
      </c>
      <c r="G20" s="42">
        <f t="shared" si="13"/>
        <v>0</v>
      </c>
      <c r="H20" s="42"/>
      <c r="I20" s="42">
        <f t="shared" si="13"/>
        <v>0</v>
      </c>
      <c r="J20" s="42">
        <f t="shared" si="13"/>
        <v>0</v>
      </c>
      <c r="K20" s="42">
        <f>SUM(C20:J20)</f>
        <v>0</v>
      </c>
      <c r="V20" s="40" t="s">
        <v>44</v>
      </c>
      <c r="AL20" s="40" t="s">
        <v>45</v>
      </c>
      <c r="AM20" s="40" t="s">
        <v>44</v>
      </c>
    </row>
    <row r="21" spans="1:40">
      <c r="A21" s="145">
        <v>15</v>
      </c>
      <c r="B21" s="40" t="s">
        <v>46</v>
      </c>
      <c r="C21" s="47" t="e">
        <f>$K$21/$K$6*C6</f>
        <v>#DIV/0!</v>
      </c>
      <c r="D21" s="47" t="e">
        <f t="shared" ref="D21:J21" si="14">$K$21/$K$6*D6</f>
        <v>#DIV/0!</v>
      </c>
      <c r="E21" s="47" t="e">
        <f t="shared" si="14"/>
        <v>#DIV/0!</v>
      </c>
      <c r="F21" s="47" t="e">
        <f t="shared" si="14"/>
        <v>#DIV/0!</v>
      </c>
      <c r="G21" s="47" t="e">
        <f t="shared" si="14"/>
        <v>#DIV/0!</v>
      </c>
      <c r="H21" s="47"/>
      <c r="I21" s="47" t="e">
        <f t="shared" si="14"/>
        <v>#DIV/0!</v>
      </c>
      <c r="J21" s="47" t="e">
        <f t="shared" si="14"/>
        <v>#DIV/0!</v>
      </c>
      <c r="K21" s="42">
        <f>项目投资!H27</f>
        <v>0</v>
      </c>
      <c r="V21" s="40" t="s">
        <v>46</v>
      </c>
      <c r="AL21" s="40"/>
      <c r="AM21" s="40"/>
    </row>
    <row r="22" spans="1:40">
      <c r="A22" s="145">
        <v>16</v>
      </c>
      <c r="B22" s="40" t="s">
        <v>47</v>
      </c>
      <c r="C22" s="42">
        <f>C6*C47</f>
        <v>0</v>
      </c>
      <c r="D22" s="42">
        <f t="shared" ref="D22:J22" si="15">D6*D47</f>
        <v>0</v>
      </c>
      <c r="E22" s="42">
        <f t="shared" si="15"/>
        <v>0</v>
      </c>
      <c r="F22" s="42">
        <f t="shared" si="15"/>
        <v>0</v>
      </c>
      <c r="G22" s="42">
        <f t="shared" si="15"/>
        <v>0</v>
      </c>
      <c r="H22" s="42"/>
      <c r="I22" s="42">
        <f t="shared" si="15"/>
        <v>0</v>
      </c>
      <c r="J22" s="42">
        <f t="shared" si="15"/>
        <v>0</v>
      </c>
      <c r="K22" s="42">
        <f>SUM(C22:J22)</f>
        <v>0</v>
      </c>
      <c r="V22" s="40" t="s">
        <v>47</v>
      </c>
      <c r="AL22" s="40" t="s">
        <v>48</v>
      </c>
      <c r="AM22" s="40" t="s">
        <v>47</v>
      </c>
    </row>
    <row r="23" spans="1:40">
      <c r="A23" s="145">
        <v>17</v>
      </c>
      <c r="B23" s="43" t="s">
        <v>49</v>
      </c>
      <c r="C23" s="47" t="e">
        <f>+C22+C21+C20+C19+C17</f>
        <v>#DIV/0!</v>
      </c>
      <c r="D23" s="47" t="e">
        <f t="shared" ref="D23:J23" si="16">+D22+D21+D20+D19+D17</f>
        <v>#DIV/0!</v>
      </c>
      <c r="E23" s="47" t="e">
        <f t="shared" si="16"/>
        <v>#DIV/0!</v>
      </c>
      <c r="F23" s="47" t="e">
        <f t="shared" si="16"/>
        <v>#DIV/0!</v>
      </c>
      <c r="G23" s="47" t="e">
        <f t="shared" si="16"/>
        <v>#DIV/0!</v>
      </c>
      <c r="H23" s="47">
        <f t="shared" si="16"/>
        <v>0</v>
      </c>
      <c r="I23" s="47" t="e">
        <f t="shared" si="16"/>
        <v>#DIV/0!</v>
      </c>
      <c r="J23" s="47" t="e">
        <f t="shared" si="16"/>
        <v>#DIV/0!</v>
      </c>
      <c r="K23" s="47" t="e">
        <f t="shared" ref="K23" si="17">+K22+K21+K20+K19+K17</f>
        <v>#DIV/0!</v>
      </c>
      <c r="V23" s="43" t="s">
        <v>49</v>
      </c>
      <c r="AL23" s="40" t="s">
        <v>50</v>
      </c>
      <c r="AM23" s="43" t="s">
        <v>49</v>
      </c>
    </row>
    <row r="24" spans="1:40">
      <c r="A24" s="145">
        <v>18</v>
      </c>
      <c r="B24" s="48" t="s">
        <v>51</v>
      </c>
      <c r="C24" s="47" t="e">
        <f>+C15-C23</f>
        <v>#DIV/0!</v>
      </c>
      <c r="D24" s="47" t="e">
        <f t="shared" ref="D24:J24" si="18">+D15-D23</f>
        <v>#DIV/0!</v>
      </c>
      <c r="E24" s="47" t="e">
        <f t="shared" si="18"/>
        <v>#DIV/0!</v>
      </c>
      <c r="F24" s="47" t="e">
        <f t="shared" si="18"/>
        <v>#DIV/0!</v>
      </c>
      <c r="G24" s="47" t="e">
        <f t="shared" si="18"/>
        <v>#DIV/0!</v>
      </c>
      <c r="H24" s="47">
        <f t="shared" si="18"/>
        <v>0</v>
      </c>
      <c r="I24" s="47" t="e">
        <f t="shared" si="18"/>
        <v>#DIV/0!</v>
      </c>
      <c r="J24" s="47" t="e">
        <f t="shared" si="18"/>
        <v>#DIV/0!</v>
      </c>
      <c r="K24" s="47" t="e">
        <f t="shared" ref="K24" si="19">+K15-K23</f>
        <v>#DIV/0!</v>
      </c>
      <c r="M24" s="59"/>
      <c r="V24" s="40" t="s">
        <v>51</v>
      </c>
      <c r="AL24" s="40" t="s">
        <v>52</v>
      </c>
      <c r="AM24" s="40" t="s">
        <v>51</v>
      </c>
    </row>
    <row r="25" spans="1:40">
      <c r="A25" s="145">
        <v>19</v>
      </c>
      <c r="B25" s="40" t="s">
        <v>230</v>
      </c>
      <c r="C25" s="47" t="e">
        <f>IF(C24&lt;0,0,C24*0.15)</f>
        <v>#DIV/0!</v>
      </c>
      <c r="D25" s="47" t="e">
        <f t="shared" ref="D25:J25" si="20">IF(D24&lt;0,0,D24*0.15)</f>
        <v>#DIV/0!</v>
      </c>
      <c r="E25" s="47" t="e">
        <f t="shared" si="20"/>
        <v>#DIV/0!</v>
      </c>
      <c r="F25" s="47" t="e">
        <f t="shared" si="20"/>
        <v>#DIV/0!</v>
      </c>
      <c r="G25" s="47" t="e">
        <f t="shared" si="20"/>
        <v>#DIV/0!</v>
      </c>
      <c r="H25" s="47">
        <f t="shared" si="20"/>
        <v>0</v>
      </c>
      <c r="I25" s="47" t="e">
        <f t="shared" si="20"/>
        <v>#DIV/0!</v>
      </c>
      <c r="J25" s="47" t="e">
        <f t="shared" si="20"/>
        <v>#DIV/0!</v>
      </c>
      <c r="K25" s="47" t="e">
        <f>IF(K24&lt;0,0,K24*0.15)</f>
        <v>#DIV/0!</v>
      </c>
      <c r="L25" s="55"/>
      <c r="M25" s="55"/>
      <c r="N25" s="55"/>
      <c r="V25" s="40" t="s">
        <v>53</v>
      </c>
      <c r="AL25" s="40" t="s">
        <v>54</v>
      </c>
      <c r="AM25" s="40" t="s">
        <v>53</v>
      </c>
    </row>
    <row r="26" spans="1:40">
      <c r="A26" s="145">
        <v>20</v>
      </c>
      <c r="B26" s="40" t="s">
        <v>55</v>
      </c>
      <c r="C26" s="47" t="e">
        <f t="shared" ref="C26" si="21">C24-C25</f>
        <v>#DIV/0!</v>
      </c>
      <c r="D26" s="47" t="e">
        <f t="shared" ref="D26:J26" si="22">D24-D25</f>
        <v>#DIV/0!</v>
      </c>
      <c r="E26" s="47" t="e">
        <f t="shared" si="22"/>
        <v>#DIV/0!</v>
      </c>
      <c r="F26" s="47" t="e">
        <f t="shared" si="22"/>
        <v>#DIV/0!</v>
      </c>
      <c r="G26" s="47" t="e">
        <f t="shared" si="22"/>
        <v>#DIV/0!</v>
      </c>
      <c r="H26" s="47">
        <f t="shared" si="22"/>
        <v>0</v>
      </c>
      <c r="I26" s="47" t="e">
        <f t="shared" si="22"/>
        <v>#DIV/0!</v>
      </c>
      <c r="J26" s="47" t="e">
        <f t="shared" si="22"/>
        <v>#DIV/0!</v>
      </c>
      <c r="K26" s="42" t="e">
        <f>K24-K25</f>
        <v>#DIV/0!</v>
      </c>
      <c r="L26" s="162"/>
      <c r="M26" s="55"/>
      <c r="N26" s="55"/>
      <c r="V26" s="40" t="s">
        <v>55</v>
      </c>
      <c r="AL26" s="40" t="s">
        <v>56</v>
      </c>
      <c r="AM26" s="40" t="s">
        <v>55</v>
      </c>
    </row>
    <row r="27" spans="1:40">
      <c r="A27" s="145">
        <v>21</v>
      </c>
      <c r="B27" s="40" t="s">
        <v>59</v>
      </c>
      <c r="C27" s="49" t="e">
        <f t="shared" ref="C27:K27" si="23">C26/C7</f>
        <v>#DIV/0!</v>
      </c>
      <c r="D27" s="49" t="e">
        <f t="shared" ref="D27:J27" si="24">D26/D7</f>
        <v>#DIV/0!</v>
      </c>
      <c r="E27" s="49" t="e">
        <f t="shared" si="24"/>
        <v>#DIV/0!</v>
      </c>
      <c r="F27" s="49" t="e">
        <f t="shared" si="24"/>
        <v>#DIV/0!</v>
      </c>
      <c r="G27" s="49" t="e">
        <f t="shared" si="24"/>
        <v>#DIV/0!</v>
      </c>
      <c r="H27" s="49" t="e">
        <f t="shared" si="24"/>
        <v>#DIV/0!</v>
      </c>
      <c r="I27" s="49" t="e">
        <f t="shared" si="24"/>
        <v>#DIV/0!</v>
      </c>
      <c r="J27" s="49" t="e">
        <f t="shared" si="24"/>
        <v>#DIV/0!</v>
      </c>
      <c r="K27" s="49" t="e">
        <f t="shared" si="23"/>
        <v>#DIV/0!</v>
      </c>
      <c r="L27" s="160"/>
      <c r="M27" s="55"/>
      <c r="N27" s="55"/>
      <c r="V27" s="40" t="s">
        <v>59</v>
      </c>
      <c r="AL27" s="40" t="s">
        <v>58</v>
      </c>
      <c r="AM27" s="40" t="s">
        <v>59</v>
      </c>
    </row>
    <row r="28" spans="1:40">
      <c r="L28" s="55"/>
      <c r="M28" s="55"/>
      <c r="N28" s="55"/>
      <c r="V28" s="40"/>
    </row>
    <row r="29" spans="1:40">
      <c r="A29" s="36" t="s">
        <v>60</v>
      </c>
      <c r="K29" s="37" t="s">
        <v>143</v>
      </c>
      <c r="L29" s="55"/>
      <c r="M29" s="55"/>
      <c r="N29" s="55"/>
      <c r="V29" s="40"/>
      <c r="AL29" s="36" t="s">
        <v>60</v>
      </c>
    </row>
    <row r="30" spans="1:40">
      <c r="A30" s="40" t="s">
        <v>61</v>
      </c>
      <c r="B30" s="43" t="s">
        <v>62</v>
      </c>
      <c r="C30" s="47"/>
      <c r="D30" s="47"/>
      <c r="E30" s="47"/>
      <c r="F30" s="47"/>
      <c r="G30" s="47"/>
      <c r="H30" s="47"/>
      <c r="I30" s="47"/>
      <c r="J30" s="47"/>
      <c r="K30" s="47"/>
      <c r="L30" s="55"/>
      <c r="M30" s="55"/>
      <c r="N30" s="55"/>
      <c r="P30" s="55"/>
      <c r="V30" s="43" t="s">
        <v>62</v>
      </c>
      <c r="AL30" s="40" t="s">
        <v>63</v>
      </c>
      <c r="AM30" s="43" t="s">
        <v>62</v>
      </c>
    </row>
    <row r="31" spans="1:40">
      <c r="A31" s="145">
        <v>1</v>
      </c>
      <c r="B31" s="45" t="s">
        <v>64</v>
      </c>
      <c r="C31" s="51">
        <f>'2023年'!C31</f>
        <v>523.00884955752213</v>
      </c>
      <c r="D31" s="51">
        <f>'2023年'!D31</f>
        <v>555.75221238938059</v>
      </c>
      <c r="E31" s="51">
        <f>'2023年'!E31</f>
        <v>1235.3982300884957</v>
      </c>
      <c r="F31" s="51">
        <f>'2023年'!F31</f>
        <v>802.4424778761063</v>
      </c>
      <c r="G31" s="51">
        <f>'2023年'!G31</f>
        <v>614.83185840707972</v>
      </c>
      <c r="H31" s="51" t="str">
        <f>'2023年'!H31</f>
        <v>含到诸城运费，不含到长沙运费</v>
      </c>
      <c r="I31" s="51">
        <f>'2023年'!I31</f>
        <v>0</v>
      </c>
      <c r="J31" s="51">
        <f>'2023年'!J31</f>
        <v>0</v>
      </c>
      <c r="K31" s="47"/>
      <c r="L31" s="55"/>
      <c r="M31" s="55"/>
      <c r="N31" s="55"/>
      <c r="P31" s="55"/>
      <c r="V31" s="40" t="s">
        <v>64</v>
      </c>
      <c r="AL31" s="40" t="s">
        <v>18</v>
      </c>
      <c r="AM31" s="40" t="s">
        <v>64</v>
      </c>
    </row>
    <row r="32" spans="1:40">
      <c r="A32" s="145">
        <v>2</v>
      </c>
      <c r="B32" s="40" t="s">
        <v>144</v>
      </c>
      <c r="C32" s="42" t="e">
        <f>C9/C6</f>
        <v>#DIV/0!</v>
      </c>
      <c r="D32" s="42" t="e">
        <f t="shared" ref="D32:J32" si="25">D9/D6</f>
        <v>#DIV/0!</v>
      </c>
      <c r="E32" s="42" t="e">
        <f t="shared" si="25"/>
        <v>#DIV/0!</v>
      </c>
      <c r="F32" s="42" t="e">
        <f t="shared" si="25"/>
        <v>#DIV/0!</v>
      </c>
      <c r="G32" s="42" t="e">
        <f t="shared" si="25"/>
        <v>#DIV/0!</v>
      </c>
      <c r="H32" s="42" t="e">
        <f t="shared" si="25"/>
        <v>#DIV/0!</v>
      </c>
      <c r="I32" s="42" t="e">
        <f t="shared" si="25"/>
        <v>#DIV/0!</v>
      </c>
      <c r="J32" s="42" t="e">
        <f t="shared" si="25"/>
        <v>#DIV/0!</v>
      </c>
      <c r="K32" s="47"/>
      <c r="L32" s="55"/>
      <c r="M32" s="55"/>
      <c r="N32" s="55"/>
      <c r="O32" s="55"/>
      <c r="P32" s="55"/>
      <c r="Q32" s="55"/>
      <c r="R32" s="55"/>
      <c r="AL32" s="40"/>
      <c r="AM32" s="40"/>
    </row>
    <row r="33" spans="1:39">
      <c r="A33" s="145">
        <v>3</v>
      </c>
      <c r="B33" s="45" t="s">
        <v>65</v>
      </c>
      <c r="C33" s="42">
        <f>'2026年'!C33*(1-0.01)</f>
        <v>454.505098334396</v>
      </c>
      <c r="D33" s="42">
        <f>'2026年'!D33*(1-0.01)</f>
        <v>829.50311019532342</v>
      </c>
      <c r="E33" s="42">
        <f>'2026年'!E33*(1-0.01)</f>
        <v>1206.4198091408789</v>
      </c>
      <c r="F33" s="42">
        <f>'2026年'!F33*(1-0.01)</f>
        <v>577.29507057516753</v>
      </c>
      <c r="G33" s="42">
        <f>'2026年'!G33*(1-0.01)</f>
        <v>522.61295058671556</v>
      </c>
      <c r="H33" s="42">
        <f>'2026年'!H33*(1-0.01)</f>
        <v>0</v>
      </c>
      <c r="I33" s="42">
        <f>'2026年'!I33*(1-0.01)</f>
        <v>0</v>
      </c>
      <c r="J33" s="42">
        <f>'2026年'!J33*(1-0.01)</f>
        <v>0</v>
      </c>
      <c r="K33" s="47"/>
      <c r="M33" s="55"/>
      <c r="N33" s="55"/>
      <c r="O33" s="55"/>
      <c r="P33" s="55"/>
      <c r="Q33" s="55"/>
      <c r="R33" s="55"/>
      <c r="V33" s="40" t="s">
        <v>65</v>
      </c>
      <c r="AL33" s="40" t="s">
        <v>20</v>
      </c>
      <c r="AM33" s="40" t="s">
        <v>65</v>
      </c>
    </row>
    <row r="34" spans="1:39" ht="17.25" customHeight="1">
      <c r="A34" s="145">
        <v>4</v>
      </c>
      <c r="B34" s="40" t="s">
        <v>67</v>
      </c>
      <c r="C34" s="52" t="e">
        <f>C32-C33</f>
        <v>#DIV/0!</v>
      </c>
      <c r="D34" s="52" t="e">
        <f t="shared" ref="D34:J34" si="26">D32-D33</f>
        <v>#DIV/0!</v>
      </c>
      <c r="E34" s="52" t="e">
        <f t="shared" si="26"/>
        <v>#DIV/0!</v>
      </c>
      <c r="F34" s="52" t="e">
        <f t="shared" si="26"/>
        <v>#DIV/0!</v>
      </c>
      <c r="G34" s="52" t="e">
        <f t="shared" si="26"/>
        <v>#DIV/0!</v>
      </c>
      <c r="H34" s="52" t="e">
        <f t="shared" si="26"/>
        <v>#DIV/0!</v>
      </c>
      <c r="I34" s="52" t="e">
        <f t="shared" si="26"/>
        <v>#DIV/0!</v>
      </c>
      <c r="J34" s="52" t="e">
        <f t="shared" si="26"/>
        <v>#DIV/0!</v>
      </c>
      <c r="K34" s="47"/>
      <c r="M34" s="55"/>
      <c r="N34" s="55"/>
      <c r="O34" s="55"/>
      <c r="P34" s="55"/>
      <c r="Q34" s="55"/>
      <c r="R34" s="55"/>
      <c r="V34" s="40" t="s">
        <v>67</v>
      </c>
      <c r="AL34" s="40" t="s">
        <v>66</v>
      </c>
      <c r="AM34" s="40" t="s">
        <v>67</v>
      </c>
    </row>
    <row r="35" spans="1:39">
      <c r="A35" s="40" t="s">
        <v>63</v>
      </c>
      <c r="B35" s="43" t="s">
        <v>8</v>
      </c>
      <c r="C35" s="47"/>
      <c r="D35" s="47"/>
      <c r="E35" s="47"/>
      <c r="F35" s="47"/>
      <c r="G35" s="47"/>
      <c r="H35" s="47"/>
      <c r="I35" s="47"/>
      <c r="J35" s="47"/>
      <c r="K35" s="4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43" t="s">
        <v>8</v>
      </c>
      <c r="AL35" s="40" t="s">
        <v>69</v>
      </c>
      <c r="AM35" s="43" t="s">
        <v>8</v>
      </c>
    </row>
    <row r="36" spans="1:39">
      <c r="A36" s="145">
        <v>1</v>
      </c>
      <c r="B36" s="40" t="s">
        <v>70</v>
      </c>
      <c r="C36" s="46">
        <f>'2023年'!C36</f>
        <v>30.408048384755272</v>
      </c>
      <c r="D36" s="46">
        <f>'2023年'!D36</f>
        <v>32.31176714995992</v>
      </c>
      <c r="E36" s="46">
        <f>'2023年'!E36</f>
        <v>71.82679449258606</v>
      </c>
      <c r="F36" s="46">
        <f>'2023年'!F36</f>
        <v>46.654487230728755</v>
      </c>
      <c r="G36" s="46">
        <f>'2023年'!G36</f>
        <v>35.746693224691327</v>
      </c>
      <c r="H36" s="46" t="e">
        <f>'2023年'!H36</f>
        <v>#VALUE!</v>
      </c>
      <c r="I36" s="46">
        <f>'2023年'!I36</f>
        <v>0</v>
      </c>
      <c r="J36" s="46">
        <f>'2023年'!J36</f>
        <v>0</v>
      </c>
      <c r="K36" s="51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40" t="s">
        <v>70</v>
      </c>
      <c r="AL36" s="40" t="s">
        <v>66</v>
      </c>
      <c r="AM36" s="40" t="s">
        <v>70</v>
      </c>
    </row>
    <row r="37" spans="1:39">
      <c r="A37" s="145">
        <v>2</v>
      </c>
      <c r="B37" s="40" t="s">
        <v>71</v>
      </c>
      <c r="C37" s="46">
        <f>'2023年'!C37</f>
        <v>9.4499105510629118</v>
      </c>
      <c r="D37" s="46">
        <f>'2023年'!D37</f>
        <v>10.041529316527088</v>
      </c>
      <c r="E37" s="46">
        <f>'2023年'!E37</f>
        <v>22.321616123999707</v>
      </c>
      <c r="F37" s="46">
        <f>'2023年'!F37</f>
        <v>14.498817074926915</v>
      </c>
      <c r="G37" s="46">
        <f>'2023年'!G37</f>
        <v>11.109001445780828</v>
      </c>
      <c r="H37" s="46" t="e">
        <f>'2023年'!H37</f>
        <v>#VALUE!</v>
      </c>
      <c r="I37" s="46">
        <f>'2023年'!I37</f>
        <v>0</v>
      </c>
      <c r="J37" s="46">
        <f>'2023年'!J37</f>
        <v>0</v>
      </c>
      <c r="K37" s="51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40" t="s">
        <v>71</v>
      </c>
      <c r="AL37" s="40" t="s">
        <v>23</v>
      </c>
      <c r="AM37" s="40" t="s">
        <v>71</v>
      </c>
    </row>
    <row r="38" spans="1:39">
      <c r="A38" s="145">
        <v>3</v>
      </c>
      <c r="B38" s="40" t="s">
        <v>72</v>
      </c>
      <c r="C38" s="46">
        <f>'2023年'!C38</f>
        <v>5.2300884955752212</v>
      </c>
      <c r="D38" s="46">
        <f>'2023年'!D38</f>
        <v>5.557522123893806</v>
      </c>
      <c r="E38" s="46">
        <f>'2023年'!E38</f>
        <v>12.353982300884956</v>
      </c>
      <c r="F38" s="46">
        <f>'2023年'!F38</f>
        <v>8.0244247787610625</v>
      </c>
      <c r="G38" s="46">
        <f>'2023年'!G38</f>
        <v>6.1483185840707977</v>
      </c>
      <c r="H38" s="46" t="e">
        <f>'2023年'!H38</f>
        <v>#VALUE!</v>
      </c>
      <c r="I38" s="46">
        <f>'2023年'!I38</f>
        <v>0</v>
      </c>
      <c r="J38" s="46">
        <f>'2023年'!J38</f>
        <v>0</v>
      </c>
      <c r="K38" s="51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40" t="s">
        <v>72</v>
      </c>
      <c r="AL38" s="40" t="s">
        <v>29</v>
      </c>
      <c r="AM38" s="40" t="s">
        <v>72</v>
      </c>
    </row>
    <row r="39" spans="1:39">
      <c r="A39" s="40" t="s">
        <v>69</v>
      </c>
      <c r="B39" s="43" t="s">
        <v>74</v>
      </c>
      <c r="C39" s="47"/>
      <c r="D39" s="47"/>
      <c r="E39" s="47"/>
      <c r="F39" s="47"/>
      <c r="G39" s="47"/>
      <c r="H39" s="47"/>
      <c r="I39" s="47"/>
      <c r="J39" s="47"/>
      <c r="K39" s="47"/>
      <c r="V39" s="43" t="s">
        <v>74</v>
      </c>
      <c r="AL39" s="40" t="s">
        <v>73</v>
      </c>
      <c r="AM39" s="43" t="s">
        <v>74</v>
      </c>
    </row>
    <row r="40" spans="1:39">
      <c r="A40" s="145">
        <v>1</v>
      </c>
      <c r="B40" s="40" t="s">
        <v>75</v>
      </c>
      <c r="C40" s="47" t="e">
        <f>C34-C36-C37-C38</f>
        <v>#DIV/0!</v>
      </c>
      <c r="D40" s="47" t="e">
        <f t="shared" ref="D40:J40" si="27">D34-D36-D37-D38</f>
        <v>#DIV/0!</v>
      </c>
      <c r="E40" s="47" t="e">
        <f t="shared" si="27"/>
        <v>#DIV/0!</v>
      </c>
      <c r="F40" s="47" t="e">
        <f t="shared" si="27"/>
        <v>#DIV/0!</v>
      </c>
      <c r="G40" s="47" t="e">
        <f t="shared" si="27"/>
        <v>#DIV/0!</v>
      </c>
      <c r="H40" s="47" t="e">
        <f t="shared" si="27"/>
        <v>#DIV/0!</v>
      </c>
      <c r="I40" s="47" t="e">
        <f t="shared" si="27"/>
        <v>#DIV/0!</v>
      </c>
      <c r="J40" s="47" t="e">
        <f t="shared" si="27"/>
        <v>#DIV/0!</v>
      </c>
      <c r="K40" s="47"/>
      <c r="V40" s="40" t="s">
        <v>75</v>
      </c>
      <c r="AL40" s="40" t="s">
        <v>18</v>
      </c>
      <c r="AM40" s="40" t="s">
        <v>75</v>
      </c>
    </row>
    <row r="41" spans="1:39">
      <c r="A41" s="145">
        <v>2</v>
      </c>
      <c r="B41" s="40" t="s">
        <v>76</v>
      </c>
      <c r="C41" s="47"/>
      <c r="D41" s="47"/>
      <c r="E41" s="47"/>
      <c r="F41" s="47"/>
      <c r="G41" s="47"/>
      <c r="H41" s="47"/>
      <c r="I41" s="47"/>
      <c r="J41" s="47"/>
      <c r="K41" s="47"/>
      <c r="V41" s="40" t="s">
        <v>76</v>
      </c>
      <c r="AL41" s="40" t="s">
        <v>20</v>
      </c>
      <c r="AM41" s="40" t="s">
        <v>76</v>
      </c>
    </row>
    <row r="42" spans="1:39">
      <c r="A42" s="40" t="s">
        <v>73</v>
      </c>
      <c r="B42" s="43" t="s">
        <v>78</v>
      </c>
      <c r="C42" s="47"/>
      <c r="D42" s="47"/>
      <c r="E42" s="47"/>
      <c r="F42" s="47"/>
      <c r="G42" s="47"/>
      <c r="H42" s="47"/>
      <c r="I42" s="47"/>
      <c r="J42" s="47"/>
      <c r="K42" s="47"/>
      <c r="V42" s="43" t="s">
        <v>78</v>
      </c>
      <c r="AL42" s="40" t="s">
        <v>77</v>
      </c>
      <c r="AM42" s="43" t="s">
        <v>78</v>
      </c>
    </row>
    <row r="43" spans="1:39">
      <c r="A43" s="145">
        <v>1</v>
      </c>
      <c r="B43" s="48" t="s">
        <v>79</v>
      </c>
      <c r="C43" s="46">
        <f>'2023年'!C43</f>
        <v>23.535398230088497</v>
      </c>
      <c r="D43" s="46">
        <f>'2023年'!D43</f>
        <v>25.008849557522126</v>
      </c>
      <c r="E43" s="46">
        <f>'2023年'!E43</f>
        <v>55.592920353982301</v>
      </c>
      <c r="F43" s="46">
        <f>'2023年'!F43</f>
        <v>36.10991150442478</v>
      </c>
      <c r="G43" s="46">
        <f>'2023年'!G43</f>
        <v>27.667433628318587</v>
      </c>
      <c r="H43" s="46" t="e">
        <f>'2023年'!H43</f>
        <v>#VALUE!</v>
      </c>
      <c r="I43" s="46">
        <f>'2023年'!I43</f>
        <v>0</v>
      </c>
      <c r="J43" s="46">
        <f>'2023年'!J43</f>
        <v>0</v>
      </c>
      <c r="K43" s="47"/>
      <c r="V43" s="40" t="s">
        <v>79</v>
      </c>
      <c r="AL43" s="40" t="s">
        <v>18</v>
      </c>
      <c r="AM43" s="40" t="s">
        <v>79</v>
      </c>
    </row>
    <row r="44" spans="1:39">
      <c r="A44" s="145">
        <v>2</v>
      </c>
      <c r="B44" s="48" t="s">
        <v>80</v>
      </c>
      <c r="C44" s="46">
        <f>'2023年'!C44</f>
        <v>4.1317699115044251</v>
      </c>
      <c r="D44" s="46">
        <f>'2023年'!D44</f>
        <v>4.3904424778761069</v>
      </c>
      <c r="E44" s="46">
        <f>'2023年'!E44</f>
        <v>9.7596460176991169</v>
      </c>
      <c r="F44" s="46">
        <f>'2023年'!F44</f>
        <v>6.3392955752212403</v>
      </c>
      <c r="G44" s="46">
        <f>'2023年'!G44</f>
        <v>4.85717168141593</v>
      </c>
      <c r="H44" s="46" t="e">
        <f>'2023年'!H44</f>
        <v>#VALUE!</v>
      </c>
      <c r="I44" s="46">
        <f>'2023年'!I44</f>
        <v>0</v>
      </c>
      <c r="J44" s="46">
        <f>'2023年'!J44</f>
        <v>0</v>
      </c>
      <c r="K44" s="47"/>
      <c r="V44" s="40" t="s">
        <v>80</v>
      </c>
      <c r="AL44" s="40" t="s">
        <v>20</v>
      </c>
      <c r="AM44" s="40" t="s">
        <v>80</v>
      </c>
    </row>
    <row r="45" spans="1:39">
      <c r="A45" s="145">
        <v>3</v>
      </c>
      <c r="B45" s="48" t="s">
        <v>81</v>
      </c>
      <c r="C45" s="46">
        <f>'2023年'!C45</f>
        <v>21.214969726730484</v>
      </c>
      <c r="D45" s="46">
        <f>'2023年'!D45</f>
        <v>22.543148880519027</v>
      </c>
      <c r="E45" s="46">
        <f>'2023年'!E45</f>
        <v>50.111840505102805</v>
      </c>
      <c r="F45" s="46">
        <f>'2023年'!F45</f>
        <v>32.549722418629671</v>
      </c>
      <c r="G45" s="46">
        <f>'2023年'!G45</f>
        <v>24.939614834760189</v>
      </c>
      <c r="H45" s="46" t="e">
        <f>'2023年'!H45</f>
        <v>#VALUE!</v>
      </c>
      <c r="I45" s="46">
        <f>'2023年'!I45</f>
        <v>0</v>
      </c>
      <c r="J45" s="46">
        <f>'2023年'!J45</f>
        <v>0</v>
      </c>
      <c r="K45" s="47"/>
      <c r="V45" s="40" t="s">
        <v>81</v>
      </c>
      <c r="AL45" s="40" t="s">
        <v>66</v>
      </c>
      <c r="AM45" s="40" t="s">
        <v>81</v>
      </c>
    </row>
    <row r="46" spans="1:39" s="35" customFormat="1">
      <c r="A46" s="145">
        <v>4</v>
      </c>
      <c r="B46" s="48" t="s">
        <v>82</v>
      </c>
      <c r="C46" s="53" t="e">
        <f>C21/C6</f>
        <v>#DIV/0!</v>
      </c>
      <c r="D46" s="53" t="e">
        <f t="shared" ref="D46:J46" si="28">D21/D6</f>
        <v>#DIV/0!</v>
      </c>
      <c r="E46" s="53" t="e">
        <f t="shared" si="28"/>
        <v>#DIV/0!</v>
      </c>
      <c r="F46" s="53" t="e">
        <f t="shared" si="28"/>
        <v>#DIV/0!</v>
      </c>
      <c r="G46" s="53" t="e">
        <f t="shared" si="28"/>
        <v>#DIV/0!</v>
      </c>
      <c r="H46" s="53" t="e">
        <f t="shared" si="28"/>
        <v>#DIV/0!</v>
      </c>
      <c r="I46" s="53" t="e">
        <f t="shared" si="28"/>
        <v>#DIV/0!</v>
      </c>
      <c r="J46" s="53" t="e">
        <f t="shared" si="28"/>
        <v>#DIV/0!</v>
      </c>
      <c r="K46" s="53"/>
      <c r="V46" s="48" t="s">
        <v>84</v>
      </c>
      <c r="AL46" s="48" t="s">
        <v>26</v>
      </c>
      <c r="AM46" s="48" t="s">
        <v>84</v>
      </c>
    </row>
    <row r="47" spans="1:39" s="35" customFormat="1">
      <c r="A47" s="145">
        <v>5</v>
      </c>
      <c r="B47" s="48" t="s">
        <v>84</v>
      </c>
      <c r="C47" s="53">
        <f>'2023年'!C47</f>
        <v>11.14008849557522</v>
      </c>
      <c r="D47" s="53">
        <f>'2023年'!D47</f>
        <v>11.837522123893807</v>
      </c>
      <c r="E47" s="53">
        <f>'2023年'!E47</f>
        <v>26.313982300884955</v>
      </c>
      <c r="F47" s="53">
        <f>'2023年'!F47</f>
        <v>17.092024778761065</v>
      </c>
      <c r="G47" s="53">
        <f>'2023年'!G47</f>
        <v>13.095918584070798</v>
      </c>
      <c r="H47" s="53" t="e">
        <f>'2023年'!H47</f>
        <v>#VALUE!</v>
      </c>
      <c r="I47" s="53">
        <f>'2023年'!I47</f>
        <v>0</v>
      </c>
      <c r="J47" s="53">
        <f>'2023年'!J47</f>
        <v>0</v>
      </c>
      <c r="K47" s="53"/>
      <c r="V47" s="48" t="s">
        <v>84</v>
      </c>
      <c r="AL47" s="48" t="s">
        <v>26</v>
      </c>
      <c r="AM47" s="48" t="s">
        <v>84</v>
      </c>
    </row>
    <row r="48" spans="1:39">
      <c r="A48" s="40" t="s">
        <v>77</v>
      </c>
      <c r="B48" s="43" t="s">
        <v>95</v>
      </c>
      <c r="C48" s="47" t="e">
        <f>C40-C43-C44-C45-C47-C46</f>
        <v>#DIV/0!</v>
      </c>
      <c r="D48" s="47" t="e">
        <f t="shared" ref="D48:J48" si="29">D40-D43-D44-D45-D47-D46</f>
        <v>#DIV/0!</v>
      </c>
      <c r="E48" s="47" t="e">
        <f t="shared" si="29"/>
        <v>#DIV/0!</v>
      </c>
      <c r="F48" s="47" t="e">
        <f t="shared" si="29"/>
        <v>#DIV/0!</v>
      </c>
      <c r="G48" s="47" t="e">
        <f t="shared" si="29"/>
        <v>#DIV/0!</v>
      </c>
      <c r="H48" s="47" t="e">
        <f t="shared" si="29"/>
        <v>#DIV/0!</v>
      </c>
      <c r="I48" s="47" t="e">
        <f t="shared" si="29"/>
        <v>#DIV/0!</v>
      </c>
      <c r="J48" s="47" t="e">
        <f t="shared" si="29"/>
        <v>#DIV/0!</v>
      </c>
      <c r="K48" s="47"/>
      <c r="V48" s="43" t="s">
        <v>95</v>
      </c>
      <c r="AL48" s="40" t="s">
        <v>94</v>
      </c>
      <c r="AM48" s="43" t="s">
        <v>95</v>
      </c>
    </row>
    <row r="51" spans="2:16">
      <c r="C51" s="54"/>
      <c r="D51" s="54"/>
      <c r="E51" s="54"/>
      <c r="F51" s="54"/>
      <c r="G51" s="54"/>
      <c r="H51" s="54"/>
      <c r="I51" s="54"/>
      <c r="J51" s="54"/>
    </row>
    <row r="54" spans="2:16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5"/>
      <c r="M54" s="55"/>
      <c r="N54" s="55"/>
      <c r="O54" s="55"/>
      <c r="P54" s="55"/>
    </row>
    <row r="55" spans="2:16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5"/>
      <c r="M55" s="55"/>
      <c r="N55" s="55"/>
      <c r="O55" s="55"/>
      <c r="P55" s="55"/>
    </row>
    <row r="56" spans="2:16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5"/>
      <c r="M56" s="55"/>
      <c r="N56" s="55"/>
      <c r="O56" s="55"/>
      <c r="P56" s="55"/>
    </row>
    <row r="57" spans="2:16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5"/>
      <c r="M57" s="55"/>
      <c r="N57" s="55"/>
      <c r="O57" s="55"/>
      <c r="P57" s="55"/>
    </row>
    <row r="58" spans="2:16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5"/>
      <c r="M58" s="55"/>
      <c r="N58" s="55"/>
      <c r="O58" s="55"/>
      <c r="P58" s="55"/>
    </row>
    <row r="59" spans="2:16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</row>
    <row r="60" spans="2:16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5"/>
      <c r="M60" s="55"/>
      <c r="N60" s="55"/>
      <c r="O60" s="55"/>
      <c r="P60" s="55"/>
    </row>
    <row r="61" spans="2:16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</row>
    <row r="62" spans="2:16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5"/>
      <c r="M62" s="55"/>
      <c r="N62" s="55"/>
      <c r="O62" s="55"/>
      <c r="P62" s="55"/>
    </row>
    <row r="63" spans="2:16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5"/>
      <c r="M63" s="55"/>
      <c r="N63" s="55"/>
      <c r="O63" s="55"/>
      <c r="P63" s="55"/>
    </row>
    <row r="64" spans="2:16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5"/>
      <c r="M64" s="55"/>
      <c r="N64" s="55"/>
      <c r="O64" s="55"/>
      <c r="P64" s="55"/>
    </row>
    <row r="65" spans="2:16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5"/>
      <c r="M65" s="55"/>
      <c r="N65" s="55"/>
      <c r="O65" s="55"/>
      <c r="P65" s="55"/>
    </row>
    <row r="66" spans="2:16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5"/>
      <c r="M66" s="55"/>
      <c r="N66" s="55"/>
      <c r="O66" s="55"/>
      <c r="P66" s="55"/>
    </row>
    <row r="67" spans="2:16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5"/>
    </row>
    <row r="68" spans="2:16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5"/>
    </row>
    <row r="69" spans="2:16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5"/>
    </row>
    <row r="70" spans="2:16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5"/>
    </row>
    <row r="71" spans="2:16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5"/>
    </row>
    <row r="72" spans="2:16"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5"/>
    </row>
    <row r="73" spans="2:16">
      <c r="B73" s="55"/>
      <c r="C73" s="56"/>
      <c r="D73" s="56"/>
      <c r="E73" s="56"/>
      <c r="F73" s="56"/>
      <c r="G73" s="56"/>
      <c r="H73" s="56"/>
      <c r="I73" s="56"/>
      <c r="J73" s="56"/>
      <c r="K73" s="56"/>
      <c r="L73" s="55"/>
    </row>
    <row r="74" spans="2:16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5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H9" sqref="H9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6.5" customWidth="1"/>
    <col min="9" max="9" width="16.25" customWidth="1"/>
    <col min="10" max="10" width="14.125" customWidth="1"/>
  </cols>
  <sheetData>
    <row r="1" spans="1:10" ht="20.25">
      <c r="A1" s="247" t="s">
        <v>145</v>
      </c>
      <c r="B1" s="247"/>
      <c r="C1" s="247"/>
      <c r="E1" s="248" t="s">
        <v>235</v>
      </c>
      <c r="F1" s="249"/>
      <c r="G1" s="249"/>
      <c r="H1" s="250"/>
      <c r="J1" s="169"/>
    </row>
    <row r="2" spans="1:10" ht="23.45" customHeight="1">
      <c r="A2" s="15" t="s">
        <v>1</v>
      </c>
      <c r="B2" s="16" t="s">
        <v>146</v>
      </c>
      <c r="C2" s="17" t="s">
        <v>147</v>
      </c>
      <c r="E2" s="1" t="s">
        <v>148</v>
      </c>
      <c r="F2" s="1" t="s">
        <v>1</v>
      </c>
      <c r="G2" s="18" t="s">
        <v>149</v>
      </c>
      <c r="H2" s="1" t="s">
        <v>147</v>
      </c>
      <c r="J2" s="167"/>
    </row>
    <row r="3" spans="1:10" ht="15.75" customHeight="1">
      <c r="A3" s="19" t="s">
        <v>150</v>
      </c>
      <c r="B3" s="20"/>
      <c r="C3" s="21"/>
      <c r="E3" s="255" t="s">
        <v>151</v>
      </c>
      <c r="F3" s="2" t="s">
        <v>152</v>
      </c>
      <c r="G3" s="22"/>
      <c r="H3" s="2"/>
      <c r="J3" s="246"/>
    </row>
    <row r="4" spans="1:10" ht="15.75" customHeight="1">
      <c r="A4" s="19" t="s">
        <v>153</v>
      </c>
      <c r="B4" s="20"/>
      <c r="C4" s="23"/>
      <c r="E4" s="256"/>
      <c r="F4" s="2" t="s">
        <v>154</v>
      </c>
      <c r="G4" s="22"/>
      <c r="H4" s="2"/>
      <c r="J4" s="246"/>
    </row>
    <row r="5" spans="1:10" ht="15.75" customHeight="1">
      <c r="A5" s="19" t="s">
        <v>155</v>
      </c>
      <c r="B5" s="24">
        <f>SUM(G3:G4)</f>
        <v>0</v>
      </c>
      <c r="C5" s="21"/>
      <c r="E5" s="257" t="s">
        <v>156</v>
      </c>
      <c r="F5" s="25" t="s">
        <v>157</v>
      </c>
      <c r="G5" s="155"/>
      <c r="H5" s="165"/>
      <c r="J5" s="168"/>
    </row>
    <row r="6" spans="1:10" ht="15.75" customHeight="1">
      <c r="A6" s="19" t="s">
        <v>158</v>
      </c>
      <c r="B6" s="20"/>
      <c r="C6" s="21"/>
      <c r="E6" s="258"/>
      <c r="F6" s="25" t="s">
        <v>159</v>
      </c>
      <c r="G6" s="155"/>
      <c r="H6" s="166"/>
      <c r="J6" s="168"/>
    </row>
    <row r="7" spans="1:10" ht="15.75" customHeight="1">
      <c r="A7" s="26" t="s">
        <v>160</v>
      </c>
      <c r="B7" s="24">
        <f>SUM(B3:B6)</f>
        <v>0</v>
      </c>
      <c r="C7" s="21"/>
      <c r="E7" s="258"/>
      <c r="F7" s="25" t="s">
        <v>161</v>
      </c>
      <c r="G7" s="155">
        <v>4.8</v>
      </c>
      <c r="H7" s="166"/>
      <c r="J7" s="168"/>
    </row>
    <row r="8" spans="1:10" ht="15.75" customHeight="1">
      <c r="A8" s="27" t="s">
        <v>162</v>
      </c>
      <c r="B8" s="24">
        <f>SUM(G5:G12)</f>
        <v>4.8</v>
      </c>
      <c r="C8" s="28"/>
      <c r="E8" s="258"/>
      <c r="F8" s="25" t="s">
        <v>163</v>
      </c>
      <c r="G8" s="155"/>
      <c r="H8" s="166"/>
      <c r="J8" s="168"/>
    </row>
    <row r="9" spans="1:10" ht="15.75" customHeight="1">
      <c r="A9" s="19" t="s">
        <v>164</v>
      </c>
      <c r="B9" s="24">
        <f>SUM(G13:G21)</f>
        <v>8.3000000000000007</v>
      </c>
      <c r="C9" s="21"/>
      <c r="E9" s="258"/>
      <c r="F9" s="2" t="s">
        <v>165</v>
      </c>
      <c r="G9" s="155"/>
      <c r="H9" s="166"/>
      <c r="J9" s="168"/>
    </row>
    <row r="10" spans="1:10" ht="15.75" customHeight="1">
      <c r="A10" s="23" t="s">
        <v>14</v>
      </c>
      <c r="B10" s="24">
        <f>B7+B8+B9</f>
        <v>13.100000000000001</v>
      </c>
      <c r="C10" s="21"/>
      <c r="E10" s="258"/>
      <c r="F10" s="2" t="s">
        <v>166</v>
      </c>
      <c r="G10" s="155"/>
      <c r="H10" s="166"/>
      <c r="J10" s="168"/>
    </row>
    <row r="11" spans="1:10" ht="15.75" customHeight="1">
      <c r="E11" s="258"/>
      <c r="F11" s="2" t="s">
        <v>167</v>
      </c>
      <c r="G11" s="155"/>
      <c r="H11" s="166"/>
      <c r="J11" s="168"/>
    </row>
    <row r="12" spans="1:10" ht="15.75" customHeight="1">
      <c r="E12" s="259"/>
      <c r="F12" s="2" t="s">
        <v>168</v>
      </c>
      <c r="G12" s="155"/>
      <c r="H12" s="166"/>
      <c r="J12" s="168"/>
    </row>
    <row r="13" spans="1:10" ht="15.75" customHeight="1">
      <c r="E13" s="255" t="s">
        <v>46</v>
      </c>
      <c r="F13" s="2" t="s">
        <v>169</v>
      </c>
      <c r="G13" s="155"/>
      <c r="H13" s="166"/>
      <c r="J13" s="227"/>
    </row>
    <row r="14" spans="1:10" ht="15.75" customHeight="1">
      <c r="E14" s="256"/>
      <c r="F14" s="2" t="s">
        <v>170</v>
      </c>
      <c r="G14" s="155"/>
      <c r="H14" s="166"/>
      <c r="J14" s="227"/>
    </row>
    <row r="15" spans="1:10" ht="15.75" customHeight="1">
      <c r="E15" s="256"/>
      <c r="F15" s="2" t="s">
        <v>171</v>
      </c>
      <c r="G15" s="155"/>
      <c r="H15" s="166"/>
      <c r="J15" s="227"/>
    </row>
    <row r="16" spans="1:10" ht="15.75" customHeight="1">
      <c r="E16" s="256"/>
      <c r="F16" s="2" t="s">
        <v>172</v>
      </c>
      <c r="G16" s="155"/>
      <c r="H16" s="166"/>
      <c r="J16" s="227"/>
    </row>
    <row r="17" spans="1:10" ht="15.75" customHeight="1">
      <c r="E17" s="256"/>
      <c r="F17" s="2" t="s">
        <v>173</v>
      </c>
      <c r="G17" s="155"/>
      <c r="H17" s="166"/>
      <c r="J17" s="227"/>
    </row>
    <row r="18" spans="1:10" ht="15.75" customHeight="1">
      <c r="E18" s="256"/>
      <c r="F18" s="2" t="s">
        <v>174</v>
      </c>
      <c r="G18" s="155"/>
      <c r="H18" s="166"/>
      <c r="J18" s="227"/>
    </row>
    <row r="19" spans="1:10" ht="15.75" customHeight="1">
      <c r="E19" s="256"/>
      <c r="F19" s="2" t="s">
        <v>175</v>
      </c>
      <c r="G19" s="155">
        <v>8.3000000000000007</v>
      </c>
      <c r="H19" s="172"/>
      <c r="J19" s="227"/>
    </row>
    <row r="20" spans="1:10" ht="15.75" customHeight="1">
      <c r="E20" s="256"/>
      <c r="F20" s="2" t="s">
        <v>176</v>
      </c>
      <c r="G20" s="155"/>
      <c r="H20" s="166"/>
      <c r="J20" s="227"/>
    </row>
    <row r="21" spans="1:10" ht="15.75" customHeight="1">
      <c r="E21" s="260"/>
      <c r="F21" s="2" t="s">
        <v>123</v>
      </c>
      <c r="G21" s="155"/>
      <c r="H21" s="166"/>
      <c r="J21" s="227"/>
    </row>
    <row r="22" spans="1:10" ht="15.75" customHeight="1">
      <c r="E22" s="1" t="s">
        <v>14</v>
      </c>
      <c r="F22" s="2"/>
      <c r="G22" s="18">
        <f>SUM(G3:G21)</f>
        <v>13.100000000000001</v>
      </c>
      <c r="H22" s="309" t="s">
        <v>297</v>
      </c>
      <c r="J22" s="228"/>
    </row>
    <row r="23" spans="1:10" ht="30.75" customHeight="1">
      <c r="E23" s="251" t="s">
        <v>177</v>
      </c>
      <c r="F23" s="251"/>
      <c r="G23" s="251"/>
      <c r="H23" s="251"/>
    </row>
    <row r="25" spans="1:10" ht="17.25">
      <c r="A25" s="10" t="s">
        <v>1</v>
      </c>
      <c r="B25" s="10" t="s">
        <v>146</v>
      </c>
      <c r="C25" s="10" t="s">
        <v>178</v>
      </c>
      <c r="D25" s="156" t="s">
        <v>254</v>
      </c>
      <c r="E25" s="178" t="s">
        <v>179</v>
      </c>
      <c r="F25" s="178" t="s">
        <v>180</v>
      </c>
      <c r="G25" s="178" t="s">
        <v>181</v>
      </c>
      <c r="H25" s="178" t="s">
        <v>225</v>
      </c>
      <c r="I25" s="11" t="s">
        <v>14</v>
      </c>
      <c r="J25" s="32" t="s">
        <v>182</v>
      </c>
    </row>
    <row r="26" spans="1:10" ht="16.5">
      <c r="A26" s="29" t="s">
        <v>141</v>
      </c>
      <c r="B26" s="30"/>
      <c r="C26" s="31">
        <v>0.05</v>
      </c>
      <c r="D26" s="7">
        <f>B26*(1-C26)/4</f>
        <v>0</v>
      </c>
      <c r="E26" s="7">
        <f t="shared" ref="E26:F27" si="0">D26</f>
        <v>0</v>
      </c>
      <c r="F26" s="7">
        <f t="shared" si="0"/>
        <v>0</v>
      </c>
      <c r="G26" s="7">
        <f t="shared" ref="G26:G27" si="1">F26</f>
        <v>0</v>
      </c>
      <c r="H26" s="7"/>
      <c r="I26" s="7">
        <f>SUM(D26:H26)</f>
        <v>0</v>
      </c>
      <c r="J26" s="7">
        <f>B26*0.05</f>
        <v>0</v>
      </c>
    </row>
    <row r="27" spans="1:10" ht="16.5">
      <c r="A27" s="29" t="s">
        <v>183</v>
      </c>
      <c r="B27" s="30"/>
      <c r="C27" s="7"/>
      <c r="D27" s="7">
        <f>B27/4</f>
        <v>0</v>
      </c>
      <c r="E27" s="7">
        <f t="shared" si="0"/>
        <v>0</v>
      </c>
      <c r="F27" s="7">
        <f t="shared" si="0"/>
        <v>0</v>
      </c>
      <c r="G27" s="7">
        <f t="shared" si="1"/>
        <v>0</v>
      </c>
      <c r="H27" s="7"/>
      <c r="I27" s="7">
        <f>SUM(D27:H27)</f>
        <v>0</v>
      </c>
      <c r="J27" s="7"/>
    </row>
    <row r="28" spans="1:10" ht="16.5">
      <c r="A28" s="252" t="s">
        <v>103</v>
      </c>
      <c r="B28" s="253"/>
      <c r="C28" s="254"/>
      <c r="D28" s="7">
        <f>SUM(D26:D27)</f>
        <v>0</v>
      </c>
      <c r="E28" s="7">
        <f t="shared" ref="E28:H28" si="2">SUM(E26:E27)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33"/>
      <c r="J28" s="33"/>
    </row>
    <row r="40" spans="9:9">
      <c r="I40" s="170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2023-05-31T09:16:53Z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