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产品成本\重点  成本评审\J6L座椅\J6G2023.5.19\"/>
    </mc:Choice>
  </mc:AlternateContent>
  <bookViews>
    <workbookView xWindow="0" yWindow="450" windowWidth="18525" windowHeight="6240" tabRatio="810" firstSheet="1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68" r:id="rId7"/>
    <sheet name="2027年" sheetId="6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4" r:id="rId14"/>
  </sheets>
  <externalReferences>
    <externalReference r:id="rId15"/>
  </externalReferences>
  <definedNames>
    <definedName name="_xlnm.Print_Area" localSheetId="3">'2023年'!$A$1:$G$48</definedName>
    <definedName name="_xlnm.Print_Area" localSheetId="4">'2024年'!$A$1:$G$48</definedName>
    <definedName name="_xlnm.Print_Area" localSheetId="5">'2025年'!$A$1:$G$48</definedName>
    <definedName name="_xlnm.Print_Area" localSheetId="6">'2026年'!$A$1:$G$48</definedName>
    <definedName name="_xlnm.Print_Area" localSheetId="7">'2027年'!$A$1:$G$48</definedName>
    <definedName name="_xlnm.Print_Area" localSheetId="1">损益表!$A$1:$H$61</definedName>
    <definedName name="_xlnm.Print_Area" localSheetId="8">项目投资!$A$1:$C$32</definedName>
  </definedNames>
  <calcPr calcId="162913"/>
</workbook>
</file>

<file path=xl/calcChain.xml><?xml version="1.0" encoding="utf-8"?>
<calcChain xmlns="http://schemas.openxmlformats.org/spreadsheetml/2006/main">
  <c r="D5" i="64" l="1"/>
  <c r="D4" i="64"/>
  <c r="D7" i="53"/>
  <c r="D77" i="50" l="1"/>
  <c r="D64" i="50"/>
  <c r="D51" i="50"/>
  <c r="D38" i="50"/>
  <c r="G18" i="51" l="1"/>
  <c r="E71" i="50" l="1"/>
  <c r="E72" i="50"/>
  <c r="E73" i="50"/>
  <c r="E75" i="50"/>
  <c r="E76" i="50"/>
  <c r="E77" i="50"/>
  <c r="E78" i="50"/>
  <c r="E58" i="50"/>
  <c r="E59" i="50"/>
  <c r="E60" i="50"/>
  <c r="E62" i="50"/>
  <c r="E63" i="50"/>
  <c r="E64" i="50"/>
  <c r="E65" i="50"/>
  <c r="E45" i="50"/>
  <c r="E46" i="50"/>
  <c r="E47" i="50"/>
  <c r="E49" i="50"/>
  <c r="E50" i="50"/>
  <c r="E51" i="50"/>
  <c r="E52" i="50"/>
  <c r="E32" i="50"/>
  <c r="E33" i="50"/>
  <c r="E34" i="50"/>
  <c r="E36" i="50"/>
  <c r="E37" i="50"/>
  <c r="E38" i="50"/>
  <c r="E39" i="50"/>
  <c r="E18" i="50"/>
  <c r="E19" i="50"/>
  <c r="E20" i="50"/>
  <c r="E22" i="50"/>
  <c r="E23" i="50"/>
  <c r="E24" i="50"/>
  <c r="E25" i="50"/>
  <c r="K11" i="55" l="1"/>
  <c r="L11" i="55" s="1"/>
  <c r="D6" i="64" l="1"/>
  <c r="E4" i="64"/>
  <c r="F31" i="67" l="1"/>
  <c r="F3" i="67" l="1"/>
  <c r="F4" i="67"/>
  <c r="F6" i="67"/>
  <c r="F31" i="68"/>
  <c r="F3" i="68"/>
  <c r="F4" i="68"/>
  <c r="F6" i="68"/>
  <c r="F31" i="57"/>
  <c r="F3" i="57"/>
  <c r="F4" i="57"/>
  <c r="F6" i="57"/>
  <c r="F31" i="56"/>
  <c r="F7" i="56"/>
  <c r="F6" i="56"/>
  <c r="F4" i="56"/>
  <c r="F3" i="56"/>
  <c r="F31" i="43"/>
  <c r="F32" i="43" s="1"/>
  <c r="G8" i="43"/>
  <c r="E31" i="68"/>
  <c r="D31" i="68"/>
  <c r="C31" i="68"/>
  <c r="E6" i="68"/>
  <c r="D6" i="68"/>
  <c r="C6" i="68"/>
  <c r="E4" i="68"/>
  <c r="D4" i="68"/>
  <c r="C4" i="68"/>
  <c r="E3" i="68"/>
  <c r="D3" i="68"/>
  <c r="C3" i="68"/>
  <c r="C2" i="68"/>
  <c r="E31" i="67"/>
  <c r="D31" i="67"/>
  <c r="C31" i="67"/>
  <c r="E6" i="67"/>
  <c r="D6" i="67"/>
  <c r="C6" i="67"/>
  <c r="E4" i="67"/>
  <c r="D4" i="67"/>
  <c r="C4" i="67"/>
  <c r="E3" i="67"/>
  <c r="D3" i="67"/>
  <c r="C3" i="67"/>
  <c r="C2" i="67"/>
  <c r="F3" i="43"/>
  <c r="F6" i="43"/>
  <c r="F4" i="43"/>
  <c r="E5" i="64"/>
  <c r="E6" i="64" s="1"/>
  <c r="C5" i="64"/>
  <c r="C4" i="64"/>
  <c r="B5" i="64"/>
  <c r="B4" i="64"/>
  <c r="F7" i="68" l="1"/>
  <c r="G6" i="68"/>
  <c r="F3" i="2" s="1"/>
  <c r="G6" i="67"/>
  <c r="G3" i="2" s="1"/>
  <c r="F7" i="43"/>
  <c r="F9" i="43" s="1"/>
  <c r="C7" i="67"/>
  <c r="F7" i="57"/>
  <c r="F7" i="67"/>
  <c r="E7" i="68"/>
  <c r="C7" i="68"/>
  <c r="D7" i="68"/>
  <c r="D7" i="67"/>
  <c r="E7" i="67"/>
  <c r="F5" i="64"/>
  <c r="G5" i="64" s="1"/>
  <c r="F4" i="64"/>
  <c r="G4" i="64" l="1"/>
  <c r="F6" i="64"/>
  <c r="G6" i="64" s="1"/>
  <c r="G7" i="68"/>
  <c r="F4" i="2" s="1"/>
  <c r="G7" i="67"/>
  <c r="G4" i="2" s="1"/>
  <c r="H21" i="50" l="1"/>
  <c r="H24" i="50"/>
  <c r="H35" i="50"/>
  <c r="H38" i="50"/>
  <c r="H48" i="50"/>
  <c r="H51" i="50"/>
  <c r="H61" i="50"/>
  <c r="H64" i="50"/>
  <c r="H74" i="50"/>
  <c r="H77" i="50"/>
  <c r="E7" i="50" l="1"/>
  <c r="E74" i="50" l="1"/>
  <c r="E35" i="50"/>
  <c r="E48" i="50"/>
  <c r="E61" i="50"/>
  <c r="E21" i="50"/>
  <c r="D33" i="53"/>
  <c r="F33" i="53"/>
  <c r="G33" i="53"/>
  <c r="H33" i="53"/>
  <c r="I33" i="53"/>
  <c r="H70" i="50" l="1"/>
  <c r="G75" i="50"/>
  <c r="G74" i="50"/>
  <c r="H57" i="50"/>
  <c r="G62" i="50"/>
  <c r="G61" i="50"/>
  <c r="H44" i="50"/>
  <c r="G49" i="50"/>
  <c r="G48" i="50"/>
  <c r="H31" i="50"/>
  <c r="G36" i="50"/>
  <c r="G35" i="50"/>
  <c r="H17" i="50"/>
  <c r="D24" i="50" s="1"/>
  <c r="G22" i="50"/>
  <c r="G21" i="50"/>
  <c r="H3" i="50"/>
  <c r="D10" i="50" s="1"/>
  <c r="D3" i="57"/>
  <c r="E3" i="57"/>
  <c r="D4" i="57"/>
  <c r="E4" i="57"/>
  <c r="D6" i="57"/>
  <c r="D7" i="57" s="1"/>
  <c r="E6" i="57"/>
  <c r="E7" i="57" s="1"/>
  <c r="D31" i="57"/>
  <c r="E31" i="57"/>
  <c r="D31" i="56"/>
  <c r="E31" i="56"/>
  <c r="D3" i="56"/>
  <c r="E3" i="56"/>
  <c r="D4" i="56"/>
  <c r="E4" i="56"/>
  <c r="D6" i="56"/>
  <c r="E6" i="56"/>
  <c r="E7" i="56" s="1"/>
  <c r="E45" i="53"/>
  <c r="F45" i="53" s="1"/>
  <c r="G45" i="53" s="1"/>
  <c r="I4" i="53"/>
  <c r="I5" i="53"/>
  <c r="E4" i="53"/>
  <c r="F4" i="53"/>
  <c r="G4" i="53"/>
  <c r="H4" i="53"/>
  <c r="E5" i="53"/>
  <c r="F5" i="53"/>
  <c r="G5" i="53"/>
  <c r="H5" i="53"/>
  <c r="D5" i="53"/>
  <c r="D4" i="53"/>
  <c r="D72" i="50" l="1"/>
  <c r="D76" i="50"/>
  <c r="D73" i="50"/>
  <c r="D78" i="50"/>
  <c r="D74" i="50"/>
  <c r="D71" i="50"/>
  <c r="D75" i="50"/>
  <c r="E38" i="43"/>
  <c r="D36" i="50"/>
  <c r="E45" i="43" s="1"/>
  <c r="D33" i="50"/>
  <c r="E43" i="43" s="1"/>
  <c r="D37" i="50"/>
  <c r="E44" i="43" s="1"/>
  <c r="D34" i="50"/>
  <c r="E37" i="43" s="1"/>
  <c r="D39" i="50"/>
  <c r="D35" i="50"/>
  <c r="D32" i="50"/>
  <c r="E36" i="43" s="1"/>
  <c r="F38" i="43"/>
  <c r="D48" i="50"/>
  <c r="D45" i="50"/>
  <c r="F36" i="43" s="1"/>
  <c r="D49" i="50"/>
  <c r="F45" i="43" s="1"/>
  <c r="D46" i="50"/>
  <c r="F43" i="43" s="1"/>
  <c r="D50" i="50"/>
  <c r="F44" i="43" s="1"/>
  <c r="D47" i="50"/>
  <c r="F37" i="43" s="1"/>
  <c r="D52" i="50"/>
  <c r="F47" i="43" s="1"/>
  <c r="D7" i="50"/>
  <c r="D5" i="50"/>
  <c r="C43" i="43" s="1"/>
  <c r="D8" i="50"/>
  <c r="C45" i="43" s="1"/>
  <c r="D6" i="50"/>
  <c r="D11" i="50"/>
  <c r="D4" i="50"/>
  <c r="C36" i="43" s="1"/>
  <c r="D9" i="50"/>
  <c r="C44" i="43" s="1"/>
  <c r="D60" i="50"/>
  <c r="D65" i="50"/>
  <c r="D61" i="50"/>
  <c r="D58" i="50"/>
  <c r="D62" i="50"/>
  <c r="D59" i="50"/>
  <c r="D63" i="50"/>
  <c r="D22" i="50"/>
  <c r="D45" i="43" s="1"/>
  <c r="D19" i="50"/>
  <c r="D43" i="43" s="1"/>
  <c r="D23" i="50"/>
  <c r="D44" i="43" s="1"/>
  <c r="D20" i="50"/>
  <c r="D37" i="43" s="1"/>
  <c r="D38" i="43"/>
  <c r="D21" i="50"/>
  <c r="D25" i="50"/>
  <c r="D47" i="43" s="1"/>
  <c r="D18" i="50"/>
  <c r="D36" i="43" s="1"/>
  <c r="E47" i="43"/>
  <c r="D7" i="56"/>
  <c r="D37" i="67" l="1"/>
  <c r="D12" i="67" s="1"/>
  <c r="D37" i="68"/>
  <c r="D12" i="68" s="1"/>
  <c r="F44" i="67"/>
  <c r="F19" i="67" s="1"/>
  <c r="F44" i="68"/>
  <c r="F19" i="68" s="1"/>
  <c r="F44" i="57"/>
  <c r="F19" i="57" s="1"/>
  <c r="F44" i="56"/>
  <c r="F19" i="56" s="1"/>
  <c r="F19" i="43"/>
  <c r="F11" i="43"/>
  <c r="F36" i="67"/>
  <c r="F11" i="67" s="1"/>
  <c r="F36" i="68"/>
  <c r="F11" i="68" s="1"/>
  <c r="F36" i="57"/>
  <c r="F11" i="57" s="1"/>
  <c r="F36" i="56"/>
  <c r="F11" i="56" s="1"/>
  <c r="E37" i="67"/>
  <c r="E12" i="67" s="1"/>
  <c r="E37" i="68"/>
  <c r="E12" i="68" s="1"/>
  <c r="E45" i="67"/>
  <c r="E20" i="67" s="1"/>
  <c r="E45" i="68"/>
  <c r="E20" i="68" s="1"/>
  <c r="D36" i="67"/>
  <c r="D11" i="67" s="1"/>
  <c r="D36" i="68"/>
  <c r="D11" i="68" s="1"/>
  <c r="D38" i="68"/>
  <c r="D13" i="68" s="1"/>
  <c r="D38" i="67"/>
  <c r="D13" i="67" s="1"/>
  <c r="D43" i="67"/>
  <c r="D43" i="68"/>
  <c r="F22" i="43"/>
  <c r="F47" i="67"/>
  <c r="F22" i="67" s="1"/>
  <c r="F47" i="68"/>
  <c r="F22" i="68" s="1"/>
  <c r="F47" i="57"/>
  <c r="F22" i="57" s="1"/>
  <c r="F47" i="56"/>
  <c r="F22" i="56" s="1"/>
  <c r="F43" i="67"/>
  <c r="F43" i="68"/>
  <c r="F43" i="57"/>
  <c r="F43" i="56"/>
  <c r="E44" i="67"/>
  <c r="E19" i="67" s="1"/>
  <c r="E44" i="68"/>
  <c r="E19" i="68" s="1"/>
  <c r="E38" i="67"/>
  <c r="E13" i="67" s="1"/>
  <c r="E38" i="68"/>
  <c r="E13" i="68" s="1"/>
  <c r="E36" i="68"/>
  <c r="E11" i="68" s="1"/>
  <c r="E36" i="67"/>
  <c r="E11" i="67" s="1"/>
  <c r="E14" i="67" s="1"/>
  <c r="D44" i="67"/>
  <c r="D19" i="67" s="1"/>
  <c r="D44" i="68"/>
  <c r="D19" i="68" s="1"/>
  <c r="E47" i="68"/>
  <c r="E22" i="68" s="1"/>
  <c r="E47" i="67"/>
  <c r="E22" i="67" s="1"/>
  <c r="D47" i="67"/>
  <c r="D22" i="67" s="1"/>
  <c r="D47" i="68"/>
  <c r="D22" i="68" s="1"/>
  <c r="D45" i="68"/>
  <c r="D20" i="68" s="1"/>
  <c r="D45" i="67"/>
  <c r="D20" i="67" s="1"/>
  <c r="F12" i="43"/>
  <c r="F37" i="67"/>
  <c r="F12" i="67" s="1"/>
  <c r="F37" i="68"/>
  <c r="F12" i="68" s="1"/>
  <c r="F37" i="57"/>
  <c r="F12" i="57" s="1"/>
  <c r="F37" i="56"/>
  <c r="F12" i="56" s="1"/>
  <c r="F20" i="43"/>
  <c r="F45" i="67"/>
  <c r="F20" i="67" s="1"/>
  <c r="F45" i="68"/>
  <c r="F20" i="68" s="1"/>
  <c r="F45" i="57"/>
  <c r="F20" i="57" s="1"/>
  <c r="F45" i="56"/>
  <c r="F20" i="56" s="1"/>
  <c r="F13" i="43"/>
  <c r="F38" i="67"/>
  <c r="F13" i="67" s="1"/>
  <c r="F38" i="68"/>
  <c r="F13" i="68" s="1"/>
  <c r="F38" i="57"/>
  <c r="F13" i="57" s="1"/>
  <c r="F38" i="56"/>
  <c r="F13" i="56" s="1"/>
  <c r="E43" i="68"/>
  <c r="E43" i="67"/>
  <c r="C45" i="68"/>
  <c r="C20" i="68" s="1"/>
  <c r="C45" i="67"/>
  <c r="C20" i="67" s="1"/>
  <c r="C44" i="68"/>
  <c r="C19" i="68" s="1"/>
  <c r="C44" i="67"/>
  <c r="C19" i="67" s="1"/>
  <c r="C43" i="68"/>
  <c r="C43" i="67"/>
  <c r="C36" i="68"/>
  <c r="C11" i="68" s="1"/>
  <c r="C36" i="67"/>
  <c r="C11" i="67" s="1"/>
  <c r="E47" i="57"/>
  <c r="E22" i="57" s="1"/>
  <c r="E47" i="56"/>
  <c r="E22" i="56" s="1"/>
  <c r="D45" i="57"/>
  <c r="D45" i="56"/>
  <c r="E45" i="57"/>
  <c r="E45" i="56"/>
  <c r="E37" i="57"/>
  <c r="E12" i="57" s="1"/>
  <c r="E37" i="56"/>
  <c r="E12" i="56" s="1"/>
  <c r="D36" i="56"/>
  <c r="D11" i="56" s="1"/>
  <c r="D36" i="57"/>
  <c r="D11" i="57" s="1"/>
  <c r="C44" i="57"/>
  <c r="C44" i="56"/>
  <c r="C45" i="56"/>
  <c r="C45" i="57"/>
  <c r="E38" i="57"/>
  <c r="E13" i="57" s="1"/>
  <c r="E38" i="56"/>
  <c r="E13" i="56" s="1"/>
  <c r="E36" i="56"/>
  <c r="E11" i="56" s="1"/>
  <c r="E36" i="57"/>
  <c r="E11" i="57" s="1"/>
  <c r="D47" i="57"/>
  <c r="D22" i="57" s="1"/>
  <c r="D47" i="56"/>
  <c r="D22" i="56" s="1"/>
  <c r="D44" i="57"/>
  <c r="D19" i="57" s="1"/>
  <c r="D44" i="56"/>
  <c r="D19" i="56" s="1"/>
  <c r="C36" i="57"/>
  <c r="C36" i="56"/>
  <c r="C43" i="57"/>
  <c r="C43" i="56"/>
  <c r="E44" i="56"/>
  <c r="E19" i="56" s="1"/>
  <c r="E44" i="57"/>
  <c r="E19" i="57" s="1"/>
  <c r="D38" i="57"/>
  <c r="D13" i="57" s="1"/>
  <c r="D38" i="56"/>
  <c r="D13" i="56" s="1"/>
  <c r="D37" i="57"/>
  <c r="D12" i="57" s="1"/>
  <c r="D37" i="56"/>
  <c r="D12" i="56" s="1"/>
  <c r="D43" i="57"/>
  <c r="D43" i="56"/>
  <c r="E43" i="57"/>
  <c r="E43" i="56"/>
  <c r="G11" i="67" l="1"/>
  <c r="G8" i="2" s="1"/>
  <c r="G34" i="2" s="1"/>
  <c r="G20" i="67"/>
  <c r="G17" i="2" s="1"/>
  <c r="G43" i="2" s="1"/>
  <c r="F14" i="68"/>
  <c r="G19" i="67"/>
  <c r="G16" i="2" s="1"/>
  <c r="G42" i="2" s="1"/>
  <c r="G20" i="68"/>
  <c r="F17" i="2" s="1"/>
  <c r="E14" i="68"/>
  <c r="D14" i="68"/>
  <c r="F14" i="56"/>
  <c r="F14" i="67"/>
  <c r="G19" i="68"/>
  <c r="F16" i="2" s="1"/>
  <c r="F42" i="2" s="1"/>
  <c r="D14" i="67"/>
  <c r="F14" i="57"/>
  <c r="F14" i="43"/>
  <c r="G11" i="68"/>
  <c r="F8" i="2" s="1"/>
  <c r="E14" i="56"/>
  <c r="D14" i="56"/>
  <c r="E14" i="57"/>
  <c r="D14" i="57"/>
  <c r="D31" i="43"/>
  <c r="D32" i="43" s="1"/>
  <c r="E31" i="43"/>
  <c r="E32" i="43" s="1"/>
  <c r="D6" i="43"/>
  <c r="E6" i="43"/>
  <c r="E3" i="43"/>
  <c r="E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F43" i="2" l="1"/>
  <c r="F34" i="2"/>
  <c r="E12" i="43"/>
  <c r="E7" i="43"/>
  <c r="E9" i="43" s="1"/>
  <c r="E22" i="43"/>
  <c r="E13" i="43"/>
  <c r="D22" i="43"/>
  <c r="D13" i="43"/>
  <c r="D19" i="43"/>
  <c r="D12" i="43"/>
  <c r="D11" i="43"/>
  <c r="D20" i="43"/>
  <c r="E19" i="43"/>
  <c r="D7" i="43"/>
  <c r="D9" i="43" s="1"/>
  <c r="E11" i="43"/>
  <c r="E20" i="43"/>
  <c r="E14" i="43" l="1"/>
  <c r="D14" i="43"/>
  <c r="C2" i="57"/>
  <c r="C2" i="56"/>
  <c r="G7" i="50" l="1"/>
  <c r="C4" i="57" l="1"/>
  <c r="C3" i="57"/>
  <c r="C3" i="56"/>
  <c r="C4" i="56"/>
  <c r="C3" i="43"/>
  <c r="C4" i="43"/>
  <c r="B9" i="51"/>
  <c r="L8" i="55" l="1"/>
  <c r="F8" i="57" s="1"/>
  <c r="F9" i="57" s="1"/>
  <c r="K9" i="55"/>
  <c r="L7" i="55"/>
  <c r="F8" i="56" s="1"/>
  <c r="F9" i="56" s="1"/>
  <c r="F32" i="56" s="1"/>
  <c r="C6" i="57"/>
  <c r="G6" i="57" s="1"/>
  <c r="C31" i="57"/>
  <c r="C6" i="56"/>
  <c r="G6" i="56" s="1"/>
  <c r="C31" i="56"/>
  <c r="F32" i="57" l="1"/>
  <c r="E8" i="56"/>
  <c r="E9" i="56" s="1"/>
  <c r="D8" i="56"/>
  <c r="D9" i="56" s="1"/>
  <c r="E8" i="57"/>
  <c r="E9" i="57" s="1"/>
  <c r="D8" i="57"/>
  <c r="D9" i="57" s="1"/>
  <c r="E3" i="2"/>
  <c r="D3" i="2"/>
  <c r="C7" i="56"/>
  <c r="G7" i="56" s="1"/>
  <c r="C7" i="57"/>
  <c r="G7" i="57" s="1"/>
  <c r="C38" i="43"/>
  <c r="C37" i="43"/>
  <c r="L9" i="55"/>
  <c r="K10" i="55"/>
  <c r="L10" i="55" s="1"/>
  <c r="C11" i="56"/>
  <c r="G11" i="56" s="1"/>
  <c r="E8" i="67" l="1"/>
  <c r="E9" i="67" s="1"/>
  <c r="E32" i="67" s="1"/>
  <c r="C8" i="67"/>
  <c r="F8" i="67"/>
  <c r="F9" i="67" s="1"/>
  <c r="F32" i="67" s="1"/>
  <c r="D8" i="67"/>
  <c r="D9" i="67" s="1"/>
  <c r="D32" i="67" s="1"/>
  <c r="E8" i="68"/>
  <c r="E9" i="68" s="1"/>
  <c r="E32" i="68" s="1"/>
  <c r="D8" i="68"/>
  <c r="D9" i="68" s="1"/>
  <c r="D32" i="68" s="1"/>
  <c r="C8" i="68"/>
  <c r="F8" i="68"/>
  <c r="F9" i="68" s="1"/>
  <c r="F32" i="68" s="1"/>
  <c r="C37" i="68"/>
  <c r="C12" i="68" s="1"/>
  <c r="C37" i="67"/>
  <c r="C12" i="67" s="1"/>
  <c r="G12" i="67" s="1"/>
  <c r="G9" i="2" s="1"/>
  <c r="C38" i="68"/>
  <c r="C13" i="68" s="1"/>
  <c r="G13" i="68" s="1"/>
  <c r="F10" i="2" s="1"/>
  <c r="C38" i="67"/>
  <c r="C13" i="67" s="1"/>
  <c r="C38" i="57"/>
  <c r="C13" i="57" s="1"/>
  <c r="C38" i="56"/>
  <c r="C13" i="56" s="1"/>
  <c r="G13" i="56" s="1"/>
  <c r="C37" i="56"/>
  <c r="C12" i="56" s="1"/>
  <c r="G12" i="56" s="1"/>
  <c r="C37" i="57"/>
  <c r="C12" i="57" s="1"/>
  <c r="G12" i="57" s="1"/>
  <c r="E32" i="57"/>
  <c r="D32" i="56"/>
  <c r="D32" i="57"/>
  <c r="E32" i="56"/>
  <c r="C8" i="56"/>
  <c r="D4" i="2"/>
  <c r="E4" i="2"/>
  <c r="C8" i="57"/>
  <c r="G8" i="57" s="1"/>
  <c r="C11" i="57"/>
  <c r="G11" i="57" s="1"/>
  <c r="D8" i="2"/>
  <c r="D34" i="2" s="1"/>
  <c r="C19" i="57"/>
  <c r="G19" i="57" s="1"/>
  <c r="C19" i="56"/>
  <c r="G19" i="56" s="1"/>
  <c r="G8" i="68" l="1"/>
  <c r="F5" i="2" s="1"/>
  <c r="C9" i="68"/>
  <c r="C9" i="67"/>
  <c r="G8" i="67"/>
  <c r="G5" i="2" s="1"/>
  <c r="C14" i="67"/>
  <c r="G14" i="67" s="1"/>
  <c r="G11" i="2" s="1"/>
  <c r="G13" i="67"/>
  <c r="G10" i="2" s="1"/>
  <c r="F36" i="2"/>
  <c r="G35" i="2"/>
  <c r="C9" i="56"/>
  <c r="G9" i="56" s="1"/>
  <c r="D6" i="2" s="1"/>
  <c r="D29" i="2" s="1"/>
  <c r="G8" i="56"/>
  <c r="G13" i="57"/>
  <c r="E10" i="2" s="1"/>
  <c r="E36" i="2" s="1"/>
  <c r="G12" i="68"/>
  <c r="F9" i="2" s="1"/>
  <c r="C14" i="68"/>
  <c r="G14" i="68" s="1"/>
  <c r="F11" i="2" s="1"/>
  <c r="E20" i="56"/>
  <c r="D20" i="56"/>
  <c r="D20" i="57"/>
  <c r="E20" i="57"/>
  <c r="C32" i="56"/>
  <c r="C20" i="56" s="1"/>
  <c r="C9" i="57"/>
  <c r="G9" i="57" s="1"/>
  <c r="E5" i="2"/>
  <c r="E8" i="2"/>
  <c r="E34" i="2" s="1"/>
  <c r="D5" i="2"/>
  <c r="C14" i="56"/>
  <c r="G14" i="56" s="1"/>
  <c r="C14" i="57"/>
  <c r="G14" i="57" s="1"/>
  <c r="E16" i="2"/>
  <c r="D10" i="2"/>
  <c r="D36" i="2" s="1"/>
  <c r="D16" i="2"/>
  <c r="G20" i="56" l="1"/>
  <c r="G9" i="67"/>
  <c r="G6" i="2" s="1"/>
  <c r="G47" i="2" s="1"/>
  <c r="C32" i="67"/>
  <c r="G9" i="68"/>
  <c r="F6" i="2" s="1"/>
  <c r="C32" i="68"/>
  <c r="F35" i="2"/>
  <c r="G36" i="2"/>
  <c r="E42" i="2"/>
  <c r="D47" i="2"/>
  <c r="D42" i="2"/>
  <c r="C32" i="57"/>
  <c r="C20" i="57" s="1"/>
  <c r="G20" i="57" s="1"/>
  <c r="E6" i="2"/>
  <c r="E29" i="2" s="1"/>
  <c r="G29" i="2" l="1"/>
  <c r="G49" i="2"/>
  <c r="F29" i="2"/>
  <c r="F49" i="2"/>
  <c r="F47" i="2"/>
  <c r="E47" i="2"/>
  <c r="E17" i="2"/>
  <c r="D11" i="2"/>
  <c r="D9" i="2"/>
  <c r="D35" i="2" s="1"/>
  <c r="E49" i="2" l="1"/>
  <c r="E43" i="2"/>
  <c r="E11" i="2"/>
  <c r="E9" i="2"/>
  <c r="E35" i="2" s="1"/>
  <c r="D17" i="2" l="1"/>
  <c r="D49" i="2" l="1"/>
  <c r="D43" i="2"/>
  <c r="B5" i="51"/>
  <c r="G8" i="50" l="1"/>
  <c r="E44" i="53" l="1"/>
  <c r="F44" i="53" s="1"/>
  <c r="G44" i="53" s="1"/>
  <c r="E43" i="53"/>
  <c r="E42" i="53"/>
  <c r="F42" i="53" s="1"/>
  <c r="G42" i="53" s="1"/>
  <c r="H42" i="53" s="1"/>
  <c r="E33" i="53"/>
  <c r="E41" i="53" s="1"/>
  <c r="F41" i="53" s="1"/>
  <c r="G41" i="53" s="1"/>
  <c r="H41" i="53" s="1"/>
  <c r="I41" i="53" s="1"/>
  <c r="E40" i="53"/>
  <c r="F40" i="53" s="1"/>
  <c r="G40" i="53" s="1"/>
  <c r="H40" i="53" s="1"/>
  <c r="I40" i="53" s="1"/>
  <c r="I9" i="55"/>
  <c r="G22" i="51"/>
  <c r="B27" i="51"/>
  <c r="D27" i="51" s="1"/>
  <c r="G21" i="68" s="1"/>
  <c r="B8" i="51"/>
  <c r="B7" i="51"/>
  <c r="C47" i="43"/>
  <c r="C31" i="43"/>
  <c r="C32" i="43" s="1"/>
  <c r="C6" i="43"/>
  <c r="G6" i="43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D33" i="68" l="1"/>
  <c r="D34" i="68" s="1"/>
  <c r="D40" i="68" s="1"/>
  <c r="D10" i="68"/>
  <c r="D15" i="68" s="1"/>
  <c r="E10" i="36"/>
  <c r="E33" i="68"/>
  <c r="E10" i="68"/>
  <c r="F18" i="2"/>
  <c r="F50" i="2" s="1"/>
  <c r="D21" i="68"/>
  <c r="F21" i="68"/>
  <c r="E21" i="68"/>
  <c r="C21" i="68"/>
  <c r="C46" i="68" s="1"/>
  <c r="F43" i="53"/>
  <c r="F33" i="43"/>
  <c r="F34" i="43" s="1"/>
  <c r="F40" i="43" s="1"/>
  <c r="F10" i="43"/>
  <c r="F15" i="43" s="1"/>
  <c r="F16" i="43" s="1"/>
  <c r="C47" i="68"/>
  <c r="C22" i="68" s="1"/>
  <c r="C47" i="67"/>
  <c r="C22" i="67" s="1"/>
  <c r="I42" i="53"/>
  <c r="C56" i="2"/>
  <c r="C47" i="56"/>
  <c r="C22" i="56" s="1"/>
  <c r="C47" i="57"/>
  <c r="C22" i="57" s="1"/>
  <c r="G22" i="57" s="1"/>
  <c r="E33" i="43"/>
  <c r="E10" i="43"/>
  <c r="K10" i="36"/>
  <c r="D33" i="43"/>
  <c r="D10" i="43"/>
  <c r="C22" i="43"/>
  <c r="G22" i="43" s="1"/>
  <c r="C3" i="2"/>
  <c r="H3" i="2" s="1"/>
  <c r="C19" i="43"/>
  <c r="G19" i="43" s="1"/>
  <c r="C10" i="56"/>
  <c r="C33" i="43"/>
  <c r="C34" i="43" s="1"/>
  <c r="C40" i="43" s="1"/>
  <c r="C7" i="43"/>
  <c r="G7" i="43" s="1"/>
  <c r="C10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G11" i="43" s="1"/>
  <c r="C12" i="43"/>
  <c r="G12" i="43" s="1"/>
  <c r="C13" i="43"/>
  <c r="G13" i="43" s="1"/>
  <c r="C20" i="43"/>
  <c r="G20" i="43" s="1"/>
  <c r="D16" i="68" l="1"/>
  <c r="C33" i="67"/>
  <c r="C34" i="67" s="1"/>
  <c r="C40" i="67" s="1"/>
  <c r="C10" i="67"/>
  <c r="C15" i="67" s="1"/>
  <c r="F46" i="68"/>
  <c r="G43" i="53"/>
  <c r="F33" i="56"/>
  <c r="F34" i="56" s="1"/>
  <c r="F40" i="56" s="1"/>
  <c r="F10" i="56"/>
  <c r="D46" i="68"/>
  <c r="D48" i="68" s="1"/>
  <c r="E33" i="67"/>
  <c r="E34" i="67" s="1"/>
  <c r="E40" i="67" s="1"/>
  <c r="E10" i="67"/>
  <c r="E15" i="67" s="1"/>
  <c r="C33" i="68"/>
  <c r="C34" i="68" s="1"/>
  <c r="C40" i="68" s="1"/>
  <c r="C48" i="68" s="1"/>
  <c r="C10" i="68"/>
  <c r="C15" i="68" s="1"/>
  <c r="E46" i="68"/>
  <c r="D33" i="67"/>
  <c r="D34" i="67" s="1"/>
  <c r="D40" i="67" s="1"/>
  <c r="D10" i="67"/>
  <c r="D15" i="67" s="1"/>
  <c r="D16" i="67" s="1"/>
  <c r="G22" i="56"/>
  <c r="D19" i="2" s="1"/>
  <c r="D51" i="2" s="1"/>
  <c r="G22" i="67"/>
  <c r="G22" i="68"/>
  <c r="G10" i="43"/>
  <c r="C7" i="2" s="1"/>
  <c r="E34" i="68"/>
  <c r="E40" i="68" s="1"/>
  <c r="F15" i="56"/>
  <c r="F16" i="56" s="1"/>
  <c r="E15" i="68"/>
  <c r="G18" i="56"/>
  <c r="C57" i="2"/>
  <c r="C55" i="2" s="1"/>
  <c r="D33" i="56"/>
  <c r="D10" i="56"/>
  <c r="D15" i="56" s="1"/>
  <c r="D16" i="56" s="1"/>
  <c r="E33" i="56"/>
  <c r="E10" i="56"/>
  <c r="E15" i="56" s="1"/>
  <c r="E16" i="56" s="1"/>
  <c r="C9" i="43"/>
  <c r="G9" i="43" s="1"/>
  <c r="C4" i="2"/>
  <c r="H4" i="2" s="1"/>
  <c r="G18" i="43"/>
  <c r="F18" i="43" s="1"/>
  <c r="F17" i="43" s="1"/>
  <c r="D34" i="43"/>
  <c r="D40" i="43" s="1"/>
  <c r="D15" i="43"/>
  <c r="C33" i="56"/>
  <c r="C34" i="56" s="1"/>
  <c r="C40" i="56" s="1"/>
  <c r="C14" i="43"/>
  <c r="G14" i="43" s="1"/>
  <c r="G17" i="36"/>
  <c r="G19" i="36" s="1"/>
  <c r="G18" i="57"/>
  <c r="E26" i="51"/>
  <c r="F26" i="51" s="1"/>
  <c r="J26" i="51"/>
  <c r="E23" i="36"/>
  <c r="C18" i="36"/>
  <c r="D18" i="36" s="1"/>
  <c r="E18" i="36" s="1"/>
  <c r="C19" i="36"/>
  <c r="M10" i="36"/>
  <c r="D19" i="36"/>
  <c r="E22" i="36"/>
  <c r="H17" i="36"/>
  <c r="H19" i="36" s="1"/>
  <c r="G21" i="56"/>
  <c r="F21" i="56" s="1"/>
  <c r="F46" i="56" s="1"/>
  <c r="G21" i="57"/>
  <c r="F21" i="57" s="1"/>
  <c r="F46" i="57" s="1"/>
  <c r="C17" i="2"/>
  <c r="C9" i="2"/>
  <c r="G21" i="43"/>
  <c r="F21" i="43" s="1"/>
  <c r="F46" i="43" s="1"/>
  <c r="F48" i="43" s="1"/>
  <c r="E27" i="51"/>
  <c r="F27" i="51" s="1"/>
  <c r="G27" i="51" s="1"/>
  <c r="H27" i="51" s="1"/>
  <c r="G21" i="67" s="1"/>
  <c r="D28" i="51"/>
  <c r="M17" i="36"/>
  <c r="E48" i="68" l="1"/>
  <c r="C35" i="2"/>
  <c r="H9" i="2"/>
  <c r="H35" i="2" s="1"/>
  <c r="G18" i="68"/>
  <c r="G26" i="51"/>
  <c r="H26" i="51" s="1"/>
  <c r="G18" i="67" s="1"/>
  <c r="G18" i="2"/>
  <c r="G50" i="2" s="1"/>
  <c r="F21" i="67"/>
  <c r="D21" i="67"/>
  <c r="E21" i="67"/>
  <c r="C21" i="67"/>
  <c r="C43" i="2"/>
  <c r="H17" i="2"/>
  <c r="H43" i="2" s="1"/>
  <c r="D34" i="56"/>
  <c r="D40" i="56" s="1"/>
  <c r="H43" i="53"/>
  <c r="F33" i="57"/>
  <c r="F34" i="57" s="1"/>
  <c r="F40" i="57" s="1"/>
  <c r="F48" i="57" s="1"/>
  <c r="F10" i="57"/>
  <c r="F15" i="57" s="1"/>
  <c r="F16" i="57" s="1"/>
  <c r="E34" i="56"/>
  <c r="E40" i="56" s="1"/>
  <c r="E16" i="68"/>
  <c r="C30" i="2"/>
  <c r="F48" i="56"/>
  <c r="F19" i="2"/>
  <c r="F51" i="2" s="1"/>
  <c r="G19" i="2"/>
  <c r="G51" i="2" s="1"/>
  <c r="E16" i="67"/>
  <c r="C16" i="67"/>
  <c r="C16" i="68"/>
  <c r="G10" i="56"/>
  <c r="D7" i="2" s="1"/>
  <c r="D30" i="2" s="1"/>
  <c r="E60" i="2"/>
  <c r="F18" i="57"/>
  <c r="F17" i="57" s="1"/>
  <c r="F23" i="43"/>
  <c r="F24" i="43" s="1"/>
  <c r="D60" i="2"/>
  <c r="F18" i="56"/>
  <c r="F17" i="56" s="1"/>
  <c r="F23" i="56" s="1"/>
  <c r="F24" i="56" s="1"/>
  <c r="F25" i="56" s="1"/>
  <c r="F26" i="56" s="1"/>
  <c r="F27" i="56" s="1"/>
  <c r="C18" i="43"/>
  <c r="C60" i="2"/>
  <c r="M19" i="36"/>
  <c r="C33" i="57"/>
  <c r="C34" i="57" s="1"/>
  <c r="C40" i="57" s="1"/>
  <c r="C10" i="57"/>
  <c r="D33" i="57"/>
  <c r="D34" i="57" s="1"/>
  <c r="D40" i="57" s="1"/>
  <c r="D10" i="57"/>
  <c r="D15" i="57" s="1"/>
  <c r="D16" i="57" s="1"/>
  <c r="I22" i="36"/>
  <c r="E33" i="57"/>
  <c r="E34" i="57" s="1"/>
  <c r="E40" i="57" s="1"/>
  <c r="E10" i="57"/>
  <c r="E15" i="57" s="1"/>
  <c r="E16" i="57" s="1"/>
  <c r="F6" i="36"/>
  <c r="F5" i="36" s="1"/>
  <c r="F17" i="36" s="1"/>
  <c r="F19" i="36" s="1"/>
  <c r="L6" i="36"/>
  <c r="L5" i="36" s="1"/>
  <c r="L17" i="36" s="1"/>
  <c r="L19" i="36" s="1"/>
  <c r="I23" i="36"/>
  <c r="D21" i="56"/>
  <c r="E21" i="56"/>
  <c r="C18" i="57"/>
  <c r="C17" i="57" s="1"/>
  <c r="E18" i="57"/>
  <c r="E17" i="57" s="1"/>
  <c r="D18" i="57"/>
  <c r="D17" i="57" s="1"/>
  <c r="C21" i="43"/>
  <c r="D21" i="43"/>
  <c r="D46" i="43" s="1"/>
  <c r="D48" i="43" s="1"/>
  <c r="E21" i="43"/>
  <c r="E46" i="43" s="1"/>
  <c r="E21" i="57"/>
  <c r="D21" i="57"/>
  <c r="D16" i="43"/>
  <c r="E34" i="43"/>
  <c r="E40" i="43" s="1"/>
  <c r="E15" i="43"/>
  <c r="C6" i="2"/>
  <c r="H6" i="2" s="1"/>
  <c r="C15" i="56"/>
  <c r="G15" i="56" s="1"/>
  <c r="C20" i="36"/>
  <c r="D20" i="36" s="1"/>
  <c r="E20" i="36" s="1"/>
  <c r="C16" i="2"/>
  <c r="H16" i="2" s="1"/>
  <c r="D18" i="2"/>
  <c r="D50" i="2" s="1"/>
  <c r="C21" i="56"/>
  <c r="C46" i="56" s="1"/>
  <c r="C48" i="56" s="1"/>
  <c r="E18" i="2"/>
  <c r="E50" i="2" s="1"/>
  <c r="C21" i="57"/>
  <c r="C46" i="57" s="1"/>
  <c r="C8" i="2"/>
  <c r="C10" i="2"/>
  <c r="C15" i="43"/>
  <c r="E28" i="51"/>
  <c r="I27" i="51"/>
  <c r="C19" i="2"/>
  <c r="F28" i="51"/>
  <c r="C18" i="2"/>
  <c r="F25" i="43" l="1"/>
  <c r="F26" i="43" s="1"/>
  <c r="F27" i="43" s="1"/>
  <c r="I43" i="53"/>
  <c r="F33" i="68"/>
  <c r="F34" i="68" s="1"/>
  <c r="F40" i="68" s="1"/>
  <c r="F48" i="68" s="1"/>
  <c r="F10" i="68"/>
  <c r="E46" i="67"/>
  <c r="E48" i="67" s="1"/>
  <c r="F60" i="2"/>
  <c r="F15" i="2"/>
  <c r="D18" i="68"/>
  <c r="D17" i="68" s="1"/>
  <c r="D23" i="68" s="1"/>
  <c r="D24" i="68" s="1"/>
  <c r="D25" i="68" s="1"/>
  <c r="D26" i="68" s="1"/>
  <c r="D27" i="68" s="1"/>
  <c r="F18" i="68"/>
  <c r="F17" i="68" s="1"/>
  <c r="F23" i="68" s="1"/>
  <c r="C18" i="68"/>
  <c r="C17" i="68" s="1"/>
  <c r="E18" i="68"/>
  <c r="E17" i="68" s="1"/>
  <c r="E23" i="68" s="1"/>
  <c r="E24" i="68" s="1"/>
  <c r="E25" i="68" s="1"/>
  <c r="E26" i="68" s="1"/>
  <c r="E27" i="68" s="1"/>
  <c r="H18" i="2"/>
  <c r="C36" i="2"/>
  <c r="H10" i="2"/>
  <c r="D46" i="67"/>
  <c r="D48" i="67" s="1"/>
  <c r="C34" i="2"/>
  <c r="H8" i="2"/>
  <c r="H34" i="2" s="1"/>
  <c r="C46" i="67"/>
  <c r="C48" i="67" s="1"/>
  <c r="F46" i="67"/>
  <c r="G60" i="2"/>
  <c r="G15" i="2"/>
  <c r="F18" i="67"/>
  <c r="F17" i="67" s="1"/>
  <c r="F23" i="67" s="1"/>
  <c r="C18" i="67"/>
  <c r="C17" i="67" s="1"/>
  <c r="D18" i="67"/>
  <c r="D17" i="67" s="1"/>
  <c r="D23" i="67" s="1"/>
  <c r="D24" i="67" s="1"/>
  <c r="D25" i="67" s="1"/>
  <c r="D26" i="67" s="1"/>
  <c r="D27" i="67" s="1"/>
  <c r="E18" i="67"/>
  <c r="E17" i="67" s="1"/>
  <c r="E23" i="67" s="1"/>
  <c r="E24" i="67" s="1"/>
  <c r="E25" i="67" s="1"/>
  <c r="E26" i="67" s="1"/>
  <c r="E27" i="67" s="1"/>
  <c r="G10" i="57"/>
  <c r="E7" i="2" s="1"/>
  <c r="E30" i="2" s="1"/>
  <c r="G15" i="43"/>
  <c r="G17" i="57"/>
  <c r="F23" i="57"/>
  <c r="F24" i="57" s="1"/>
  <c r="F25" i="57" s="1"/>
  <c r="F26" i="57" s="1"/>
  <c r="F27" i="57" s="1"/>
  <c r="D31" i="2"/>
  <c r="D32" i="2" s="1"/>
  <c r="H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F18" i="36"/>
  <c r="G18" i="36" s="1"/>
  <c r="H18" i="36" s="1"/>
  <c r="E24" i="36" s="1"/>
  <c r="E48" i="43"/>
  <c r="C16" i="43"/>
  <c r="E46" i="57"/>
  <c r="E48" i="57" s="1"/>
  <c r="E23" i="57"/>
  <c r="E24" i="57" s="1"/>
  <c r="E25" i="57" s="1"/>
  <c r="E46" i="56"/>
  <c r="E48" i="56" s="1"/>
  <c r="D46" i="57"/>
  <c r="D48" i="57" s="1"/>
  <c r="D23" i="57"/>
  <c r="D24" i="57" s="1"/>
  <c r="D46" i="56"/>
  <c r="D48" i="56" s="1"/>
  <c r="C16" i="56"/>
  <c r="G16" i="56"/>
  <c r="D13" i="2" s="1"/>
  <c r="E16" i="43"/>
  <c r="C48" i="57"/>
  <c r="C15" i="57"/>
  <c r="G15" i="57" s="1"/>
  <c r="C23" i="57"/>
  <c r="C11" i="2"/>
  <c r="H11" i="2" s="1"/>
  <c r="C46" i="43"/>
  <c r="C48" i="43" s="1"/>
  <c r="G28" i="51"/>
  <c r="F15" i="68" l="1"/>
  <c r="G10" i="68"/>
  <c r="F7" i="2" s="1"/>
  <c r="G17" i="67"/>
  <c r="C23" i="67"/>
  <c r="C24" i="67" s="1"/>
  <c r="C25" i="67" s="1"/>
  <c r="C26" i="67" s="1"/>
  <c r="C27" i="67" s="1"/>
  <c r="G17" i="68"/>
  <c r="C23" i="68"/>
  <c r="C24" i="68" s="1"/>
  <c r="C25" i="68" s="1"/>
  <c r="C26" i="68" s="1"/>
  <c r="C27" i="68" s="1"/>
  <c r="F33" i="67"/>
  <c r="F34" i="67" s="1"/>
  <c r="F40" i="67" s="1"/>
  <c r="F48" i="67" s="1"/>
  <c r="F10" i="67"/>
  <c r="E14" i="2"/>
  <c r="E48" i="2" s="1"/>
  <c r="E31" i="2"/>
  <c r="E32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H47" i="2"/>
  <c r="H36" i="2"/>
  <c r="H29" i="2"/>
  <c r="H49" i="2"/>
  <c r="H50" i="2"/>
  <c r="E26" i="57"/>
  <c r="E27" i="57" s="1"/>
  <c r="D12" i="2"/>
  <c r="D38" i="2" s="1"/>
  <c r="C16" i="57"/>
  <c r="C24" i="57"/>
  <c r="H28" i="51"/>
  <c r="I26" i="51"/>
  <c r="H60" i="2" s="1"/>
  <c r="F15" i="67" l="1"/>
  <c r="G10" i="67"/>
  <c r="G7" i="2" s="1"/>
  <c r="G30" i="2" s="1"/>
  <c r="G31" i="2" s="1"/>
  <c r="G32" i="2" s="1"/>
  <c r="F30" i="2"/>
  <c r="F31" i="2" s="1"/>
  <c r="F32" i="2" s="1"/>
  <c r="G14" i="2"/>
  <c r="G23" i="67"/>
  <c r="G20" i="2" s="1"/>
  <c r="F14" i="2"/>
  <c r="G23" i="68"/>
  <c r="F20" i="2" s="1"/>
  <c r="F24" i="68"/>
  <c r="F25" i="68" s="1"/>
  <c r="F26" i="68" s="1"/>
  <c r="F27" i="68" s="1"/>
  <c r="F16" i="68"/>
  <c r="G15" i="68"/>
  <c r="E41" i="2"/>
  <c r="C25" i="57"/>
  <c r="C26" i="57" s="1"/>
  <c r="C27" i="57" s="1"/>
  <c r="G16" i="43"/>
  <c r="C12" i="2"/>
  <c r="C38" i="2" s="1"/>
  <c r="E12" i="2"/>
  <c r="E38" i="2" s="1"/>
  <c r="G16" i="57"/>
  <c r="E13" i="2" s="1"/>
  <c r="H7" i="2" l="1"/>
  <c r="F12" i="2"/>
  <c r="F38" i="2" s="1"/>
  <c r="F39" i="2" s="1"/>
  <c r="G16" i="68"/>
  <c r="F13" i="2" s="1"/>
  <c r="G24" i="68"/>
  <c r="G41" i="2"/>
  <c r="G48" i="2"/>
  <c r="F41" i="2"/>
  <c r="F48" i="2"/>
  <c r="F24" i="67"/>
  <c r="F25" i="67" s="1"/>
  <c r="F26" i="67" s="1"/>
  <c r="F27" i="67" s="1"/>
  <c r="F16" i="67"/>
  <c r="G15" i="67"/>
  <c r="C13" i="2"/>
  <c r="G12" i="2" l="1"/>
  <c r="G38" i="2" s="1"/>
  <c r="G39" i="2" s="1"/>
  <c r="G24" i="67"/>
  <c r="G16" i="67"/>
  <c r="G13" i="2" s="1"/>
  <c r="G25" i="68"/>
  <c r="F22" i="2" s="1"/>
  <c r="F21" i="2"/>
  <c r="F53" i="2" s="1"/>
  <c r="H12" i="2"/>
  <c r="H30" i="2"/>
  <c r="H31" i="2" s="1"/>
  <c r="H32" i="2" s="1"/>
  <c r="G21" i="2" l="1"/>
  <c r="G53" i="2" s="1"/>
  <c r="G25" i="67"/>
  <c r="G22" i="2" s="1"/>
  <c r="G26" i="68"/>
  <c r="H13" i="2"/>
  <c r="H38" i="2"/>
  <c r="G26" i="67" l="1"/>
  <c r="F23" i="2"/>
  <c r="G27" i="68"/>
  <c r="F24" i="2" s="1"/>
  <c r="E18" i="43"/>
  <c r="E17" i="43" s="1"/>
  <c r="E23" i="43" s="1"/>
  <c r="E24" i="43" s="1"/>
  <c r="E25" i="43" s="1"/>
  <c r="D18" i="43"/>
  <c r="D17" i="43" s="1"/>
  <c r="D23" i="43" s="1"/>
  <c r="D24" i="43" s="1"/>
  <c r="D25" i="43" s="1"/>
  <c r="C17" i="43"/>
  <c r="F52" i="2" l="1"/>
  <c r="F59" i="2"/>
  <c r="F58" i="2" s="1"/>
  <c r="G17" i="43"/>
  <c r="G27" i="67"/>
  <c r="G24" i="2" s="1"/>
  <c r="G23" i="2"/>
  <c r="C23" i="43"/>
  <c r="C24" i="43" s="1"/>
  <c r="C25" i="43" s="1"/>
  <c r="D26" i="43"/>
  <c r="D27" i="43" s="1"/>
  <c r="E26" i="43"/>
  <c r="E27" i="43" s="1"/>
  <c r="G52" i="2" l="1"/>
  <c r="G59" i="2"/>
  <c r="G58" i="2" s="1"/>
  <c r="G23" i="43"/>
  <c r="G24" i="43" s="1"/>
  <c r="G25" i="43" s="1"/>
  <c r="C14" i="2"/>
  <c r="C26" i="43"/>
  <c r="G26" i="43" l="1"/>
  <c r="G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E18" i="56"/>
  <c r="E17" i="56" s="1"/>
  <c r="E23" i="56" s="1"/>
  <c r="E24" i="56" s="1"/>
  <c r="E25" i="56" s="1"/>
  <c r="C18" i="56"/>
  <c r="C17" i="56" s="1"/>
  <c r="G17" i="56" l="1"/>
  <c r="E26" i="56"/>
  <c r="E27" i="56" s="1"/>
  <c r="C23" i="56"/>
  <c r="C24" i="56" s="1"/>
  <c r="C25" i="56" s="1"/>
  <c r="D26" i="56"/>
  <c r="D27" i="56" s="1"/>
  <c r="D14" i="2" l="1"/>
  <c r="H14" i="2" s="1"/>
  <c r="G23" i="56"/>
  <c r="C26" i="56"/>
  <c r="D48" i="2" l="1"/>
  <c r="D41" i="2"/>
  <c r="C27" i="56"/>
  <c r="G24" i="56"/>
  <c r="D20" i="2"/>
  <c r="G25" i="56" l="1"/>
  <c r="G26" i="56" s="1"/>
  <c r="D39" i="2"/>
  <c r="H41" i="2"/>
  <c r="H48" i="2"/>
  <c r="D21" i="2"/>
  <c r="D53" i="2" s="1"/>
  <c r="G27" i="56" l="1"/>
  <c r="D22" i="2"/>
  <c r="D23" i="2" l="1"/>
  <c r="D59" i="2" s="1"/>
  <c r="D58" i="2" s="1"/>
  <c r="D24" i="2"/>
  <c r="D52" i="2" l="1"/>
  <c r="E19" i="2" l="1"/>
  <c r="H19" i="2" s="1"/>
  <c r="H51" i="2" s="1"/>
  <c r="G23" i="57"/>
  <c r="G24" i="57" s="1"/>
  <c r="G25" i="57" l="1"/>
  <c r="E22" i="2" s="1"/>
  <c r="E21" i="2"/>
  <c r="E53" i="2" s="1"/>
  <c r="E51" i="2"/>
  <c r="E20" i="2"/>
  <c r="E39" i="2" l="1"/>
  <c r="H20" i="2"/>
  <c r="G26" i="57"/>
  <c r="H21" i="2" l="1"/>
  <c r="H39" i="2"/>
  <c r="G27" i="57"/>
  <c r="E24" i="2" s="1"/>
  <c r="E23" i="2"/>
  <c r="E52" i="2" l="1"/>
  <c r="E59" i="2"/>
  <c r="E58" i="2" s="1"/>
  <c r="H53" i="2"/>
  <c r="H22" i="2"/>
  <c r="H23" i="2" s="1"/>
  <c r="H52" i="2" l="1"/>
  <c r="H59" i="2"/>
  <c r="H58" i="2" s="1"/>
  <c r="H24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<sst xmlns="http://schemas.openxmlformats.org/spreadsheetml/2006/main" count="1455" uniqueCount="310">
  <si>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</si>
  <si>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</si>
  <si>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</si>
  <si>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</si>
  <si>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</si>
  <si>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</si>
  <si>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</si>
  <si>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</si>
  <si>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</si>
  <si>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</si>
  <si>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</si>
  <si>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</si>
  <si>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</si>
  <si>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</si>
  <si>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</si>
  <si>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</si>
  <si>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</si>
  <si>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</si>
  <si>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</si>
  <si>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</si>
  <si>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</si>
  <si>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</si>
  <si>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</si>
  <si>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</si>
  <si>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</si>
  <si>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</si>
  <si>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</si>
  <si>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</si>
  <si>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</si>
  <si>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</si>
  <si>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</si>
  <si>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</si>
  <si>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</si>
  <si>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</si>
  <si>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</si>
  <si>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</si>
  <si>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</si>
  <si>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</si>
  <si>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</si>
  <si>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</si>
  <si>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</si>
  <si>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</si>
  <si>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</si>
  <si>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</si>
  <si>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</si>
  <si>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</si>
  <si>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</si>
  <si>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</si>
  <si>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</si>
  <si>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</si>
  <si>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</si>
  <si>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</si>
  <si>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</si>
  <si>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</si>
  <si>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</si>
  <si>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</si>
  <si>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</si>
  <si>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</si>
  <si>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</si>
  <si>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</si>
  <si>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</si>
  <si>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</si>
  <si>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</si>
  <si>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</si>
  <si>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</si>
  <si>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</si>
  <si>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</si>
  <si>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</si>
  <si>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</si>
  <si>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</si>
  <si>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</si>
  <si>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</si>
  <si>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</si>
  <si>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</si>
  <si>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</si>
  <si>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</si>
  <si>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</si>
  <si>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</si>
  <si>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</si>
  <si>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</si>
  <si>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</si>
  <si>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</si>
  <si>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</si>
  <si>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</si>
  <si>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</si>
  <si>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</si>
  <si>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</si>
  <si>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</si>
  <si>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</si>
  <si>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</si>
  <si>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</si>
  <si>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</si>
  <si>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</si>
  <si>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</si>
  <si>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</si>
  <si>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</si>
  <si>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</si>
  <si>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</si>
  <si>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</si>
  <si>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</si>
  <si>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</si>
  <si>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</si>
  <si>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</si>
  <si>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</si>
  <si>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</si>
  <si>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</si>
  <si>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</si>
  <si>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</si>
  <si>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</si>
  <si>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</si>
  <si>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</si>
  <si>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</si>
  <si>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</si>
  <si>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</si>
  <si>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</si>
  <si>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</si>
  <si>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</si>
  <si>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</si>
  <si>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</si>
  <si>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</si>
  <si>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</si>
  <si>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</si>
  <si>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</si>
  <si>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</si>
  <si>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</si>
  <si>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</si>
  <si>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</si>
  <si>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</si>
  <si>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</si>
  <si>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</si>
  <si>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</si>
  <si>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</si>
  <si>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</si>
  <si>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</si>
  <si>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</si>
  <si>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</si>
  <si>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</si>
  <si>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</si>
  <si>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</si>
  <si>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</si>
  <si>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</si>
  <si>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</si>
  <si>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</si>
  <si>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</si>
  <si>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</si>
  <si>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</si>
  <si>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</si>
  <si>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</si>
  <si>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</si>
  <si>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</si>
  <si>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</si>
  <si>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</si>
  <si>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</si>
  <si>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</si>
  <si>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</si>
  <si>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</si>
  <si>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</si>
  <si>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</si>
  <si>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</si>
  <si>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</si>
  <si>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</si>
  <si>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</si>
  <si>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</si>
  <si>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</si>
  <si>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</si>
  <si>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</si>
  <si>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</si>
  <si>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</si>
  <si>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</si>
  <si>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</si>
  <si>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</si>
  <si>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</si>
  <si>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</si>
  <si>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</si>
  <si>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</si>
  <si>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</si>
  <si>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</si>
  <si>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</si>
  <si>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</si>
  <si>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</si>
  <si>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</si>
  <si>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</si>
  <si>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</si>
  <si>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</si>
  <si>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</si>
  <si>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</si>
  <si>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</si>
  <si>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</si>
  <si>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</si>
  <si>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</si>
  <si>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</si>
  <si>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</si>
  <si>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</si>
  <si>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</si>
  <si>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</si>
  <si>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</si>
  <si>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</si>
  <si>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</si>
  <si>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</si>
  <si>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</si>
  <si>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</si>
  <si>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</si>
  <si>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</si>
  <si>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</si>
  <si>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</si>
  <si>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</si>
  <si>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</si>
  <si>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</si>
  <si>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</si>
  <si>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</si>
  <si>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</si>
  <si>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</si>
  <si>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</si>
  <si>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</si>
  <si>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</si>
  <si>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</si>
  <si>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</si>
  <si>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</si>
  <si>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</si>
  <si>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</si>
  <si>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</si>
  <si>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</si>
  <si>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</si>
  <si>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</si>
  <si>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</si>
  <si>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</si>
  <si>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一汽解放</t>
    <phoneticPr fontId="38" type="noConversion"/>
  </si>
  <si>
    <t>2026年</t>
  </si>
  <si>
    <t>材料成本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</si>
  <si>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</si>
  <si>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</si>
  <si>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</si>
  <si>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</si>
  <si>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</si>
  <si>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所得税(税率15%）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</si>
  <si>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</si>
  <si>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</si>
  <si>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 5   年</t>
    <phoneticPr fontId="38" type="noConversion"/>
  </si>
  <si>
    <t>产品图号</t>
    <phoneticPr fontId="38" type="noConversion"/>
  </si>
  <si>
    <t>名称</t>
    <phoneticPr fontId="38" type="noConversion"/>
  </si>
  <si>
    <t>报价</t>
    <phoneticPr fontId="38" type="noConversion"/>
  </si>
  <si>
    <t>附加值率</t>
    <phoneticPr fontId="38" type="noConversion"/>
  </si>
  <si>
    <t>备注</t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</si>
  <si>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</si>
  <si>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</si>
  <si>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</si>
  <si>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按营销提报产品生命周期预测，其中投资仅指此项目研发费用及模夹检具工装、生产地产线改造投入。</t>
    <phoneticPr fontId="38" type="noConversion"/>
  </si>
  <si>
    <t>辆份附加值</t>
    <phoneticPr fontId="38" type="noConversion"/>
  </si>
  <si>
    <r>
      <t xml:space="preserve">一汽解放J6G自卸座椅项目投资收益分析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</si>
  <si>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</si>
  <si>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</si>
  <si>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t xml:space="preserve">2023年  </t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</si>
  <si>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</si>
  <si>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</si>
  <si>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前座总成</t>
    <phoneticPr fontId="35" type="noConversion"/>
  </si>
  <si>
    <t>驾驶员总成</t>
    <phoneticPr fontId="35" type="noConversion"/>
  </si>
  <si>
    <t>6900010GH13-C00/A</t>
    <phoneticPr fontId="35" type="noConversion"/>
  </si>
  <si>
    <t>6800010PH13-C00/A</t>
    <phoneticPr fontId="35" type="noConversion"/>
  </si>
  <si>
    <t xml:space="preserve">气动旋转、手动滑轨、超纤皮面料，解放LOGO刺绣（头枕）     </t>
    <phoneticPr fontId="35" type="noConversion"/>
  </si>
  <si>
    <t>通风、加热、气动腰托、固定阻尼、扶手、安全带未系报警、气动升降、超纤皮面料，解放LOGO刺绣（头枕）</t>
    <phoneticPr fontId="35" type="noConversion"/>
  </si>
  <si>
    <t>2023年</t>
    <phoneticPr fontId="38" type="noConversion"/>
  </si>
  <si>
    <t>2027年</t>
  </si>
  <si>
    <t>2028年</t>
  </si>
  <si>
    <t>长春</t>
  </si>
  <si>
    <t>送货地点</t>
  </si>
  <si>
    <t>承兑</t>
  </si>
  <si>
    <t>现汇或承兑的比例</t>
  </si>
  <si>
    <t>河北</t>
  </si>
  <si>
    <t>否</t>
  </si>
  <si>
    <t>现场服务</t>
  </si>
  <si>
    <t>无</t>
  </si>
  <si>
    <t>是</t>
  </si>
  <si>
    <t>包含所有的主、辅料</t>
  </si>
  <si>
    <t>开发费分摊情况</t>
  </si>
  <si>
    <t>自承担</t>
  </si>
  <si>
    <t>产品应用场景</t>
  </si>
  <si>
    <t>短途物流车</t>
  </si>
  <si>
    <t>三包周期</t>
  </si>
  <si>
    <t>18个月</t>
  </si>
  <si>
    <t>涂红色处为必填项</t>
  </si>
  <si>
    <t xml:space="preserve">一汽解放J6G自卸座椅项目研发费用预算表 </t>
    <phoneticPr fontId="38" type="noConversion"/>
  </si>
  <si>
    <t>长春预算和集团历史数据</t>
    <phoneticPr fontId="38" type="noConversion"/>
  </si>
  <si>
    <t>参考长春工厂2023年预算及集团历年平均数据。</t>
    <phoneticPr fontId="38" type="noConversion"/>
  </si>
  <si>
    <t>参考长春工厂2023年预算。</t>
    <phoneticPr fontId="38" type="noConversion"/>
  </si>
  <si>
    <t>销售价格（未税）：由营销或项目经理提供，包括年降5*3%。</t>
    <phoneticPr fontId="38" type="noConversion"/>
  </si>
  <si>
    <t>工厂产能满足客户订单。</t>
    <phoneticPr fontId="38" type="noConversion"/>
  </si>
  <si>
    <t>成本预估按设计思路预估。供应商年度降价同客户降幅。</t>
    <phoneticPr fontId="38" type="noConversion"/>
  </si>
  <si>
    <t>附加值汇总表（未税、元）</t>
    <phoneticPr fontId="38" type="noConversion"/>
  </si>
  <si>
    <t>预计附加值</t>
    <phoneticPr fontId="38" type="noConversion"/>
  </si>
  <si>
    <t>转盘上链接梁冲压模具、转盘下链接梁冲压模具、前连接支架冲压模具</t>
  </si>
  <si>
    <t>转盘上下链接梁焊接工装，座框焊接工装</t>
  </si>
  <si>
    <t>副驾右罩壳调角器、速降开关冲孔模具</t>
  </si>
  <si>
    <t>客户及供应商交流成本、样品状态事宜，预计3-4次，单次1-2人；</t>
  </si>
  <si>
    <t>产品实验运费，顾客交付运费</t>
  </si>
  <si>
    <t>40套用于验证交付，10套用于实验</t>
    <phoneticPr fontId="35" type="noConversion"/>
  </si>
  <si>
    <t>DVP委外试验费用（翻转耐久、疲劳耐久、加载震动等）</t>
  </si>
  <si>
    <t>2023年</t>
    <phoneticPr fontId="38" type="noConversion"/>
  </si>
  <si>
    <t>前座总成</t>
  </si>
  <si>
    <t>驾驶员总成</t>
  </si>
  <si>
    <t>6900010GH13-C00/A</t>
  </si>
  <si>
    <t>6800010PH13-C00/A</t>
  </si>
  <si>
    <t>供应商年降：    5  年3%</t>
    <phoneticPr fontId="38" type="noConversion"/>
  </si>
  <si>
    <t>材料成本年降汇总表3%</t>
    <phoneticPr fontId="38" type="noConversion"/>
  </si>
  <si>
    <t>一汽解放J6G项目</t>
    <phoneticPr fontId="38" type="noConversion"/>
  </si>
  <si>
    <t>ZY2329</t>
    <phoneticPr fontId="38" type="noConversion"/>
  </si>
  <si>
    <t>原材料成本</t>
    <phoneticPr fontId="38" type="noConversion"/>
  </si>
  <si>
    <t>降本</t>
    <phoneticPr fontId="38" type="noConversion"/>
  </si>
  <si>
    <t>含河北费用</t>
    <phoneticPr fontId="38" type="noConversion"/>
  </si>
  <si>
    <t>原材料成本</t>
    <phoneticPr fontId="38" type="noConversion"/>
  </si>
  <si>
    <t>预计原材料成本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</si>
</sst>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  <numFmt numFmtId="181" formatCode="0.00_);[Red]\(0.00\)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0" fillId="0" borderId="0" xfId="0" applyBorder="1">
      <alignment vertical="center"/>
    </xf>
    <xf numFmtId="43" fontId="0" fillId="0" borderId="0" xfId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43" fontId="0" fillId="0" borderId="1" xfId="1" applyFont="1" applyBorder="1" applyAlignment="1"/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81" fontId="0" fillId="0" borderId="0" xfId="0" applyNumberFormat="1">
      <alignment vertical="center"/>
    </xf>
    <xf numFmtId="43" fontId="1" fillId="0" borderId="1" xfId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81" fontId="27" fillId="0" borderId="1" xfId="1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46" fillId="0" borderId="16" xfId="0" applyFont="1" applyFill="1" applyBorder="1" applyAlignment="1">
      <alignment horizontal="center" vertical="center" wrapText="1" readingOrder="1"/>
    </xf>
    <xf numFmtId="0" fontId="41" fillId="0" borderId="1" xfId="0" applyFont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5" fillId="9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10" fontId="4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1" fillId="1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0" fontId="0" fillId="9" borderId="1" xfId="3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5" sqref="C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2" customFormat="1" ht="35.25" customHeight="1">
      <c r="A2" s="133" t="s">
        <v>0</v>
      </c>
      <c r="B2" s="133" t="s">
        <v>1</v>
      </c>
      <c r="C2" s="133" t="s">
        <v>2</v>
      </c>
      <c r="D2" s="134"/>
    </row>
    <row r="3" spans="1:4" s="132" customFormat="1" ht="33.75" customHeight="1">
      <c r="A3" s="135">
        <v>1</v>
      </c>
      <c r="B3" s="135" t="s">
        <v>3</v>
      </c>
      <c r="C3" s="136" t="s">
        <v>4</v>
      </c>
      <c r="D3" s="134"/>
    </row>
    <row r="4" spans="1:4" s="132" customFormat="1" ht="33.75" customHeight="1">
      <c r="A4" s="135">
        <v>2</v>
      </c>
      <c r="B4" s="135" t="s">
        <v>5</v>
      </c>
      <c r="C4" s="136" t="s">
        <v>284</v>
      </c>
    </row>
    <row r="5" spans="1:4" s="132" customFormat="1" ht="33.75" customHeight="1">
      <c r="A5" s="135">
        <v>3</v>
      </c>
      <c r="B5" s="231" t="s">
        <v>6</v>
      </c>
      <c r="C5" s="137" t="s">
        <v>286</v>
      </c>
    </row>
    <row r="6" spans="1:4" s="132" customFormat="1" ht="33.75" customHeight="1">
      <c r="A6" s="135">
        <v>4</v>
      </c>
      <c r="B6" s="232"/>
      <c r="C6" s="136" t="s">
        <v>7</v>
      </c>
    </row>
    <row r="7" spans="1:4" s="132" customFormat="1" ht="33.75" customHeight="1">
      <c r="A7" s="135">
        <v>5</v>
      </c>
      <c r="B7" s="138" t="s">
        <v>8</v>
      </c>
      <c r="C7" s="136" t="s">
        <v>283</v>
      </c>
    </row>
    <row r="8" spans="1:4" s="132" customFormat="1" ht="33.75" customHeight="1">
      <c r="A8" s="135">
        <v>6</v>
      </c>
      <c r="B8" s="231" t="s">
        <v>9</v>
      </c>
      <c r="C8" s="136" t="s">
        <v>285</v>
      </c>
    </row>
    <row r="9" spans="1:4" s="132" customFormat="1" ht="33.75" customHeight="1">
      <c r="A9" s="135">
        <v>7</v>
      </c>
      <c r="B9" s="232"/>
      <c r="C9" s="136" t="s">
        <v>10</v>
      </c>
    </row>
    <row r="10" spans="1:4" s="132" customFormat="1" ht="33.75" customHeight="1">
      <c r="A10" s="135">
        <v>8</v>
      </c>
      <c r="B10" s="232"/>
      <c r="C10" s="136" t="s">
        <v>282</v>
      </c>
    </row>
    <row r="11" spans="1:4" s="132" customFormat="1" ht="33.75" customHeight="1">
      <c r="A11" s="135">
        <v>9</v>
      </c>
      <c r="B11" s="232"/>
      <c r="C11" s="136" t="s">
        <v>11</v>
      </c>
    </row>
    <row r="12" spans="1:4" s="132" customFormat="1" ht="45.75" customHeight="1">
      <c r="A12" s="135">
        <v>10</v>
      </c>
      <c r="B12" s="138" t="s">
        <v>12</v>
      </c>
      <c r="C12" s="136" t="s">
        <v>246</v>
      </c>
    </row>
    <row r="13" spans="1:4" ht="33.75" customHeight="1"/>
    <row r="14" spans="1:4" ht="33.75" customHeight="1"/>
    <row r="15" spans="1:4" ht="33.75" customHeight="1">
      <c r="C15" s="139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C9" sqref="C9"/>
    </sheetView>
  </sheetViews>
  <sheetFormatPr defaultColWidth="9" defaultRowHeight="16.5"/>
  <cols>
    <col min="1" max="1" width="14" style="5" customWidth="1"/>
    <col min="2" max="2" width="14.125" style="5" customWidth="1"/>
    <col min="3" max="3" width="18.25" style="5" customWidth="1"/>
    <col min="4" max="4" width="25.25" style="5" customWidth="1"/>
    <col min="5" max="8" width="18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184</v>
      </c>
      <c r="E1" s="16"/>
      <c r="F1" s="16"/>
      <c r="G1" s="16"/>
      <c r="H1" s="16"/>
      <c r="I1" s="16"/>
    </row>
    <row r="2" spans="1:12" ht="24" customHeight="1">
      <c r="A2" s="17" t="s">
        <v>185</v>
      </c>
      <c r="E2" s="16"/>
      <c r="F2" s="16"/>
      <c r="G2" s="16"/>
      <c r="H2" s="16"/>
      <c r="I2" s="16"/>
    </row>
    <row r="3" spans="1:12">
      <c r="C3" s="5" t="s">
        <v>186</v>
      </c>
      <c r="D3" s="8" t="s">
        <v>237</v>
      </c>
      <c r="E3" s="155">
        <v>0.03</v>
      </c>
    </row>
    <row r="5" spans="1:12" ht="45" customHeight="1">
      <c r="A5" s="260" t="s">
        <v>187</v>
      </c>
      <c r="B5" s="7" t="s">
        <v>138</v>
      </c>
      <c r="C5" s="199" t="s">
        <v>254</v>
      </c>
      <c r="D5" s="199" t="s">
        <v>255</v>
      </c>
      <c r="E5" s="202"/>
      <c r="F5" s="202"/>
      <c r="G5" s="203"/>
      <c r="H5" s="203"/>
      <c r="I5" s="259" t="s">
        <v>14</v>
      </c>
    </row>
    <row r="6" spans="1:12" ht="31.5" customHeight="1">
      <c r="A6" s="260"/>
      <c r="B6" s="7" t="s">
        <v>139</v>
      </c>
      <c r="C6" s="200" t="s">
        <v>256</v>
      </c>
      <c r="D6" s="200" t="s">
        <v>257</v>
      </c>
      <c r="E6" s="202"/>
      <c r="F6" s="202"/>
      <c r="G6" s="203"/>
      <c r="H6" s="203"/>
      <c r="I6" s="259"/>
      <c r="K6" s="5">
        <v>100</v>
      </c>
    </row>
    <row r="7" spans="1:12" ht="72" customHeight="1">
      <c r="A7" s="260"/>
      <c r="B7" s="19" t="s">
        <v>188</v>
      </c>
      <c r="C7" s="201" t="s">
        <v>258</v>
      </c>
      <c r="D7" s="200" t="s">
        <v>259</v>
      </c>
      <c r="E7" s="204"/>
      <c r="F7" s="205"/>
      <c r="G7" s="206"/>
      <c r="H7" s="206"/>
      <c r="I7" s="259"/>
      <c r="K7" s="5">
        <f>K6*(1-$E$3)</f>
        <v>97</v>
      </c>
      <c r="L7" s="5">
        <f>K7/$K$6</f>
        <v>0.97</v>
      </c>
    </row>
    <row r="8" spans="1:12" ht="33">
      <c r="A8" s="260"/>
      <c r="B8" s="19" t="s">
        <v>189</v>
      </c>
      <c r="C8" s="200">
        <v>750</v>
      </c>
      <c r="D8" s="200">
        <v>1644</v>
      </c>
      <c r="E8" s="207"/>
      <c r="F8" s="207"/>
      <c r="G8" s="208"/>
      <c r="H8" s="208"/>
      <c r="I8" s="259"/>
      <c r="K8" s="5">
        <f>K7*(1-$E$3)</f>
        <v>94.09</v>
      </c>
      <c r="L8" s="5">
        <f t="shared" ref="L8:L10" si="0">K8/$K$6</f>
        <v>0.94090000000000007</v>
      </c>
    </row>
    <row r="9" spans="1:12" ht="18.75">
      <c r="A9" s="260" t="s">
        <v>190</v>
      </c>
      <c r="B9" s="169" t="s">
        <v>260</v>
      </c>
      <c r="C9" s="175">
        <v>5000</v>
      </c>
      <c r="D9" s="175">
        <v>5000</v>
      </c>
      <c r="E9" s="175"/>
      <c r="F9" s="175"/>
      <c r="G9" s="209"/>
      <c r="H9" s="210"/>
      <c r="I9" s="23">
        <f>SUM(C9:H9)</f>
        <v>10000</v>
      </c>
      <c r="K9" s="5">
        <f t="shared" ref="K9:K11" si="1">K8*(1-$E$3)</f>
        <v>91.267300000000006</v>
      </c>
      <c r="L9" s="5">
        <f t="shared" si="0"/>
        <v>0.91267300000000007</v>
      </c>
    </row>
    <row r="10" spans="1:12" ht="18.75">
      <c r="A10" s="260"/>
      <c r="B10" s="196" t="s">
        <v>180</v>
      </c>
      <c r="C10" s="175">
        <v>10000</v>
      </c>
      <c r="D10" s="175">
        <v>10000</v>
      </c>
      <c r="E10" s="175"/>
      <c r="F10" s="175"/>
      <c r="G10" s="209"/>
      <c r="H10" s="210"/>
      <c r="I10" s="23">
        <f t="shared" ref="I10:I14" si="2">SUM(C10:H10)</f>
        <v>20000</v>
      </c>
      <c r="K10" s="5">
        <f t="shared" si="1"/>
        <v>88.529280999999997</v>
      </c>
      <c r="L10" s="5">
        <f t="shared" si="0"/>
        <v>0.88529280999999993</v>
      </c>
    </row>
    <row r="11" spans="1:12" ht="18.75">
      <c r="A11" s="260"/>
      <c r="B11" s="196" t="s">
        <v>181</v>
      </c>
      <c r="C11" s="175">
        <v>10000</v>
      </c>
      <c r="D11" s="175">
        <v>10000</v>
      </c>
      <c r="E11" s="175"/>
      <c r="F11" s="175"/>
      <c r="G11" s="209"/>
      <c r="H11" s="210"/>
      <c r="I11" s="23">
        <f t="shared" si="2"/>
        <v>20000</v>
      </c>
      <c r="K11" s="5">
        <f t="shared" si="1"/>
        <v>85.873402569999996</v>
      </c>
      <c r="L11" s="5">
        <f t="shared" ref="L11" si="3">K11/$K$6</f>
        <v>0.85873402570000001</v>
      </c>
    </row>
    <row r="12" spans="1:12" ht="18.75">
      <c r="A12" s="260"/>
      <c r="B12" s="196" t="s">
        <v>227</v>
      </c>
      <c r="C12" s="175">
        <v>10000</v>
      </c>
      <c r="D12" s="175">
        <v>10000</v>
      </c>
      <c r="E12" s="175"/>
      <c r="F12" s="175"/>
      <c r="G12" s="209"/>
      <c r="H12" s="210"/>
      <c r="I12" s="23">
        <f t="shared" si="2"/>
        <v>20000</v>
      </c>
    </row>
    <row r="13" spans="1:12" ht="18.75">
      <c r="A13" s="260"/>
      <c r="B13" s="196" t="s">
        <v>261</v>
      </c>
      <c r="C13" s="175">
        <v>10000</v>
      </c>
      <c r="D13" s="175">
        <v>10000</v>
      </c>
      <c r="E13" s="175"/>
      <c r="F13" s="175"/>
      <c r="G13" s="209"/>
      <c r="H13" s="210"/>
      <c r="I13" s="23">
        <f t="shared" si="2"/>
        <v>20000</v>
      </c>
    </row>
    <row r="14" spans="1:12" ht="17.25">
      <c r="A14" s="260"/>
      <c r="B14" s="196" t="s">
        <v>262</v>
      </c>
      <c r="C14" s="175"/>
      <c r="D14" s="175"/>
      <c r="E14" s="209"/>
      <c r="F14" s="209"/>
      <c r="G14" s="209"/>
      <c r="H14" s="209"/>
      <c r="I14" s="23">
        <f t="shared" si="2"/>
        <v>0</v>
      </c>
    </row>
    <row r="15" spans="1:12" ht="17.25">
      <c r="A15" s="259" t="s">
        <v>14</v>
      </c>
      <c r="B15" s="259"/>
      <c r="C15" s="21">
        <f t="shared" ref="C15:I15" si="4">SUM(C9:C14)</f>
        <v>45000</v>
      </c>
      <c r="D15" s="21">
        <f t="shared" si="4"/>
        <v>45000</v>
      </c>
      <c r="E15" s="21">
        <f t="shared" si="4"/>
        <v>0</v>
      </c>
      <c r="F15" s="21">
        <f t="shared" si="4"/>
        <v>0</v>
      </c>
      <c r="G15" s="21">
        <f t="shared" si="4"/>
        <v>0</v>
      </c>
      <c r="H15" s="21">
        <f t="shared" si="4"/>
        <v>0</v>
      </c>
      <c r="I15" s="21">
        <f t="shared" si="4"/>
        <v>90000</v>
      </c>
    </row>
    <row r="16" spans="1:12">
      <c r="A16" s="22"/>
      <c r="B16" s="22"/>
      <c r="C16" s="22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workbookViewId="0">
      <pane xSplit="3" ySplit="5" topLeftCell="D24" activePane="bottomRight" state="frozen"/>
      <selection pane="topRight"/>
      <selection pane="bottomLeft"/>
      <selection pane="bottomRight" activeCell="D33" sqref="D33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6.625" style="5" customWidth="1"/>
    <col min="5" max="5" width="15.75" style="5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2" s="4" customFormat="1" ht="28.5" customHeight="1">
      <c r="A1" s="268" t="s">
        <v>305</v>
      </c>
      <c r="B1" s="268"/>
      <c r="C1" s="6"/>
      <c r="K1" s="13"/>
    </row>
    <row r="2" spans="1:12">
      <c r="A2" s="269" t="s">
        <v>191</v>
      </c>
      <c r="B2" s="269"/>
      <c r="C2" s="270"/>
      <c r="D2" s="270"/>
      <c r="E2" s="271" t="s">
        <v>301</v>
      </c>
      <c r="F2" s="272"/>
      <c r="G2" s="272"/>
      <c r="H2" s="272"/>
      <c r="I2" s="272"/>
      <c r="J2" s="273"/>
    </row>
    <row r="3" spans="1:12">
      <c r="A3" s="283" t="s">
        <v>13</v>
      </c>
      <c r="B3" s="283" t="s">
        <v>192</v>
      </c>
      <c r="C3" s="7" t="s">
        <v>193</v>
      </c>
      <c r="D3" s="274" t="s">
        <v>303</v>
      </c>
      <c r="E3" s="274"/>
      <c r="F3" s="7" t="s">
        <v>194</v>
      </c>
      <c r="G3" s="261" t="s">
        <v>304</v>
      </c>
      <c r="H3" s="262"/>
      <c r="I3" s="263"/>
      <c r="J3" s="275" t="s">
        <v>148</v>
      </c>
    </row>
    <row r="4" spans="1:12">
      <c r="A4" s="283"/>
      <c r="B4" s="283"/>
      <c r="C4" s="7" t="s">
        <v>138</v>
      </c>
      <c r="D4" s="153" t="str">
        <f>销量!C5</f>
        <v>前座总成</v>
      </c>
      <c r="E4" s="153" t="str">
        <f>销量!D5</f>
        <v>驾驶员总成</v>
      </c>
      <c r="F4" s="153">
        <f>销量!E5</f>
        <v>0</v>
      </c>
      <c r="G4" s="153">
        <f>销量!F5</f>
        <v>0</v>
      </c>
      <c r="H4" s="153">
        <f>销量!G5</f>
        <v>0</v>
      </c>
      <c r="I4" s="153">
        <f>销量!H5</f>
        <v>0</v>
      </c>
      <c r="J4" s="276"/>
    </row>
    <row r="5" spans="1:12">
      <c r="A5" s="283"/>
      <c r="B5" s="283"/>
      <c r="C5" s="7" t="s">
        <v>139</v>
      </c>
      <c r="D5" s="153" t="str">
        <f>销量!C6</f>
        <v>6900010GH13-C00/A</v>
      </c>
      <c r="E5" s="153" t="str">
        <f>销量!D6</f>
        <v>6800010PH13-C00/A</v>
      </c>
      <c r="F5" s="153">
        <f>销量!E6</f>
        <v>0</v>
      </c>
      <c r="G5" s="153">
        <f>销量!F6</f>
        <v>0</v>
      </c>
      <c r="H5" s="153">
        <f>销量!G6</f>
        <v>0</v>
      </c>
      <c r="I5" s="153">
        <f>销量!H6</f>
        <v>0</v>
      </c>
      <c r="J5" s="277"/>
    </row>
    <row r="6" spans="1:12" ht="16.5" customHeight="1">
      <c r="A6" s="10">
        <v>1</v>
      </c>
      <c r="B6" s="278" t="s">
        <v>228</v>
      </c>
      <c r="C6" s="279"/>
      <c r="D6" s="184">
        <v>800.49002293539058</v>
      </c>
      <c r="E6" s="184">
        <v>1477.6118415992028</v>
      </c>
      <c r="F6" s="11"/>
      <c r="G6" s="9"/>
      <c r="H6" s="11"/>
      <c r="I6" s="11"/>
      <c r="J6" s="171"/>
    </row>
    <row r="7" spans="1:12" ht="16.5" customHeight="1">
      <c r="A7" s="10">
        <v>2</v>
      </c>
      <c r="B7" s="278" t="s">
        <v>306</v>
      </c>
      <c r="C7" s="279"/>
      <c r="D7" s="9">
        <f>-(D6-614)</f>
        <v>-186.49002293539058</v>
      </c>
      <c r="E7" s="9">
        <v>-30</v>
      </c>
      <c r="F7" s="11"/>
      <c r="G7" s="9"/>
      <c r="H7" s="9"/>
      <c r="I7" s="9"/>
      <c r="J7" s="14"/>
    </row>
    <row r="8" spans="1:12" ht="16.5" customHeight="1">
      <c r="A8" s="10">
        <v>3</v>
      </c>
      <c r="B8" s="278"/>
      <c r="C8" s="279"/>
      <c r="D8" s="11"/>
      <c r="E8" s="9"/>
      <c r="F8" s="11"/>
      <c r="G8" s="9"/>
      <c r="H8" s="11"/>
      <c r="I8" s="11"/>
      <c r="J8" s="14"/>
    </row>
    <row r="9" spans="1:12">
      <c r="A9" s="10">
        <v>4</v>
      </c>
      <c r="B9" s="278"/>
      <c r="C9" s="279"/>
      <c r="D9" s="11"/>
      <c r="E9" s="9"/>
      <c r="F9" s="11"/>
      <c r="G9" s="9"/>
      <c r="H9" s="9"/>
      <c r="I9" s="9"/>
      <c r="J9" s="14"/>
    </row>
    <row r="10" spans="1:12" ht="16.5" customHeight="1">
      <c r="A10" s="10">
        <v>5</v>
      </c>
      <c r="B10" s="278"/>
      <c r="C10" s="279"/>
      <c r="D10" s="11"/>
      <c r="E10" s="11"/>
      <c r="F10" s="11"/>
      <c r="G10" s="9"/>
      <c r="H10" s="9"/>
      <c r="I10" s="9"/>
      <c r="J10" s="14"/>
      <c r="K10" s="284"/>
      <c r="L10" s="285"/>
    </row>
    <row r="11" spans="1:12" ht="16.5" customHeight="1">
      <c r="A11" s="10">
        <v>6</v>
      </c>
      <c r="B11" s="278"/>
      <c r="C11" s="279"/>
      <c r="D11" s="11"/>
      <c r="E11" s="9"/>
      <c r="F11" s="11"/>
      <c r="G11" s="9"/>
      <c r="H11" s="9"/>
      <c r="I11" s="9"/>
      <c r="J11" s="14"/>
      <c r="K11" s="284"/>
      <c r="L11" s="285"/>
    </row>
    <row r="12" spans="1:12" ht="16.5" customHeight="1">
      <c r="A12" s="10">
        <v>7</v>
      </c>
      <c r="B12" s="278"/>
      <c r="C12" s="279"/>
      <c r="D12" s="11"/>
      <c r="E12" s="9"/>
      <c r="F12" s="11"/>
      <c r="G12" s="9"/>
      <c r="H12" s="9"/>
      <c r="I12" s="9"/>
      <c r="J12" s="14"/>
      <c r="K12" s="284"/>
      <c r="L12" s="285"/>
    </row>
    <row r="13" spans="1:12" ht="16.5" customHeight="1">
      <c r="A13" s="10">
        <v>8</v>
      </c>
      <c r="B13" s="278"/>
      <c r="C13" s="279"/>
      <c r="D13" s="11"/>
      <c r="E13" s="9"/>
      <c r="F13" s="11"/>
      <c r="G13" s="9"/>
      <c r="H13" s="9"/>
      <c r="I13" s="9"/>
      <c r="J13" s="14"/>
      <c r="K13" s="284"/>
      <c r="L13" s="285"/>
    </row>
    <row r="14" spans="1:12" ht="16.5" customHeight="1">
      <c r="A14" s="10">
        <v>9</v>
      </c>
      <c r="B14" s="278"/>
      <c r="C14" s="279"/>
      <c r="D14" s="11"/>
      <c r="E14" s="9"/>
      <c r="F14" s="11"/>
      <c r="G14" s="9"/>
      <c r="H14" s="9"/>
      <c r="I14" s="9"/>
      <c r="J14" s="14"/>
      <c r="K14" s="284"/>
      <c r="L14" s="285"/>
    </row>
    <row r="15" spans="1:12" ht="16.5" customHeight="1">
      <c r="A15" s="10">
        <v>10</v>
      </c>
      <c r="B15" s="278"/>
      <c r="C15" s="279"/>
      <c r="D15" s="11"/>
      <c r="E15" s="9"/>
      <c r="F15" s="11"/>
      <c r="G15" s="9"/>
      <c r="H15" s="9"/>
      <c r="I15" s="9"/>
      <c r="J15" s="14"/>
      <c r="K15" s="284"/>
      <c r="L15" s="285"/>
    </row>
    <row r="16" spans="1:12" ht="16.5" customHeight="1">
      <c r="A16" s="10">
        <v>11</v>
      </c>
      <c r="B16" s="278"/>
      <c r="C16" s="279"/>
      <c r="D16" s="11"/>
      <c r="E16" s="9"/>
      <c r="F16" s="11"/>
      <c r="G16" s="9"/>
      <c r="H16" s="9"/>
      <c r="I16" s="9"/>
      <c r="J16" s="14"/>
      <c r="K16" s="284"/>
      <c r="L16" s="285"/>
    </row>
    <row r="17" spans="1:12" ht="16.5" customHeight="1">
      <c r="A17" s="10">
        <v>12</v>
      </c>
      <c r="B17" s="278"/>
      <c r="C17" s="279"/>
      <c r="D17" s="11"/>
      <c r="E17" s="9"/>
      <c r="F17" s="11"/>
      <c r="G17" s="9"/>
      <c r="H17" s="9"/>
      <c r="I17" s="9"/>
      <c r="J17" s="14"/>
      <c r="K17" s="284"/>
      <c r="L17" s="285"/>
    </row>
    <row r="18" spans="1:12" ht="16.5" customHeight="1">
      <c r="A18" s="10">
        <v>13</v>
      </c>
      <c r="B18" s="278"/>
      <c r="C18" s="279"/>
      <c r="D18" s="11"/>
      <c r="E18" s="9"/>
      <c r="F18" s="11"/>
      <c r="G18" s="9"/>
      <c r="H18" s="9"/>
      <c r="I18" s="9"/>
      <c r="J18" s="14"/>
      <c r="K18" s="284"/>
      <c r="L18" s="285"/>
    </row>
    <row r="19" spans="1:12" ht="16.5" customHeight="1">
      <c r="A19" s="10">
        <v>14</v>
      </c>
      <c r="B19" s="278"/>
      <c r="C19" s="279"/>
      <c r="D19" s="11"/>
      <c r="E19" s="9"/>
      <c r="F19" s="11"/>
      <c r="G19" s="9"/>
      <c r="H19" s="9"/>
      <c r="I19" s="9"/>
      <c r="J19" s="14"/>
      <c r="K19" s="284"/>
      <c r="L19" s="285"/>
    </row>
    <row r="20" spans="1:12" ht="16.5" customHeight="1">
      <c r="A20" s="10">
        <v>15</v>
      </c>
      <c r="B20" s="278"/>
      <c r="C20" s="279"/>
      <c r="D20" s="11"/>
      <c r="E20" s="11"/>
      <c r="F20" s="11"/>
      <c r="G20" s="11"/>
      <c r="H20" s="9"/>
      <c r="I20" s="9"/>
      <c r="J20" s="14"/>
      <c r="K20" s="284"/>
      <c r="L20" s="285"/>
    </row>
    <row r="21" spans="1:12" ht="16.5" customHeight="1">
      <c r="A21" s="10">
        <v>16</v>
      </c>
      <c r="B21" s="278"/>
      <c r="C21" s="279"/>
      <c r="D21" s="9"/>
      <c r="E21" s="11"/>
      <c r="F21" s="9"/>
      <c r="G21" s="11"/>
      <c r="H21" s="9"/>
      <c r="I21" s="9"/>
      <c r="J21" s="14"/>
      <c r="K21" s="284"/>
      <c r="L21" s="285"/>
    </row>
    <row r="22" spans="1:12" ht="16.5" customHeight="1">
      <c r="A22" s="10">
        <v>17</v>
      </c>
      <c r="B22" s="278"/>
      <c r="C22" s="279"/>
      <c r="D22" s="9"/>
      <c r="E22" s="11"/>
      <c r="F22" s="9"/>
      <c r="G22" s="11"/>
      <c r="H22" s="9"/>
      <c r="I22" s="9"/>
      <c r="J22" s="14"/>
      <c r="K22" s="284"/>
      <c r="L22" s="285"/>
    </row>
    <row r="23" spans="1:12" ht="16.5" customHeight="1">
      <c r="A23" s="10">
        <v>18</v>
      </c>
      <c r="B23" s="278"/>
      <c r="C23" s="279"/>
      <c r="D23" s="9"/>
      <c r="E23" s="11"/>
      <c r="F23" s="9"/>
      <c r="G23" s="11"/>
      <c r="H23" s="9"/>
      <c r="I23" s="9"/>
      <c r="J23" s="14"/>
      <c r="K23" s="284"/>
      <c r="L23" s="285"/>
    </row>
    <row r="24" spans="1:12" ht="16.5" customHeight="1">
      <c r="A24" s="10">
        <v>19</v>
      </c>
      <c r="B24" s="278"/>
      <c r="C24" s="279"/>
      <c r="D24" s="9"/>
      <c r="E24" s="11"/>
      <c r="F24" s="9"/>
      <c r="G24" s="11"/>
      <c r="H24" s="9"/>
      <c r="I24" s="9"/>
      <c r="J24" s="14"/>
      <c r="K24" s="284"/>
      <c r="L24" s="285"/>
    </row>
    <row r="25" spans="1:12">
      <c r="A25" s="10">
        <v>20</v>
      </c>
      <c r="B25" s="278"/>
      <c r="C25" s="279"/>
      <c r="D25" s="9"/>
      <c r="E25" s="11"/>
      <c r="F25" s="9"/>
      <c r="G25" s="11"/>
      <c r="H25" s="9"/>
      <c r="I25" s="9"/>
      <c r="J25" s="14"/>
      <c r="K25" s="284"/>
      <c r="L25" s="285"/>
    </row>
    <row r="26" spans="1:12">
      <c r="A26" s="10">
        <v>21</v>
      </c>
      <c r="B26" s="278"/>
      <c r="C26" s="279"/>
      <c r="D26" s="9"/>
      <c r="E26" s="11"/>
      <c r="F26" s="9"/>
      <c r="G26" s="11"/>
      <c r="H26" s="9"/>
      <c r="I26" s="9"/>
      <c r="J26" s="14"/>
      <c r="K26" s="284"/>
      <c r="L26" s="285"/>
    </row>
    <row r="27" spans="1:12">
      <c r="A27" s="10">
        <v>22</v>
      </c>
      <c r="B27" s="278"/>
      <c r="C27" s="279"/>
      <c r="D27" s="9"/>
      <c r="E27" s="11"/>
      <c r="F27" s="9"/>
      <c r="G27" s="11"/>
      <c r="H27" s="9"/>
      <c r="I27" s="9"/>
      <c r="J27" s="14"/>
      <c r="K27" s="284"/>
      <c r="L27" s="285"/>
    </row>
    <row r="28" spans="1:12">
      <c r="A28" s="10">
        <v>23</v>
      </c>
      <c r="B28" s="278"/>
      <c r="C28" s="279"/>
      <c r="D28" s="9"/>
      <c r="E28" s="11"/>
      <c r="F28" s="9"/>
      <c r="G28" s="11"/>
      <c r="H28" s="9"/>
      <c r="I28" s="9"/>
      <c r="J28" s="14"/>
    </row>
    <row r="29" spans="1:12">
      <c r="A29" s="10">
        <v>24</v>
      </c>
      <c r="B29" s="278"/>
      <c r="C29" s="279"/>
      <c r="D29" s="9"/>
      <c r="E29" s="11"/>
      <c r="F29" s="9"/>
      <c r="G29" s="11"/>
      <c r="H29" s="9"/>
      <c r="I29" s="9"/>
      <c r="J29" s="14"/>
    </row>
    <row r="30" spans="1:12">
      <c r="A30" s="10">
        <v>25</v>
      </c>
      <c r="B30" s="278"/>
      <c r="C30" s="279"/>
      <c r="D30" s="11"/>
      <c r="E30" s="11"/>
      <c r="F30" s="11"/>
      <c r="G30" s="11"/>
      <c r="H30" s="9"/>
      <c r="I30" s="9"/>
      <c r="J30" s="14"/>
    </row>
    <row r="31" spans="1:12">
      <c r="A31" s="10">
        <v>26</v>
      </c>
      <c r="B31" s="278"/>
      <c r="C31" s="279"/>
      <c r="D31" s="11"/>
      <c r="E31" s="11"/>
      <c r="F31" s="11"/>
      <c r="G31" s="11"/>
      <c r="H31" s="9"/>
      <c r="I31" s="9"/>
      <c r="J31" s="14"/>
    </row>
    <row r="32" spans="1:12">
      <c r="A32" s="10">
        <v>27</v>
      </c>
      <c r="B32" s="278"/>
      <c r="C32" s="279"/>
      <c r="D32" s="9"/>
      <c r="E32" s="9"/>
      <c r="F32" s="9"/>
      <c r="G32" s="9"/>
      <c r="H32" s="9"/>
      <c r="I32" s="9"/>
      <c r="J32" s="14"/>
    </row>
    <row r="33" spans="1:10" ht="31.5" customHeight="1">
      <c r="A33" s="280" t="s">
        <v>195</v>
      </c>
      <c r="B33" s="281"/>
      <c r="C33" s="282"/>
      <c r="D33" s="12">
        <f t="shared" ref="D33:I33" si="0">SUM(D6:D32)</f>
        <v>614</v>
      </c>
      <c r="E33" s="12">
        <f t="shared" si="0"/>
        <v>1447.6118415992028</v>
      </c>
      <c r="F33" s="12">
        <f t="shared" si="0"/>
        <v>0</v>
      </c>
      <c r="G33" s="12">
        <f t="shared" si="0"/>
        <v>0</v>
      </c>
      <c r="H33" s="12">
        <f t="shared" si="0"/>
        <v>0</v>
      </c>
      <c r="I33" s="12">
        <f t="shared" si="0"/>
        <v>0</v>
      </c>
      <c r="J33" s="14"/>
    </row>
    <row r="34" spans="1:10">
      <c r="D34" s="156"/>
      <c r="E34" s="156"/>
    </row>
    <row r="37" spans="1:10" ht="27.75" customHeight="1">
      <c r="D37" s="264" t="s">
        <v>302</v>
      </c>
      <c r="E37" s="260"/>
      <c r="F37" s="260"/>
      <c r="G37" s="260"/>
      <c r="H37" s="260"/>
      <c r="I37" s="260"/>
      <c r="J37" s="260"/>
    </row>
    <row r="38" spans="1:10">
      <c r="C38" s="14"/>
      <c r="D38" s="260" t="s">
        <v>224</v>
      </c>
      <c r="E38" s="265" t="s">
        <v>225</v>
      </c>
      <c r="F38" s="266"/>
      <c r="G38" s="266"/>
      <c r="H38" s="266"/>
      <c r="I38" s="266"/>
      <c r="J38" s="267"/>
    </row>
    <row r="39" spans="1:10">
      <c r="C39" s="14"/>
      <c r="D39" s="260"/>
      <c r="E39" s="160" t="s">
        <v>229</v>
      </c>
      <c r="F39" s="160" t="s">
        <v>230</v>
      </c>
      <c r="G39" s="160" t="s">
        <v>231</v>
      </c>
      <c r="H39" s="160" t="s">
        <v>232</v>
      </c>
      <c r="I39" s="169" t="s">
        <v>233</v>
      </c>
      <c r="J39" s="160"/>
    </row>
    <row r="40" spans="1:10">
      <c r="C40" s="153" t="s">
        <v>297</v>
      </c>
      <c r="D40" s="153" t="s">
        <v>299</v>
      </c>
      <c r="E40" s="229">
        <f>D33</f>
        <v>614</v>
      </c>
      <c r="F40" s="229">
        <f>E40*(1-0.03)</f>
        <v>595.57999999999993</v>
      </c>
      <c r="G40" s="229">
        <f t="shared" ref="G40:I41" si="1">F40*(1-0.03)</f>
        <v>577.71259999999995</v>
      </c>
      <c r="H40" s="229">
        <f t="shared" si="1"/>
        <v>560.38122199999998</v>
      </c>
      <c r="I40" s="229">
        <f t="shared" si="1"/>
        <v>543.56978533999995</v>
      </c>
      <c r="J40" s="165"/>
    </row>
    <row r="41" spans="1:10">
      <c r="C41" s="153" t="s">
        <v>298</v>
      </c>
      <c r="D41" s="153" t="s">
        <v>300</v>
      </c>
      <c r="E41" s="230">
        <f>E33</f>
        <v>1447.6118415992028</v>
      </c>
      <c r="F41" s="229">
        <f>E41*(1-0.03)</f>
        <v>1404.1834863512267</v>
      </c>
      <c r="G41" s="229">
        <f t="shared" si="1"/>
        <v>1362.0579817606899</v>
      </c>
      <c r="H41" s="229">
        <f t="shared" si="1"/>
        <v>1321.1962423078692</v>
      </c>
      <c r="I41" s="229">
        <f t="shared" si="1"/>
        <v>1281.5603550386331</v>
      </c>
      <c r="J41" s="165"/>
    </row>
    <row r="42" spans="1:10">
      <c r="C42" s="14"/>
      <c r="D42" s="14"/>
      <c r="E42" s="230">
        <f>F33</f>
        <v>0</v>
      </c>
      <c r="F42" s="229">
        <f>E42*(1-0.01)</f>
        <v>0</v>
      </c>
      <c r="G42" s="229">
        <f t="shared" ref="G42:I42" si="2">F42*(1-0.01)</f>
        <v>0</v>
      </c>
      <c r="H42" s="229">
        <f t="shared" si="2"/>
        <v>0</v>
      </c>
      <c r="I42" s="229">
        <f t="shared" si="2"/>
        <v>0</v>
      </c>
      <c r="J42" s="165"/>
    </row>
    <row r="43" spans="1:10">
      <c r="C43" s="14"/>
      <c r="D43" s="14"/>
      <c r="E43" s="230">
        <f>G33</f>
        <v>0</v>
      </c>
      <c r="F43" s="229">
        <f>E43*(1-0.01)</f>
        <v>0</v>
      </c>
      <c r="G43" s="229">
        <f t="shared" ref="G43:I43" si="3">F43*(1-0.01)</f>
        <v>0</v>
      </c>
      <c r="H43" s="229">
        <f t="shared" si="3"/>
        <v>0</v>
      </c>
      <c r="I43" s="229">
        <f t="shared" si="3"/>
        <v>0</v>
      </c>
      <c r="J43" s="165"/>
    </row>
    <row r="44" spans="1:10">
      <c r="C44" s="14"/>
      <c r="D44" s="14"/>
      <c r="E44" s="230">
        <f>H33</f>
        <v>0</v>
      </c>
      <c r="F44" s="229">
        <f t="shared" ref="F44:G45" si="4">E44*(1-0.05)</f>
        <v>0</v>
      </c>
      <c r="G44" s="229">
        <f t="shared" si="4"/>
        <v>0</v>
      </c>
      <c r="H44" s="229"/>
      <c r="I44" s="229"/>
      <c r="J44" s="165"/>
    </row>
    <row r="45" spans="1:10">
      <c r="C45" s="14"/>
      <c r="D45" s="14"/>
      <c r="E45" s="230">
        <f>I33</f>
        <v>0</v>
      </c>
      <c r="F45" s="229">
        <f t="shared" si="4"/>
        <v>0</v>
      </c>
      <c r="G45" s="229">
        <f t="shared" si="4"/>
        <v>0</v>
      </c>
      <c r="H45" s="229"/>
      <c r="I45" s="229"/>
      <c r="J45" s="165"/>
    </row>
  </sheetData>
  <mergeCells count="57">
    <mergeCell ref="K25:L25"/>
    <mergeCell ref="K26:L26"/>
    <mergeCell ref="K27:L27"/>
    <mergeCell ref="B23:C23"/>
    <mergeCell ref="K20:L20"/>
    <mergeCell ref="K21:L21"/>
    <mergeCell ref="K22:L22"/>
    <mergeCell ref="K23:L23"/>
    <mergeCell ref="K24:L24"/>
    <mergeCell ref="B20:C20"/>
    <mergeCell ref="K15:L15"/>
    <mergeCell ref="K16:L16"/>
    <mergeCell ref="K17:L17"/>
    <mergeCell ref="K18:L18"/>
    <mergeCell ref="K19:L19"/>
    <mergeCell ref="K10:L10"/>
    <mergeCell ref="K11:L11"/>
    <mergeCell ref="K12:L12"/>
    <mergeCell ref="K13:L13"/>
    <mergeCell ref="K14:L14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4:C24"/>
    <mergeCell ref="B25:C25"/>
    <mergeCell ref="B16:C16"/>
    <mergeCell ref="B17:C17"/>
    <mergeCell ref="B11:C11"/>
    <mergeCell ref="B12:C12"/>
    <mergeCell ref="B13:C13"/>
    <mergeCell ref="B14:C14"/>
    <mergeCell ref="B15:C15"/>
    <mergeCell ref="G3:I3"/>
    <mergeCell ref="D37:J37"/>
    <mergeCell ref="D38:D39"/>
    <mergeCell ref="E38:J38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B18:C18"/>
    <mergeCell ref="B19:C1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E14" sqref="E14"/>
    </sheetView>
  </sheetViews>
  <sheetFormatPr defaultColWidth="9" defaultRowHeight="13.5"/>
  <cols>
    <col min="1" max="1" width="9" style="3"/>
    <col min="2" max="2" width="29.625" style="3" customWidth="1"/>
    <col min="3" max="3" width="25.5" style="3" customWidth="1"/>
    <col min="4" max="4" width="18.625" style="3" customWidth="1"/>
    <col min="5" max="16384" width="9" style="3"/>
  </cols>
  <sheetData>
    <row r="1" spans="1:4" ht="27" customHeight="1">
      <c r="A1" s="211" t="s">
        <v>13</v>
      </c>
      <c r="B1" s="211" t="s">
        <v>196</v>
      </c>
      <c r="C1" s="211" t="s">
        <v>197</v>
      </c>
      <c r="D1" s="211" t="s">
        <v>198</v>
      </c>
    </row>
    <row r="2" spans="1:4" ht="19.5" customHeight="1">
      <c r="A2" s="211">
        <v>1</v>
      </c>
      <c r="B2" s="212" t="s">
        <v>199</v>
      </c>
      <c r="C2" s="213" t="s">
        <v>263</v>
      </c>
      <c r="D2" s="211"/>
    </row>
    <row r="3" spans="1:4" ht="19.5" customHeight="1">
      <c r="A3" s="211">
        <v>2</v>
      </c>
      <c r="B3" s="212" t="s">
        <v>200</v>
      </c>
      <c r="C3" s="214" t="s">
        <v>263</v>
      </c>
      <c r="D3" s="211" t="s">
        <v>264</v>
      </c>
    </row>
    <row r="4" spans="1:4" ht="19.5" customHeight="1">
      <c r="A4" s="211">
        <v>3</v>
      </c>
      <c r="B4" s="212" t="s">
        <v>201</v>
      </c>
      <c r="C4" s="213" t="s">
        <v>265</v>
      </c>
      <c r="D4" s="211" t="s">
        <v>266</v>
      </c>
    </row>
    <row r="5" spans="1:4" ht="19.5" customHeight="1">
      <c r="A5" s="211">
        <v>4</v>
      </c>
      <c r="B5" s="212" t="s">
        <v>202</v>
      </c>
      <c r="C5" s="213" t="s">
        <v>267</v>
      </c>
      <c r="D5" s="211"/>
    </row>
    <row r="6" spans="1:4" ht="19.5" customHeight="1">
      <c r="A6" s="211">
        <v>5</v>
      </c>
      <c r="B6" s="212" t="s">
        <v>203</v>
      </c>
      <c r="C6" s="213" t="s">
        <v>268</v>
      </c>
      <c r="D6" s="211"/>
    </row>
    <row r="7" spans="1:4" ht="19.5" customHeight="1">
      <c r="A7" s="211">
        <v>6</v>
      </c>
      <c r="B7" s="211" t="s">
        <v>204</v>
      </c>
      <c r="C7" s="214" t="s">
        <v>168</v>
      </c>
      <c r="D7" s="211"/>
    </row>
    <row r="8" spans="1:4" ht="19.5" customHeight="1">
      <c r="A8" s="211">
        <v>7</v>
      </c>
      <c r="B8" s="212" t="s">
        <v>205</v>
      </c>
      <c r="C8" s="215" t="s">
        <v>269</v>
      </c>
      <c r="D8" s="211"/>
    </row>
    <row r="9" spans="1:4" ht="19.5" customHeight="1">
      <c r="A9" s="211">
        <v>8</v>
      </c>
      <c r="B9" s="211" t="s">
        <v>206</v>
      </c>
      <c r="C9" s="215" t="s">
        <v>270</v>
      </c>
      <c r="D9" s="211"/>
    </row>
    <row r="10" spans="1:4" ht="19.5" customHeight="1">
      <c r="A10" s="211">
        <v>9</v>
      </c>
      <c r="B10" s="211" t="s">
        <v>207</v>
      </c>
      <c r="C10" s="215" t="s">
        <v>271</v>
      </c>
      <c r="D10" s="211"/>
    </row>
    <row r="11" spans="1:4" ht="19.5" customHeight="1">
      <c r="A11" s="211">
        <v>10</v>
      </c>
      <c r="B11" s="211" t="s">
        <v>208</v>
      </c>
      <c r="C11" s="215" t="s">
        <v>270</v>
      </c>
      <c r="D11" s="211" t="s">
        <v>272</v>
      </c>
    </row>
    <row r="12" spans="1:4" ht="19.5" customHeight="1">
      <c r="A12" s="211">
        <v>11</v>
      </c>
      <c r="B12" s="211" t="s">
        <v>209</v>
      </c>
      <c r="C12" s="215" t="s">
        <v>270</v>
      </c>
      <c r="D12" s="211"/>
    </row>
    <row r="13" spans="1:4" ht="19.5" customHeight="1">
      <c r="A13" s="211">
        <v>12</v>
      </c>
      <c r="B13" s="212" t="s">
        <v>273</v>
      </c>
      <c r="C13" s="215" t="s">
        <v>274</v>
      </c>
      <c r="D13" s="211"/>
    </row>
    <row r="14" spans="1:4" ht="19.5" customHeight="1">
      <c r="A14" s="211">
        <v>13</v>
      </c>
      <c r="B14" s="212" t="s">
        <v>275</v>
      </c>
      <c r="C14" s="215" t="s">
        <v>276</v>
      </c>
      <c r="D14" s="211"/>
    </row>
    <row r="15" spans="1:4" ht="19.5" customHeight="1">
      <c r="A15" s="211">
        <v>14</v>
      </c>
      <c r="B15" s="212" t="s">
        <v>277</v>
      </c>
      <c r="C15" s="215" t="s">
        <v>278</v>
      </c>
      <c r="D15" s="211"/>
    </row>
    <row r="16" spans="1:4" ht="19.5" customHeight="1">
      <c r="A16" s="211">
        <v>15</v>
      </c>
      <c r="B16" s="211" t="s">
        <v>124</v>
      </c>
      <c r="C16" s="211"/>
      <c r="D16" s="211"/>
    </row>
    <row r="17" spans="1:4" ht="19.5" customHeight="1">
      <c r="A17" s="216"/>
      <c r="B17" s="217" t="s">
        <v>279</v>
      </c>
      <c r="C17" s="216"/>
      <c r="D17" s="216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H8" sqref="H8"/>
    </sheetView>
  </sheetViews>
  <sheetFormatPr defaultColWidth="9" defaultRowHeight="13.5"/>
  <cols>
    <col min="1" max="2" width="9" style="61"/>
    <col min="3" max="4" width="15.75" style="61" customWidth="1"/>
    <col min="5" max="7" width="11.125" style="61" customWidth="1"/>
    <col min="8" max="8" width="12.875" style="143" customWidth="1"/>
    <col min="9" max="16384" width="9" style="61"/>
  </cols>
  <sheetData>
    <row r="1" spans="1:11" s="140" customFormat="1" ht="18.75" customHeight="1">
      <c r="F1" s="291" t="s">
        <v>210</v>
      </c>
      <c r="G1" s="291"/>
      <c r="H1" s="141"/>
    </row>
    <row r="2" spans="1:11" ht="39" customHeight="1">
      <c r="A2" s="292" t="s">
        <v>211</v>
      </c>
      <c r="B2" s="292"/>
      <c r="C2" s="293" t="s">
        <v>281</v>
      </c>
      <c r="D2" s="293"/>
      <c r="E2" s="293"/>
      <c r="F2" s="293"/>
      <c r="G2" s="287"/>
      <c r="H2" s="142" t="s">
        <v>218</v>
      </c>
      <c r="J2" s="159"/>
      <c r="K2" s="159"/>
    </row>
    <row r="3" spans="1:11" ht="34.5" customHeight="1">
      <c r="A3" s="292"/>
      <c r="B3" s="292"/>
      <c r="C3" s="150" t="s">
        <v>220</v>
      </c>
      <c r="D3" s="150" t="s">
        <v>219</v>
      </c>
      <c r="E3" s="151" t="s">
        <v>223</v>
      </c>
      <c r="F3" s="151" t="s">
        <v>222</v>
      </c>
      <c r="G3" s="151" t="s">
        <v>221</v>
      </c>
      <c r="H3" s="154">
        <f>销量!C8</f>
        <v>750</v>
      </c>
    </row>
    <row r="4" spans="1:11" ht="24" customHeight="1">
      <c r="A4" s="288" t="s">
        <v>212</v>
      </c>
      <c r="B4" s="288"/>
      <c r="C4" s="144"/>
      <c r="D4" s="145">
        <f>$H$3*E4</f>
        <v>10.574999999999999</v>
      </c>
      <c r="E4" s="149">
        <v>1.41E-2</v>
      </c>
      <c r="F4" s="145"/>
      <c r="G4" s="146">
        <v>4.48E-2</v>
      </c>
      <c r="I4" s="157"/>
      <c r="J4" s="62"/>
      <c r="K4" s="62"/>
    </row>
    <row r="5" spans="1:11" ht="24" customHeight="1">
      <c r="A5" s="288" t="s">
        <v>213</v>
      </c>
      <c r="B5" s="147" t="s">
        <v>214</v>
      </c>
      <c r="C5" s="144"/>
      <c r="D5" s="145">
        <f t="shared" ref="D5:D6" si="0">$H$3*E5</f>
        <v>28.274999999999999</v>
      </c>
      <c r="E5" s="146">
        <v>3.7699999999999997E-2</v>
      </c>
      <c r="F5" s="146"/>
      <c r="G5" s="146">
        <v>4.0399999999999998E-2</v>
      </c>
      <c r="H5" s="143">
        <v>0.41</v>
      </c>
      <c r="I5" s="158"/>
      <c r="J5" s="62"/>
      <c r="K5" s="62"/>
    </row>
    <row r="6" spans="1:11" ht="24" customHeight="1">
      <c r="A6" s="288"/>
      <c r="B6" s="147" t="s">
        <v>215</v>
      </c>
      <c r="C6" s="144"/>
      <c r="D6" s="145">
        <f t="shared" si="0"/>
        <v>45</v>
      </c>
      <c r="E6" s="297">
        <v>0.06</v>
      </c>
      <c r="F6" s="145"/>
      <c r="G6" s="146">
        <v>1.66E-2</v>
      </c>
      <c r="I6" s="157"/>
      <c r="J6" s="62"/>
      <c r="K6" s="62"/>
    </row>
    <row r="7" spans="1:11" ht="24" customHeight="1">
      <c r="A7" s="286" t="s">
        <v>216</v>
      </c>
      <c r="B7" s="287"/>
      <c r="C7" s="148"/>
      <c r="D7" s="145">
        <f>$H$3*E7</f>
        <v>83.85</v>
      </c>
      <c r="E7" s="149">
        <f>SUM(E4:E6)</f>
        <v>0.1118</v>
      </c>
      <c r="F7" s="145"/>
      <c r="G7" s="149">
        <f>SUM(G4:G6)</f>
        <v>0.1018</v>
      </c>
      <c r="I7" s="157"/>
      <c r="J7" s="62"/>
      <c r="K7" s="62"/>
    </row>
    <row r="8" spans="1:11" ht="24" customHeight="1">
      <c r="A8" s="288" t="s">
        <v>44</v>
      </c>
      <c r="B8" s="288"/>
      <c r="C8" s="144"/>
      <c r="D8" s="145">
        <f>$H$3*E8</f>
        <v>20.25</v>
      </c>
      <c r="E8" s="146">
        <v>2.7E-2</v>
      </c>
      <c r="F8" s="145"/>
      <c r="G8" s="146">
        <f>1.97%+0.75%</f>
        <v>2.7199999999999998E-2</v>
      </c>
      <c r="I8" s="158"/>
      <c r="J8" s="62"/>
      <c r="K8" s="62"/>
    </row>
    <row r="9" spans="1:11" ht="24" customHeight="1">
      <c r="A9" s="289" t="s">
        <v>217</v>
      </c>
      <c r="B9" s="147" t="s">
        <v>214</v>
      </c>
      <c r="C9" s="144"/>
      <c r="D9" s="145">
        <f>$H$3*E9</f>
        <v>5.0999999999999996</v>
      </c>
      <c r="E9" s="146">
        <v>6.7999999999999996E-3</v>
      </c>
      <c r="F9" s="145"/>
      <c r="G9" s="146">
        <v>5.3E-3</v>
      </c>
      <c r="I9" s="143"/>
      <c r="J9" s="62"/>
      <c r="K9" s="62"/>
    </row>
    <row r="10" spans="1:11" ht="24" customHeight="1">
      <c r="A10" s="290"/>
      <c r="B10" s="147" t="s">
        <v>215</v>
      </c>
      <c r="C10" s="144"/>
      <c r="D10" s="145">
        <f>$H$3*E10</f>
        <v>17.324999999999999</v>
      </c>
      <c r="E10" s="143">
        <v>2.3099999999999999E-2</v>
      </c>
      <c r="F10" s="145"/>
      <c r="G10" s="146">
        <v>3.4099999999999998E-2</v>
      </c>
      <c r="I10" s="143"/>
      <c r="J10" s="62"/>
      <c r="K10" s="62"/>
    </row>
    <row r="11" spans="1:11" ht="24" customHeight="1">
      <c r="A11" s="288" t="s">
        <v>47</v>
      </c>
      <c r="B11" s="288"/>
      <c r="C11" s="144"/>
      <c r="D11" s="145">
        <f t="shared" ref="D11" si="1">$H$3*E11</f>
        <v>17.309999999999999</v>
      </c>
      <c r="E11" s="146">
        <v>2.308E-2</v>
      </c>
      <c r="F11" s="145"/>
      <c r="G11" s="146">
        <v>1.0999999999999999E-2</v>
      </c>
      <c r="I11" s="143"/>
      <c r="J11" s="62"/>
      <c r="K11" s="62"/>
    </row>
    <row r="15" spans="1:11">
      <c r="A15" s="140"/>
      <c r="B15" s="140"/>
      <c r="C15" s="140"/>
      <c r="D15" s="140"/>
      <c r="E15" s="140"/>
      <c r="F15" s="291" t="s">
        <v>210</v>
      </c>
      <c r="G15" s="291"/>
      <c r="H15" s="141"/>
    </row>
    <row r="16" spans="1:11">
      <c r="A16" s="292" t="s">
        <v>211</v>
      </c>
      <c r="B16" s="292"/>
      <c r="C16" s="293" t="s">
        <v>281</v>
      </c>
      <c r="D16" s="293"/>
      <c r="E16" s="293"/>
      <c r="F16" s="293"/>
      <c r="G16" s="287"/>
      <c r="H16" s="142" t="s">
        <v>218</v>
      </c>
    </row>
    <row r="17" spans="1:8" ht="27">
      <c r="A17" s="292"/>
      <c r="B17" s="292"/>
      <c r="C17" s="150" t="s">
        <v>220</v>
      </c>
      <c r="D17" s="150" t="s">
        <v>219</v>
      </c>
      <c r="E17" s="151" t="s">
        <v>223</v>
      </c>
      <c r="F17" s="151" t="s">
        <v>222</v>
      </c>
      <c r="G17" s="151" t="s">
        <v>221</v>
      </c>
      <c r="H17" s="154">
        <f>销量!D8</f>
        <v>1644</v>
      </c>
    </row>
    <row r="18" spans="1:8">
      <c r="A18" s="288" t="s">
        <v>212</v>
      </c>
      <c r="B18" s="288"/>
      <c r="C18" s="144"/>
      <c r="D18" s="145">
        <f>$H$17*E18</f>
        <v>23.180399999999999</v>
      </c>
      <c r="E18" s="149">
        <f t="shared" ref="E18:E25" si="2">E4</f>
        <v>1.41E-2</v>
      </c>
      <c r="F18" s="145"/>
      <c r="G18" s="146">
        <v>4.48E-2</v>
      </c>
      <c r="H18" s="143">
        <v>4.3099999999999999E-2</v>
      </c>
    </row>
    <row r="19" spans="1:8">
      <c r="A19" s="288" t="s">
        <v>213</v>
      </c>
      <c r="B19" s="170" t="s">
        <v>214</v>
      </c>
      <c r="C19" s="144"/>
      <c r="D19" s="145">
        <f t="shared" ref="D19:D25" si="3">$H$17*E19</f>
        <v>61.978799999999993</v>
      </c>
      <c r="E19" s="146">
        <f t="shared" si="2"/>
        <v>3.7699999999999997E-2</v>
      </c>
      <c r="F19" s="145"/>
      <c r="G19" s="146">
        <v>4.0399999999999998E-2</v>
      </c>
    </row>
    <row r="20" spans="1:8">
      <c r="A20" s="288"/>
      <c r="B20" s="170" t="s">
        <v>215</v>
      </c>
      <c r="C20" s="144"/>
      <c r="D20" s="145">
        <f t="shared" si="3"/>
        <v>98.64</v>
      </c>
      <c r="E20" s="149">
        <f t="shared" si="2"/>
        <v>0.06</v>
      </c>
      <c r="F20" s="145"/>
      <c r="G20" s="146">
        <v>1.66E-2</v>
      </c>
      <c r="H20" s="143">
        <v>2.1700000000000001E-2</v>
      </c>
    </row>
    <row r="21" spans="1:8">
      <c r="A21" s="286" t="s">
        <v>216</v>
      </c>
      <c r="B21" s="287"/>
      <c r="C21" s="148"/>
      <c r="D21" s="145">
        <f t="shared" si="3"/>
        <v>183.79919999999998</v>
      </c>
      <c r="E21" s="149">
        <f t="shared" si="2"/>
        <v>0.1118</v>
      </c>
      <c r="F21" s="145"/>
      <c r="G21" s="149">
        <f>SUM(G18:G20)</f>
        <v>0.1018</v>
      </c>
      <c r="H21" s="143">
        <f>SUM(H18:H20)</f>
        <v>6.4799999999999996E-2</v>
      </c>
    </row>
    <row r="22" spans="1:8">
      <c r="A22" s="288" t="s">
        <v>44</v>
      </c>
      <c r="B22" s="288"/>
      <c r="C22" s="144"/>
      <c r="D22" s="145">
        <f t="shared" si="3"/>
        <v>44.387999999999998</v>
      </c>
      <c r="E22" s="146">
        <f t="shared" si="2"/>
        <v>2.7E-2</v>
      </c>
      <c r="F22" s="145"/>
      <c r="G22" s="146">
        <f>1.97%+0.75%</f>
        <v>2.7199999999999998E-2</v>
      </c>
    </row>
    <row r="23" spans="1:8">
      <c r="A23" s="289" t="s">
        <v>217</v>
      </c>
      <c r="B23" s="170" t="s">
        <v>214</v>
      </c>
      <c r="C23" s="144"/>
      <c r="D23" s="145">
        <f t="shared" si="3"/>
        <v>11.1792</v>
      </c>
      <c r="E23" s="146">
        <f t="shared" si="2"/>
        <v>6.7999999999999996E-3</v>
      </c>
      <c r="F23" s="145"/>
      <c r="G23" s="146">
        <v>5.3E-3</v>
      </c>
    </row>
    <row r="24" spans="1:8">
      <c r="A24" s="290"/>
      <c r="B24" s="170" t="s">
        <v>215</v>
      </c>
      <c r="C24" s="144"/>
      <c r="D24" s="145">
        <f t="shared" si="3"/>
        <v>37.976399999999998</v>
      </c>
      <c r="E24" s="143">
        <f t="shared" si="2"/>
        <v>2.3099999999999999E-2</v>
      </c>
      <c r="F24" s="145"/>
      <c r="G24" s="146">
        <v>3.4099999999999998E-2</v>
      </c>
      <c r="H24" s="143">
        <f>2.8%+1.2%</f>
        <v>3.9999999999999994E-2</v>
      </c>
    </row>
    <row r="25" spans="1:8">
      <c r="A25" s="288" t="s">
        <v>47</v>
      </c>
      <c r="B25" s="288"/>
      <c r="C25" s="144"/>
      <c r="D25" s="145">
        <f t="shared" si="3"/>
        <v>37.943519999999999</v>
      </c>
      <c r="E25" s="146">
        <f t="shared" si="2"/>
        <v>2.308E-2</v>
      </c>
      <c r="F25" s="145"/>
      <c r="G25" s="146">
        <v>1.0999999999999999E-2</v>
      </c>
      <c r="H25" s="143">
        <v>0.03</v>
      </c>
    </row>
    <row r="29" spans="1:8">
      <c r="A29" s="140"/>
      <c r="B29" s="140"/>
      <c r="C29" s="140"/>
      <c r="D29" s="140"/>
      <c r="E29" s="140"/>
      <c r="F29" s="291" t="s">
        <v>210</v>
      </c>
      <c r="G29" s="291"/>
      <c r="H29" s="141"/>
    </row>
    <row r="30" spans="1:8">
      <c r="A30" s="292" t="s">
        <v>211</v>
      </c>
      <c r="B30" s="292"/>
      <c r="C30" s="293" t="s">
        <v>281</v>
      </c>
      <c r="D30" s="293"/>
      <c r="E30" s="293"/>
      <c r="F30" s="293"/>
      <c r="G30" s="287"/>
      <c r="H30" s="142" t="s">
        <v>218</v>
      </c>
    </row>
    <row r="31" spans="1:8" ht="27">
      <c r="A31" s="292"/>
      <c r="B31" s="292"/>
      <c r="C31" s="150" t="s">
        <v>220</v>
      </c>
      <c r="D31" s="150" t="s">
        <v>219</v>
      </c>
      <c r="E31" s="151" t="s">
        <v>223</v>
      </c>
      <c r="F31" s="151" t="s">
        <v>222</v>
      </c>
      <c r="G31" s="151" t="s">
        <v>221</v>
      </c>
      <c r="H31" s="154">
        <f>销量!E8</f>
        <v>0</v>
      </c>
    </row>
    <row r="32" spans="1:8">
      <c r="A32" s="288" t="s">
        <v>212</v>
      </c>
      <c r="B32" s="288"/>
      <c r="C32" s="144"/>
      <c r="D32" s="145">
        <f>$H$31*E32</f>
        <v>0</v>
      </c>
      <c r="E32" s="173">
        <f t="shared" ref="E32:E39" si="4">E4</f>
        <v>1.41E-2</v>
      </c>
      <c r="F32" s="145"/>
      <c r="G32" s="146">
        <v>4.48E-2</v>
      </c>
      <c r="H32" s="143">
        <v>4.3099999999999999E-2</v>
      </c>
    </row>
    <row r="33" spans="1:8">
      <c r="A33" s="288" t="s">
        <v>213</v>
      </c>
      <c r="B33" s="170" t="s">
        <v>214</v>
      </c>
      <c r="C33" s="144"/>
      <c r="D33" s="145">
        <f t="shared" ref="D33:D39" si="5">$H$31*E33</f>
        <v>0</v>
      </c>
      <c r="E33" s="146">
        <f t="shared" si="4"/>
        <v>3.7699999999999997E-2</v>
      </c>
      <c r="F33" s="145"/>
      <c r="G33" s="146">
        <v>4.0399999999999998E-2</v>
      </c>
    </row>
    <row r="34" spans="1:8">
      <c r="A34" s="288"/>
      <c r="B34" s="170" t="s">
        <v>215</v>
      </c>
      <c r="C34" s="144"/>
      <c r="D34" s="145">
        <f t="shared" si="5"/>
        <v>0</v>
      </c>
      <c r="E34" s="173">
        <f t="shared" si="4"/>
        <v>0.06</v>
      </c>
      <c r="F34" s="145"/>
      <c r="G34" s="146">
        <v>1.66E-2</v>
      </c>
      <c r="H34" s="143">
        <v>2.1700000000000001E-2</v>
      </c>
    </row>
    <row r="35" spans="1:8">
      <c r="A35" s="286" t="s">
        <v>216</v>
      </c>
      <c r="B35" s="287"/>
      <c r="C35" s="148"/>
      <c r="D35" s="145">
        <f t="shared" si="5"/>
        <v>0</v>
      </c>
      <c r="E35" s="172">
        <f t="shared" si="4"/>
        <v>0.1118</v>
      </c>
      <c r="F35" s="149"/>
      <c r="G35" s="149">
        <f>SUM(G32:G34)</f>
        <v>0.1018</v>
      </c>
      <c r="H35" s="143">
        <f>SUM(H32:H34)</f>
        <v>6.4799999999999996E-2</v>
      </c>
    </row>
    <row r="36" spans="1:8">
      <c r="A36" s="288" t="s">
        <v>44</v>
      </c>
      <c r="B36" s="288"/>
      <c r="C36" s="144"/>
      <c r="D36" s="145">
        <f t="shared" si="5"/>
        <v>0</v>
      </c>
      <c r="E36" s="174">
        <f t="shared" si="4"/>
        <v>2.7E-2</v>
      </c>
      <c r="F36" s="145"/>
      <c r="G36" s="146">
        <f>1.97%+0.75%</f>
        <v>2.7199999999999998E-2</v>
      </c>
    </row>
    <row r="37" spans="1:8">
      <c r="A37" s="289" t="s">
        <v>217</v>
      </c>
      <c r="B37" s="170" t="s">
        <v>214</v>
      </c>
      <c r="C37" s="144"/>
      <c r="D37" s="145">
        <f t="shared" si="5"/>
        <v>0</v>
      </c>
      <c r="E37" s="146">
        <f t="shared" si="4"/>
        <v>6.7999999999999996E-3</v>
      </c>
      <c r="F37" s="145"/>
      <c r="G37" s="146">
        <v>5.3E-3</v>
      </c>
    </row>
    <row r="38" spans="1:8">
      <c r="A38" s="290"/>
      <c r="B38" s="170" t="s">
        <v>215</v>
      </c>
      <c r="C38" s="144"/>
      <c r="D38" s="145">
        <f t="shared" si="5"/>
        <v>0</v>
      </c>
      <c r="E38" s="143">
        <f t="shared" si="4"/>
        <v>2.3099999999999999E-2</v>
      </c>
      <c r="F38" s="145"/>
      <c r="G38" s="146">
        <v>3.4099999999999998E-2</v>
      </c>
      <c r="H38" s="143">
        <f>2.8%+1.2%</f>
        <v>3.9999999999999994E-2</v>
      </c>
    </row>
    <row r="39" spans="1:8">
      <c r="A39" s="288" t="s">
        <v>47</v>
      </c>
      <c r="B39" s="288"/>
      <c r="C39" s="144"/>
      <c r="D39" s="145">
        <f t="shared" si="5"/>
        <v>0</v>
      </c>
      <c r="E39" s="146">
        <f t="shared" si="4"/>
        <v>2.308E-2</v>
      </c>
      <c r="F39" s="145"/>
      <c r="G39" s="146">
        <v>1.0999999999999999E-2</v>
      </c>
      <c r="H39" s="143">
        <v>0.03</v>
      </c>
    </row>
    <row r="42" spans="1:8">
      <c r="A42" s="140"/>
      <c r="B42" s="140"/>
      <c r="C42" s="140"/>
      <c r="D42" s="140"/>
      <c r="E42" s="140"/>
      <c r="F42" s="291" t="s">
        <v>210</v>
      </c>
      <c r="G42" s="291"/>
      <c r="H42" s="141"/>
    </row>
    <row r="43" spans="1:8">
      <c r="A43" s="292" t="s">
        <v>211</v>
      </c>
      <c r="B43" s="292"/>
      <c r="C43" s="293" t="s">
        <v>281</v>
      </c>
      <c r="D43" s="293"/>
      <c r="E43" s="293"/>
      <c r="F43" s="293"/>
      <c r="G43" s="287"/>
      <c r="H43" s="142" t="s">
        <v>218</v>
      </c>
    </row>
    <row r="44" spans="1:8" ht="27">
      <c r="A44" s="292"/>
      <c r="B44" s="292"/>
      <c r="C44" s="150" t="s">
        <v>220</v>
      </c>
      <c r="D44" s="150" t="s">
        <v>219</v>
      </c>
      <c r="E44" s="151" t="s">
        <v>223</v>
      </c>
      <c r="F44" s="151" t="s">
        <v>222</v>
      </c>
      <c r="G44" s="151" t="s">
        <v>221</v>
      </c>
      <c r="H44" s="154">
        <f>销量!F8</f>
        <v>0</v>
      </c>
    </row>
    <row r="45" spans="1:8">
      <c r="A45" s="288" t="s">
        <v>212</v>
      </c>
      <c r="B45" s="288"/>
      <c r="C45" s="144"/>
      <c r="D45" s="145">
        <f>$H$44*E45</f>
        <v>0</v>
      </c>
      <c r="E45" s="173">
        <f t="shared" ref="E45:E52" si="6">E4</f>
        <v>1.41E-2</v>
      </c>
      <c r="F45" s="145"/>
      <c r="G45" s="146">
        <v>4.48E-2</v>
      </c>
      <c r="H45" s="143">
        <v>4.3099999999999999E-2</v>
      </c>
    </row>
    <row r="46" spans="1:8">
      <c r="A46" s="288" t="s">
        <v>213</v>
      </c>
      <c r="B46" s="170" t="s">
        <v>214</v>
      </c>
      <c r="C46" s="144"/>
      <c r="D46" s="145">
        <f t="shared" ref="D46:D52" si="7">$H$44*E46</f>
        <v>0</v>
      </c>
      <c r="E46" s="146">
        <f t="shared" si="6"/>
        <v>3.7699999999999997E-2</v>
      </c>
      <c r="F46" s="145"/>
      <c r="G46" s="146">
        <v>4.0399999999999998E-2</v>
      </c>
    </row>
    <row r="47" spans="1:8">
      <c r="A47" s="288"/>
      <c r="B47" s="170" t="s">
        <v>215</v>
      </c>
      <c r="C47" s="144"/>
      <c r="D47" s="145">
        <f t="shared" si="7"/>
        <v>0</v>
      </c>
      <c r="E47" s="173">
        <f t="shared" si="6"/>
        <v>0.06</v>
      </c>
      <c r="F47" s="145"/>
      <c r="G47" s="146">
        <v>1.66E-2</v>
      </c>
      <c r="H47" s="143">
        <v>2.1700000000000001E-2</v>
      </c>
    </row>
    <row r="48" spans="1:8">
      <c r="A48" s="286" t="s">
        <v>216</v>
      </c>
      <c r="B48" s="287"/>
      <c r="C48" s="148"/>
      <c r="D48" s="145">
        <f t="shared" si="7"/>
        <v>0</v>
      </c>
      <c r="E48" s="172">
        <f t="shared" si="6"/>
        <v>0.1118</v>
      </c>
      <c r="F48" s="149"/>
      <c r="G48" s="149">
        <f>SUM(G45:G47)</f>
        <v>0.1018</v>
      </c>
      <c r="H48" s="143">
        <f>SUM(H45:H47)</f>
        <v>6.4799999999999996E-2</v>
      </c>
    </row>
    <row r="49" spans="1:8">
      <c r="A49" s="288" t="s">
        <v>44</v>
      </c>
      <c r="B49" s="288"/>
      <c r="C49" s="144"/>
      <c r="D49" s="145">
        <f t="shared" si="7"/>
        <v>0</v>
      </c>
      <c r="E49" s="174">
        <f t="shared" si="6"/>
        <v>2.7E-2</v>
      </c>
      <c r="F49" s="145"/>
      <c r="G49" s="146">
        <f>1.97%+0.75%</f>
        <v>2.7199999999999998E-2</v>
      </c>
    </row>
    <row r="50" spans="1:8">
      <c r="A50" s="289" t="s">
        <v>217</v>
      </c>
      <c r="B50" s="170" t="s">
        <v>214</v>
      </c>
      <c r="C50" s="144"/>
      <c r="D50" s="145">
        <f t="shared" si="7"/>
        <v>0</v>
      </c>
      <c r="E50" s="146">
        <f t="shared" si="6"/>
        <v>6.7999999999999996E-3</v>
      </c>
      <c r="F50" s="145"/>
      <c r="G50" s="146">
        <v>5.3E-3</v>
      </c>
    </row>
    <row r="51" spans="1:8">
      <c r="A51" s="290"/>
      <c r="B51" s="170" t="s">
        <v>215</v>
      </c>
      <c r="C51" s="144"/>
      <c r="D51" s="145">
        <f t="shared" si="7"/>
        <v>0</v>
      </c>
      <c r="E51" s="143">
        <f t="shared" si="6"/>
        <v>2.3099999999999999E-2</v>
      </c>
      <c r="F51" s="145"/>
      <c r="G51" s="146">
        <v>3.4099999999999998E-2</v>
      </c>
      <c r="H51" s="143">
        <f>2.8%+1.2%</f>
        <v>3.9999999999999994E-2</v>
      </c>
    </row>
    <row r="52" spans="1:8">
      <c r="A52" s="288" t="s">
        <v>47</v>
      </c>
      <c r="B52" s="288"/>
      <c r="C52" s="144"/>
      <c r="D52" s="145">
        <f t="shared" si="7"/>
        <v>0</v>
      </c>
      <c r="E52" s="146">
        <f t="shared" si="6"/>
        <v>2.308E-2</v>
      </c>
      <c r="F52" s="145"/>
      <c r="G52" s="146">
        <v>1.0999999999999999E-2</v>
      </c>
      <c r="H52" s="143">
        <v>0.03</v>
      </c>
    </row>
    <row r="55" spans="1:8">
      <c r="A55" s="140"/>
      <c r="B55" s="140"/>
      <c r="C55" s="140"/>
      <c r="D55" s="140"/>
      <c r="E55" s="140"/>
      <c r="F55" s="291" t="s">
        <v>210</v>
      </c>
      <c r="G55" s="291"/>
      <c r="H55" s="141"/>
    </row>
    <row r="56" spans="1:8">
      <c r="A56" s="292" t="s">
        <v>211</v>
      </c>
      <c r="B56" s="292"/>
      <c r="C56" s="293" t="s">
        <v>281</v>
      </c>
      <c r="D56" s="293"/>
      <c r="E56" s="293"/>
      <c r="F56" s="293"/>
      <c r="G56" s="287"/>
      <c r="H56" s="142" t="s">
        <v>218</v>
      </c>
    </row>
    <row r="57" spans="1:8" ht="27">
      <c r="A57" s="292"/>
      <c r="B57" s="292"/>
      <c r="C57" s="150" t="s">
        <v>220</v>
      </c>
      <c r="D57" s="150" t="s">
        <v>219</v>
      </c>
      <c r="E57" s="151" t="s">
        <v>223</v>
      </c>
      <c r="F57" s="151" t="s">
        <v>222</v>
      </c>
      <c r="G57" s="151" t="s">
        <v>221</v>
      </c>
      <c r="H57" s="154">
        <f>销量!G8</f>
        <v>0</v>
      </c>
    </row>
    <row r="58" spans="1:8">
      <c r="A58" s="288" t="s">
        <v>212</v>
      </c>
      <c r="B58" s="288"/>
      <c r="C58" s="144"/>
      <c r="D58" s="145">
        <f>$H$57*E58</f>
        <v>0</v>
      </c>
      <c r="E58" s="173">
        <f t="shared" ref="E58:E65" si="8">E4</f>
        <v>1.41E-2</v>
      </c>
      <c r="F58" s="145"/>
      <c r="G58" s="146">
        <v>4.48E-2</v>
      </c>
      <c r="H58" s="143">
        <v>4.3099999999999999E-2</v>
      </c>
    </row>
    <row r="59" spans="1:8">
      <c r="A59" s="288" t="s">
        <v>213</v>
      </c>
      <c r="B59" s="170" t="s">
        <v>214</v>
      </c>
      <c r="C59" s="144"/>
      <c r="D59" s="145">
        <f t="shared" ref="D59:D65" si="9">$H$57*E59</f>
        <v>0</v>
      </c>
      <c r="E59" s="146">
        <f t="shared" si="8"/>
        <v>3.7699999999999997E-2</v>
      </c>
      <c r="F59" s="145"/>
      <c r="G59" s="146">
        <v>4.0399999999999998E-2</v>
      </c>
    </row>
    <row r="60" spans="1:8">
      <c r="A60" s="288"/>
      <c r="B60" s="170" t="s">
        <v>215</v>
      </c>
      <c r="C60" s="144"/>
      <c r="D60" s="145">
        <f t="shared" si="9"/>
        <v>0</v>
      </c>
      <c r="E60" s="173">
        <f t="shared" si="8"/>
        <v>0.06</v>
      </c>
      <c r="F60" s="145"/>
      <c r="G60" s="146">
        <v>1.66E-2</v>
      </c>
      <c r="H60" s="143">
        <v>2.1700000000000001E-2</v>
      </c>
    </row>
    <row r="61" spans="1:8">
      <c r="A61" s="286" t="s">
        <v>216</v>
      </c>
      <c r="B61" s="287"/>
      <c r="C61" s="148"/>
      <c r="D61" s="145">
        <f t="shared" si="9"/>
        <v>0</v>
      </c>
      <c r="E61" s="172">
        <f t="shared" si="8"/>
        <v>0.1118</v>
      </c>
      <c r="F61" s="149"/>
      <c r="G61" s="149">
        <f>SUM(G58:G60)</f>
        <v>0.1018</v>
      </c>
      <c r="H61" s="143">
        <f>SUM(H58:H60)</f>
        <v>6.4799999999999996E-2</v>
      </c>
    </row>
    <row r="62" spans="1:8">
      <c r="A62" s="288" t="s">
        <v>44</v>
      </c>
      <c r="B62" s="288"/>
      <c r="C62" s="144"/>
      <c r="D62" s="145">
        <f t="shared" si="9"/>
        <v>0</v>
      </c>
      <c r="E62" s="174">
        <f t="shared" si="8"/>
        <v>2.7E-2</v>
      </c>
      <c r="F62" s="145"/>
      <c r="G62" s="146">
        <f>1.97%+0.75%</f>
        <v>2.7199999999999998E-2</v>
      </c>
    </row>
    <row r="63" spans="1:8">
      <c r="A63" s="289" t="s">
        <v>217</v>
      </c>
      <c r="B63" s="170" t="s">
        <v>214</v>
      </c>
      <c r="C63" s="144"/>
      <c r="D63" s="145">
        <f t="shared" si="9"/>
        <v>0</v>
      </c>
      <c r="E63" s="146">
        <f t="shared" si="8"/>
        <v>6.7999999999999996E-3</v>
      </c>
      <c r="F63" s="145"/>
      <c r="G63" s="146">
        <v>5.3E-3</v>
      </c>
    </row>
    <row r="64" spans="1:8">
      <c r="A64" s="290"/>
      <c r="B64" s="170" t="s">
        <v>215</v>
      </c>
      <c r="C64" s="144"/>
      <c r="D64" s="145">
        <f t="shared" si="9"/>
        <v>0</v>
      </c>
      <c r="E64" s="143">
        <f t="shared" si="8"/>
        <v>2.3099999999999999E-2</v>
      </c>
      <c r="F64" s="145"/>
      <c r="G64" s="146">
        <v>3.4099999999999998E-2</v>
      </c>
      <c r="H64" s="143">
        <f>2.8%+1.2%</f>
        <v>3.9999999999999994E-2</v>
      </c>
    </row>
    <row r="65" spans="1:8">
      <c r="A65" s="288" t="s">
        <v>47</v>
      </c>
      <c r="B65" s="288"/>
      <c r="C65" s="144"/>
      <c r="D65" s="145">
        <f t="shared" si="9"/>
        <v>0</v>
      </c>
      <c r="E65" s="146">
        <f t="shared" si="8"/>
        <v>2.308E-2</v>
      </c>
      <c r="F65" s="145"/>
      <c r="G65" s="146">
        <v>1.0999999999999999E-2</v>
      </c>
      <c r="H65" s="143">
        <v>0.03</v>
      </c>
    </row>
    <row r="68" spans="1:8">
      <c r="A68" s="140"/>
      <c r="B68" s="140"/>
      <c r="C68" s="140"/>
      <c r="D68" s="140"/>
      <c r="E68" s="140"/>
      <c r="F68" s="291" t="s">
        <v>210</v>
      </c>
      <c r="G68" s="291"/>
      <c r="H68" s="141"/>
    </row>
    <row r="69" spans="1:8">
      <c r="A69" s="292" t="s">
        <v>211</v>
      </c>
      <c r="B69" s="292"/>
      <c r="C69" s="293" t="s">
        <v>281</v>
      </c>
      <c r="D69" s="293"/>
      <c r="E69" s="293"/>
      <c r="F69" s="293"/>
      <c r="G69" s="287"/>
      <c r="H69" s="142" t="s">
        <v>218</v>
      </c>
    </row>
    <row r="70" spans="1:8" ht="27">
      <c r="A70" s="292"/>
      <c r="B70" s="292"/>
      <c r="C70" s="150" t="s">
        <v>220</v>
      </c>
      <c r="D70" s="150" t="s">
        <v>219</v>
      </c>
      <c r="E70" s="151" t="s">
        <v>223</v>
      </c>
      <c r="F70" s="151" t="s">
        <v>222</v>
      </c>
      <c r="G70" s="151" t="s">
        <v>221</v>
      </c>
      <c r="H70" s="154">
        <f>销量!H8</f>
        <v>0</v>
      </c>
    </row>
    <row r="71" spans="1:8">
      <c r="A71" s="288" t="s">
        <v>212</v>
      </c>
      <c r="B71" s="288"/>
      <c r="C71" s="144"/>
      <c r="D71" s="145">
        <f>$H$70*E71</f>
        <v>0</v>
      </c>
      <c r="E71" s="173">
        <f t="shared" ref="E71:E78" si="10">E4</f>
        <v>1.41E-2</v>
      </c>
      <c r="F71" s="145"/>
      <c r="G71" s="146">
        <v>4.48E-2</v>
      </c>
      <c r="H71" s="143">
        <v>4.3099999999999999E-2</v>
      </c>
    </row>
    <row r="72" spans="1:8">
      <c r="A72" s="288" t="s">
        <v>213</v>
      </c>
      <c r="B72" s="170" t="s">
        <v>214</v>
      </c>
      <c r="C72" s="144"/>
      <c r="D72" s="145">
        <f t="shared" ref="D72:D78" si="11">$H$70*E72</f>
        <v>0</v>
      </c>
      <c r="E72" s="146">
        <f t="shared" si="10"/>
        <v>3.7699999999999997E-2</v>
      </c>
      <c r="F72" s="145"/>
      <c r="G72" s="146">
        <v>4.0399999999999998E-2</v>
      </c>
    </row>
    <row r="73" spans="1:8">
      <c r="A73" s="288"/>
      <c r="B73" s="170" t="s">
        <v>215</v>
      </c>
      <c r="C73" s="144"/>
      <c r="D73" s="145">
        <f t="shared" si="11"/>
        <v>0</v>
      </c>
      <c r="E73" s="173">
        <f t="shared" si="10"/>
        <v>0.06</v>
      </c>
      <c r="F73" s="145"/>
      <c r="G73" s="146">
        <v>1.66E-2</v>
      </c>
      <c r="H73" s="143">
        <v>2.1700000000000001E-2</v>
      </c>
    </row>
    <row r="74" spans="1:8">
      <c r="A74" s="286" t="s">
        <v>216</v>
      </c>
      <c r="B74" s="287"/>
      <c r="C74" s="148"/>
      <c r="D74" s="145">
        <f t="shared" si="11"/>
        <v>0</v>
      </c>
      <c r="E74" s="172">
        <f t="shared" si="10"/>
        <v>0.1118</v>
      </c>
      <c r="F74" s="149"/>
      <c r="G74" s="149">
        <f>SUM(G71:G73)</f>
        <v>0.1018</v>
      </c>
      <c r="H74" s="143">
        <f>SUM(H71:H73)</f>
        <v>6.4799999999999996E-2</v>
      </c>
    </row>
    <row r="75" spans="1:8">
      <c r="A75" s="288" t="s">
        <v>44</v>
      </c>
      <c r="B75" s="288"/>
      <c r="C75" s="144"/>
      <c r="D75" s="145">
        <f t="shared" si="11"/>
        <v>0</v>
      </c>
      <c r="E75" s="174">
        <f t="shared" si="10"/>
        <v>2.7E-2</v>
      </c>
      <c r="F75" s="145"/>
      <c r="G75" s="146">
        <f>1.97%+0.75%</f>
        <v>2.7199999999999998E-2</v>
      </c>
    </row>
    <row r="76" spans="1:8">
      <c r="A76" s="289" t="s">
        <v>217</v>
      </c>
      <c r="B76" s="170" t="s">
        <v>214</v>
      </c>
      <c r="C76" s="144"/>
      <c r="D76" s="145">
        <f t="shared" si="11"/>
        <v>0</v>
      </c>
      <c r="E76" s="146">
        <f t="shared" si="10"/>
        <v>6.7999999999999996E-3</v>
      </c>
      <c r="F76" s="145"/>
      <c r="G76" s="146">
        <v>5.3E-3</v>
      </c>
    </row>
    <row r="77" spans="1:8">
      <c r="A77" s="290"/>
      <c r="B77" s="170" t="s">
        <v>215</v>
      </c>
      <c r="C77" s="144"/>
      <c r="D77" s="145">
        <f t="shared" si="11"/>
        <v>0</v>
      </c>
      <c r="E77" s="143">
        <f t="shared" si="10"/>
        <v>2.3099999999999999E-2</v>
      </c>
      <c r="F77" s="145"/>
      <c r="G77" s="146">
        <v>3.4099999999999998E-2</v>
      </c>
      <c r="H77" s="143">
        <f>2.8%+1.2%</f>
        <v>3.9999999999999994E-2</v>
      </c>
    </row>
    <row r="78" spans="1:8">
      <c r="A78" s="288" t="s">
        <v>47</v>
      </c>
      <c r="B78" s="288"/>
      <c r="C78" s="144"/>
      <c r="D78" s="145">
        <f t="shared" si="11"/>
        <v>0</v>
      </c>
      <c r="E78" s="146">
        <f t="shared" si="10"/>
        <v>2.308E-2</v>
      </c>
      <c r="F78" s="145"/>
      <c r="G78" s="146">
        <v>1.0999999999999999E-2</v>
      </c>
      <c r="H78" s="143">
        <v>0.03</v>
      </c>
    </row>
  </sheetData>
  <mergeCells count="54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"/>
  <sheetViews>
    <sheetView workbookViewId="0">
      <selection activeCell="F11" sqref="F11"/>
    </sheetView>
  </sheetViews>
  <sheetFormatPr defaultRowHeight="13.5"/>
  <cols>
    <col min="1" max="1" width="4" customWidth="1"/>
    <col min="2" max="2" width="19.75" style="185" customWidth="1"/>
    <col min="3" max="3" width="14.75" style="186" customWidth="1"/>
    <col min="4" max="4" width="13.625" customWidth="1"/>
    <col min="5" max="5" width="13.625" style="190" customWidth="1"/>
    <col min="6" max="7" width="13.125" customWidth="1"/>
    <col min="8" max="8" width="14.375" customWidth="1"/>
  </cols>
  <sheetData>
    <row r="2" spans="2:8" ht="37.5" customHeight="1">
      <c r="B2" s="294" t="s">
        <v>287</v>
      </c>
      <c r="C2" s="294"/>
      <c r="D2" s="294"/>
      <c r="E2" s="294"/>
      <c r="F2" s="294"/>
      <c r="G2" s="294"/>
      <c r="H2" s="294"/>
    </row>
    <row r="3" spans="2:8" s="3" customFormat="1" ht="42.75" customHeight="1">
      <c r="B3" s="193" t="s">
        <v>238</v>
      </c>
      <c r="C3" s="194" t="s">
        <v>239</v>
      </c>
      <c r="D3" s="220" t="s">
        <v>309</v>
      </c>
      <c r="E3" s="195" t="s">
        <v>240</v>
      </c>
      <c r="F3" s="193" t="s">
        <v>288</v>
      </c>
      <c r="G3" s="192" t="s">
        <v>241</v>
      </c>
      <c r="H3" s="193" t="s">
        <v>242</v>
      </c>
    </row>
    <row r="4" spans="2:8" s="3" customFormat="1" ht="30" customHeight="1">
      <c r="B4" s="189" t="str">
        <f>销量!C6</f>
        <v>6900010GH13-C00/A</v>
      </c>
      <c r="C4" s="187" t="str">
        <f>销量!C5</f>
        <v>前座总成</v>
      </c>
      <c r="D4" s="28">
        <f>材料成本!D33</f>
        <v>614</v>
      </c>
      <c r="E4" s="28">
        <f>销量!C8</f>
        <v>750</v>
      </c>
      <c r="F4" s="28">
        <f>E4-D4</f>
        <v>136</v>
      </c>
      <c r="G4" s="188">
        <f>F4/E4</f>
        <v>0.18133333333333335</v>
      </c>
      <c r="H4" s="298" t="s">
        <v>308</v>
      </c>
    </row>
    <row r="5" spans="2:8" s="3" customFormat="1" ht="30" customHeight="1">
      <c r="B5" s="189" t="str">
        <f>销量!D6</f>
        <v>6800010PH13-C00/A</v>
      </c>
      <c r="C5" s="187" t="str">
        <f>销量!D5</f>
        <v>驾驶员总成</v>
      </c>
      <c r="D5" s="28">
        <f>材料成本!E33</f>
        <v>1447.6118415992028</v>
      </c>
      <c r="E5" s="28">
        <f>销量!D8</f>
        <v>1644</v>
      </c>
      <c r="F5" s="28">
        <f>E5-D5</f>
        <v>196.38815840079724</v>
      </c>
      <c r="G5" s="219">
        <f>F5/E5</f>
        <v>0.11945751727542411</v>
      </c>
      <c r="H5" s="298" t="s">
        <v>307</v>
      </c>
    </row>
    <row r="6" spans="2:8" s="3" customFormat="1" ht="30" customHeight="1">
      <c r="B6" s="295" t="s">
        <v>247</v>
      </c>
      <c r="C6" s="296"/>
      <c r="D6" s="191">
        <f>SUM(D4:D5)</f>
        <v>2061.6118415992028</v>
      </c>
      <c r="E6" s="191">
        <f t="shared" ref="E6:F6" si="0">SUM(E4:E5)</f>
        <v>2394</v>
      </c>
      <c r="F6" s="191">
        <f t="shared" si="0"/>
        <v>332.38815840079724</v>
      </c>
      <c r="G6" s="192">
        <f>F6/E6</f>
        <v>0.13884217142890445</v>
      </c>
      <c r="H6" s="193"/>
    </row>
  </sheetData>
  <mergeCells count="2">
    <mergeCell ref="B2:H2"/>
    <mergeCell ref="B6:C6"/>
  </mergeCells>
  <phoneticPr fontId="3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E16" sqref="E16"/>
    </sheetView>
  </sheetViews>
  <sheetFormatPr defaultColWidth="9" defaultRowHeight="16.5"/>
  <cols>
    <col min="1" max="1" width="5.125" style="104" customWidth="1"/>
    <col min="2" max="2" width="25.125" style="104" customWidth="1"/>
    <col min="3" max="7" width="12.625" style="105" customWidth="1"/>
    <col min="8" max="8" width="16.5" style="105" customWidth="1"/>
    <col min="9" max="34" width="9" style="104"/>
    <col min="35" max="35" width="4.375" style="104" customWidth="1"/>
    <col min="36" max="36" width="13.875" style="104" customWidth="1"/>
    <col min="37" max="16384" width="9" style="104"/>
  </cols>
  <sheetData>
    <row r="1" spans="1:37" ht="27" customHeight="1">
      <c r="A1" s="233" t="s">
        <v>248</v>
      </c>
      <c r="B1" s="233"/>
      <c r="C1" s="233"/>
      <c r="D1" s="233"/>
      <c r="E1" s="233"/>
      <c r="F1" s="233"/>
      <c r="G1" s="233"/>
      <c r="H1" s="233"/>
    </row>
    <row r="2" spans="1:37" ht="15.75" customHeight="1">
      <c r="A2" s="234" t="s">
        <v>13</v>
      </c>
      <c r="B2" s="106" t="s">
        <v>1</v>
      </c>
      <c r="C2" s="106" t="s">
        <v>252</v>
      </c>
      <c r="D2" s="106" t="s">
        <v>243</v>
      </c>
      <c r="E2" s="106" t="s">
        <v>244</v>
      </c>
      <c r="F2" s="106" t="s">
        <v>245</v>
      </c>
      <c r="G2" s="106" t="s">
        <v>253</v>
      </c>
      <c r="H2" s="46" t="s">
        <v>14</v>
      </c>
      <c r="AK2" s="104" t="s">
        <v>15</v>
      </c>
    </row>
    <row r="3" spans="1:37" s="43" customFormat="1" ht="15.75" customHeight="1">
      <c r="A3" s="235"/>
      <c r="B3" s="48" t="s">
        <v>3</v>
      </c>
      <c r="C3" s="107">
        <f>'2023年'!G6</f>
        <v>10000</v>
      </c>
      <c r="D3" s="107">
        <f>'2024年'!G6</f>
        <v>20000</v>
      </c>
      <c r="E3" s="107">
        <f>'2025年'!G6</f>
        <v>20000</v>
      </c>
      <c r="F3" s="107">
        <f>'2026年'!G6</f>
        <v>20000</v>
      </c>
      <c r="G3" s="107">
        <f>'2027年'!G6</f>
        <v>20000</v>
      </c>
      <c r="H3" s="177">
        <f t="shared" ref="H3:H11" si="0">SUM(C3:G3)</f>
        <v>90000</v>
      </c>
      <c r="AI3" s="47" t="s">
        <v>13</v>
      </c>
      <c r="AJ3" s="48" t="s">
        <v>3</v>
      </c>
      <c r="AK3" s="43" t="s">
        <v>16</v>
      </c>
    </row>
    <row r="4" spans="1:37" s="43" customFormat="1" ht="15.75" customHeight="1">
      <c r="A4" s="56">
        <v>1</v>
      </c>
      <c r="B4" s="48" t="s">
        <v>17</v>
      </c>
      <c r="C4" s="107">
        <f>'2023年'!G7</f>
        <v>11970000</v>
      </c>
      <c r="D4" s="107">
        <f>'2024年'!G7</f>
        <v>23940000</v>
      </c>
      <c r="E4" s="107">
        <f>'2025年'!G7</f>
        <v>23940000</v>
      </c>
      <c r="F4" s="107">
        <f>'2026年'!G7</f>
        <v>23940000</v>
      </c>
      <c r="G4" s="107">
        <f>'2027年'!G7</f>
        <v>23940000</v>
      </c>
      <c r="H4" s="107">
        <f t="shared" si="0"/>
        <v>107730000</v>
      </c>
      <c r="AI4" s="47" t="s">
        <v>18</v>
      </c>
      <c r="AJ4" s="48" t="s">
        <v>17</v>
      </c>
      <c r="AK4" s="43" t="s">
        <v>16</v>
      </c>
    </row>
    <row r="5" spans="1:37" s="43" customFormat="1" ht="15.75" customHeight="1">
      <c r="A5" s="56">
        <v>2</v>
      </c>
      <c r="B5" s="45" t="s">
        <v>19</v>
      </c>
      <c r="C5" s="107">
        <f>'2023年'!G8</f>
        <v>0</v>
      </c>
      <c r="D5" s="107">
        <f>'2024年'!G8</f>
        <v>718200.0000000007</v>
      </c>
      <c r="E5" s="107">
        <f>'2025年'!G8</f>
        <v>1414853.9999999984</v>
      </c>
      <c r="F5" s="107">
        <f>'2026年'!G8</f>
        <v>2090608.3799999985</v>
      </c>
      <c r="G5" s="107">
        <f>'2027年'!G8</f>
        <v>2746090.1286000013</v>
      </c>
      <c r="H5" s="107">
        <f t="shared" si="0"/>
        <v>6969752.5085999984</v>
      </c>
      <c r="AI5" s="47" t="s">
        <v>20</v>
      </c>
      <c r="AJ5" s="45" t="s">
        <v>21</v>
      </c>
      <c r="AK5" s="43" t="s">
        <v>16</v>
      </c>
    </row>
    <row r="6" spans="1:37" s="43" customFormat="1" ht="15.75" customHeight="1">
      <c r="A6" s="56">
        <v>3</v>
      </c>
      <c r="B6" s="48" t="s">
        <v>22</v>
      </c>
      <c r="C6" s="108">
        <f>+C4-C5</f>
        <v>11970000</v>
      </c>
      <c r="D6" s="108">
        <f>'2024年'!G9</f>
        <v>23221800</v>
      </c>
      <c r="E6" s="108">
        <f>'2025年'!G9</f>
        <v>22525146.000000004</v>
      </c>
      <c r="F6" s="107">
        <f>'2026年'!G9</f>
        <v>21849391.620000001</v>
      </c>
      <c r="G6" s="107">
        <f>'2027年'!G9</f>
        <v>21193909.871399999</v>
      </c>
      <c r="H6" s="107">
        <f t="shared" si="0"/>
        <v>100760247.4914</v>
      </c>
      <c r="AI6" s="47" t="s">
        <v>23</v>
      </c>
      <c r="AJ6" s="48" t="s">
        <v>22</v>
      </c>
      <c r="AK6" s="43" t="s">
        <v>24</v>
      </c>
    </row>
    <row r="7" spans="1:37" s="43" customFormat="1" ht="15.75" customHeight="1">
      <c r="A7" s="56">
        <v>4</v>
      </c>
      <c r="B7" s="47" t="s">
        <v>25</v>
      </c>
      <c r="C7" s="107">
        <f>'2023年'!G10</f>
        <v>10308059.207996015</v>
      </c>
      <c r="D7" s="107">
        <f>'2024年'!G10</f>
        <v>19997634.863512266</v>
      </c>
      <c r="E7" s="107">
        <f>'2025年'!G10</f>
        <v>19397705.8176069</v>
      </c>
      <c r="F7" s="107">
        <f>'2026年'!G10</f>
        <v>18815774.643078692</v>
      </c>
      <c r="G7" s="107">
        <f>'2027年'!G10</f>
        <v>18251301.403786331</v>
      </c>
      <c r="H7" s="107">
        <f t="shared" si="0"/>
        <v>86770475.935980201</v>
      </c>
      <c r="AI7" s="47" t="s">
        <v>26</v>
      </c>
      <c r="AJ7" s="47" t="s">
        <v>25</v>
      </c>
      <c r="AK7" s="43" t="s">
        <v>27</v>
      </c>
    </row>
    <row r="8" spans="1:37" s="43" customFormat="1" ht="15.75" customHeight="1">
      <c r="A8" s="56">
        <v>5</v>
      </c>
      <c r="B8" s="47" t="s">
        <v>28</v>
      </c>
      <c r="C8" s="107">
        <f>'2023年'!G11</f>
        <v>168777</v>
      </c>
      <c r="D8" s="107">
        <f>'2024年'!G11</f>
        <v>337554</v>
      </c>
      <c r="E8" s="107">
        <f>'2025年'!G11</f>
        <v>337554</v>
      </c>
      <c r="F8" s="107">
        <f>'2026年'!G11</f>
        <v>337554</v>
      </c>
      <c r="G8" s="107">
        <f>'2027年'!G11</f>
        <v>337554</v>
      </c>
      <c r="H8" s="107">
        <f t="shared" si="0"/>
        <v>1518993</v>
      </c>
      <c r="AI8" s="47" t="s">
        <v>29</v>
      </c>
      <c r="AJ8" s="47" t="s">
        <v>28</v>
      </c>
    </row>
    <row r="9" spans="1:37" s="43" customFormat="1" ht="15.75" customHeight="1">
      <c r="A9" s="56">
        <v>6</v>
      </c>
      <c r="B9" s="47" t="s">
        <v>30</v>
      </c>
      <c r="C9" s="107">
        <f>'2023年'!G12</f>
        <v>718200</v>
      </c>
      <c r="D9" s="107">
        <f>'2024年'!G12</f>
        <v>1436400</v>
      </c>
      <c r="E9" s="107">
        <f>'2025年'!G12</f>
        <v>1436400</v>
      </c>
      <c r="F9" s="107">
        <f>'2026年'!G12</f>
        <v>1436400</v>
      </c>
      <c r="G9" s="107">
        <f>'2027年'!G12</f>
        <v>1436400</v>
      </c>
      <c r="H9" s="107">
        <f t="shared" si="0"/>
        <v>6463800</v>
      </c>
      <c r="AI9" s="47" t="s">
        <v>31</v>
      </c>
      <c r="AJ9" s="47" t="s">
        <v>30</v>
      </c>
    </row>
    <row r="10" spans="1:37" s="43" customFormat="1" ht="15.75" customHeight="1">
      <c r="A10" s="56">
        <v>7</v>
      </c>
      <c r="B10" s="109" t="s">
        <v>32</v>
      </c>
      <c r="C10" s="107">
        <f>'2023年'!G13</f>
        <v>276507</v>
      </c>
      <c r="D10" s="107">
        <f>'2024年'!G13</f>
        <v>553014</v>
      </c>
      <c r="E10" s="107">
        <f>'2025年'!G13</f>
        <v>553014</v>
      </c>
      <c r="F10" s="107">
        <f>'2026年'!G13</f>
        <v>553014</v>
      </c>
      <c r="G10" s="107">
        <f>'2027年'!G13</f>
        <v>553014</v>
      </c>
      <c r="H10" s="107">
        <f t="shared" si="0"/>
        <v>2488563</v>
      </c>
      <c r="AI10" s="47" t="s">
        <v>33</v>
      </c>
      <c r="AJ10" s="47" t="s">
        <v>32</v>
      </c>
      <c r="AK10" s="43" t="s">
        <v>16</v>
      </c>
    </row>
    <row r="11" spans="1:37" s="43" customFormat="1" ht="15.75" customHeight="1">
      <c r="A11" s="56">
        <v>8</v>
      </c>
      <c r="B11" s="110" t="s">
        <v>34</v>
      </c>
      <c r="C11" s="111">
        <f>'2023年'!G14</f>
        <v>1163484</v>
      </c>
      <c r="D11" s="111">
        <f>'2024年'!G14</f>
        <v>2326968</v>
      </c>
      <c r="E11" s="111">
        <f>'2025年'!G14</f>
        <v>2326968</v>
      </c>
      <c r="F11" s="111">
        <f>'2026年'!G14</f>
        <v>2326968</v>
      </c>
      <c r="G11" s="111">
        <f>'2027年'!G14</f>
        <v>2326968</v>
      </c>
      <c r="H11" s="111">
        <f t="shared" si="0"/>
        <v>10471356</v>
      </c>
      <c r="AI11" s="47" t="s">
        <v>35</v>
      </c>
      <c r="AJ11" s="50" t="s">
        <v>34</v>
      </c>
    </row>
    <row r="12" spans="1:37" s="43" customFormat="1" ht="15.75" customHeight="1">
      <c r="A12" s="56">
        <v>9</v>
      </c>
      <c r="B12" s="112" t="s">
        <v>36</v>
      </c>
      <c r="C12" s="107">
        <f>'2023年'!G15</f>
        <v>498456.79200398643</v>
      </c>
      <c r="D12" s="107">
        <f>'2024年'!G15</f>
        <v>897197.13648773264</v>
      </c>
      <c r="E12" s="107">
        <f>'2025年'!G15</f>
        <v>800472.18239310384</v>
      </c>
      <c r="F12" s="107">
        <f>'2026年'!G15</f>
        <v>706648.97692130972</v>
      </c>
      <c r="G12" s="107">
        <f>'2027年'!G15</f>
        <v>615640.46761366725</v>
      </c>
      <c r="H12" s="107">
        <f>H6-H7-H11</f>
        <v>3518415.5554198027</v>
      </c>
      <c r="J12" s="104"/>
      <c r="K12" s="104"/>
      <c r="L12" s="104"/>
      <c r="M12" s="104"/>
      <c r="N12" s="104"/>
      <c r="O12" s="104"/>
      <c r="AI12" s="47" t="s">
        <v>37</v>
      </c>
      <c r="AJ12" s="50" t="s">
        <v>36</v>
      </c>
    </row>
    <row r="13" spans="1:37" ht="15.75" customHeight="1">
      <c r="A13" s="56">
        <v>10</v>
      </c>
      <c r="B13" s="113" t="s">
        <v>38</v>
      </c>
      <c r="C13" s="114">
        <f>+C12/C6</f>
        <v>4.1642171428904466E-2</v>
      </c>
      <c r="D13" s="114">
        <f>'2024年'!G16</f>
        <v>3.8635985861894109E-2</v>
      </c>
      <c r="E13" s="114">
        <f>'2025年'!G16</f>
        <v>3.5536825483533103E-2</v>
      </c>
      <c r="F13" s="114">
        <f>'2026年'!G16</f>
        <v>3.2341814784191673E-2</v>
      </c>
      <c r="G13" s="114">
        <f>'2027年'!G16</f>
        <v>2.9047989320952986E-2</v>
      </c>
      <c r="H13" s="114">
        <f>+H12/H6</f>
        <v>3.4918687111403765E-2</v>
      </c>
      <c r="AI13" s="113" t="s">
        <v>39</v>
      </c>
      <c r="AJ13" s="113" t="s">
        <v>38</v>
      </c>
    </row>
    <row r="14" spans="1:37" ht="15.75" customHeight="1">
      <c r="A14" s="56">
        <v>11</v>
      </c>
      <c r="B14" s="113" t="s">
        <v>40</v>
      </c>
      <c r="C14" s="107">
        <f>'2023年'!G17</f>
        <v>476158.99999999994</v>
      </c>
      <c r="D14" s="107">
        <f>'2024年'!G17</f>
        <v>927427.99999999988</v>
      </c>
      <c r="E14" s="107">
        <f>'2025年'!G17</f>
        <v>927427.99999999988</v>
      </c>
      <c r="F14" s="107">
        <f>'2026年'!G17</f>
        <v>927427.99999999988</v>
      </c>
      <c r="G14" s="107">
        <f>'2027年'!G17</f>
        <v>927427.99999999988</v>
      </c>
      <c r="H14" s="107">
        <f>SUM(C14:G14)</f>
        <v>4185870.9999999995</v>
      </c>
      <c r="AI14" s="113" t="s">
        <v>41</v>
      </c>
      <c r="AJ14" s="113" t="s">
        <v>40</v>
      </c>
    </row>
    <row r="15" spans="1:37" ht="15.75" hidden="1" customHeight="1">
      <c r="A15" s="152"/>
      <c r="B15" s="113"/>
      <c r="C15" s="107"/>
      <c r="D15" s="107"/>
      <c r="E15" s="107"/>
      <c r="F15" s="107">
        <f>'2026年'!G18</f>
        <v>24890</v>
      </c>
      <c r="G15" s="107">
        <f>'2027年'!G18</f>
        <v>24890</v>
      </c>
      <c r="H15" s="107"/>
      <c r="AI15" s="113"/>
      <c r="AJ15" s="113"/>
    </row>
    <row r="16" spans="1:37" ht="15.75" customHeight="1">
      <c r="A16" s="56">
        <v>12</v>
      </c>
      <c r="B16" s="113" t="s">
        <v>42</v>
      </c>
      <c r="C16" s="115">
        <f>'2023年'!G19</f>
        <v>81396</v>
      </c>
      <c r="D16" s="115">
        <f>'2024年'!G19</f>
        <v>162792</v>
      </c>
      <c r="E16" s="115">
        <f>'2025年'!G19</f>
        <v>162792</v>
      </c>
      <c r="F16" s="107">
        <f>'2026年'!G19</f>
        <v>162792</v>
      </c>
      <c r="G16" s="107">
        <f>'2027年'!G19</f>
        <v>162792</v>
      </c>
      <c r="H16" s="107">
        <f>SUM(C16:G16)</f>
        <v>732564</v>
      </c>
      <c r="P16" s="63"/>
      <c r="AI16" s="113" t="s">
        <v>43</v>
      </c>
      <c r="AJ16" s="113" t="s">
        <v>42</v>
      </c>
      <c r="AK16" s="104" t="s">
        <v>16</v>
      </c>
    </row>
    <row r="17" spans="1:37" ht="15.75" customHeight="1">
      <c r="A17" s="56">
        <v>13</v>
      </c>
      <c r="B17" s="113" t="s">
        <v>44</v>
      </c>
      <c r="C17" s="115">
        <f>'2023年'!G20</f>
        <v>323190</v>
      </c>
      <c r="D17" s="115">
        <f>'2024年'!G20</f>
        <v>646380</v>
      </c>
      <c r="E17" s="115">
        <f>'2025年'!G20</f>
        <v>646380</v>
      </c>
      <c r="F17" s="107">
        <f>'2026年'!G20</f>
        <v>646380</v>
      </c>
      <c r="G17" s="107">
        <f>'2027年'!G20</f>
        <v>646380</v>
      </c>
      <c r="H17" s="107">
        <f>SUM(C17:G17)</f>
        <v>2908710</v>
      </c>
      <c r="AI17" s="113" t="s">
        <v>45</v>
      </c>
      <c r="AJ17" s="113" t="s">
        <v>44</v>
      </c>
    </row>
    <row r="18" spans="1:37" s="42" customFormat="1" ht="15.75" customHeight="1">
      <c r="A18" s="56">
        <v>14</v>
      </c>
      <c r="B18" s="55" t="s">
        <v>46</v>
      </c>
      <c r="C18" s="116">
        <f>'2023年'!G21</f>
        <v>36580</v>
      </c>
      <c r="D18" s="116">
        <f>'2024年'!G21</f>
        <v>36580</v>
      </c>
      <c r="E18" s="116">
        <f>'2025年'!G21</f>
        <v>36580</v>
      </c>
      <c r="F18" s="107">
        <f>'2026年'!G21</f>
        <v>36580</v>
      </c>
      <c r="G18" s="107">
        <f>'2027年'!G21</f>
        <v>36580</v>
      </c>
      <c r="H18" s="107">
        <f>SUM(C18:G18)</f>
        <v>182900</v>
      </c>
      <c r="AI18" s="55"/>
      <c r="AJ18" s="55"/>
    </row>
    <row r="19" spans="1:37" s="43" customFormat="1" ht="15.75" customHeight="1">
      <c r="A19" s="56">
        <v>15</v>
      </c>
      <c r="B19" s="47" t="s">
        <v>47</v>
      </c>
      <c r="C19" s="115">
        <f>'2023年'!G22</f>
        <v>276267.59999999998</v>
      </c>
      <c r="D19" s="115">
        <f>'2024年'!G22</f>
        <v>552535.19999999995</v>
      </c>
      <c r="E19" s="115">
        <f>'2025年'!G22</f>
        <v>552535.19999999995</v>
      </c>
      <c r="F19" s="107">
        <f>'2026年'!G22</f>
        <v>552535.19999999995</v>
      </c>
      <c r="G19" s="107">
        <f>'2027年'!G22</f>
        <v>552535.19999999995</v>
      </c>
      <c r="H19" s="107">
        <f>SUM(C19:G19)</f>
        <v>2486408.4</v>
      </c>
      <c r="AI19" s="47" t="s">
        <v>48</v>
      </c>
      <c r="AJ19" s="47" t="s">
        <v>47</v>
      </c>
    </row>
    <row r="20" spans="1:37" s="102" customFormat="1" ht="15.75" customHeight="1">
      <c r="A20" s="56">
        <v>16</v>
      </c>
      <c r="B20" s="117" t="s">
        <v>49</v>
      </c>
      <c r="C20" s="111">
        <f t="shared" ref="C20" si="1">+C19+C18+C17+C16+C14</f>
        <v>1193592.5999999999</v>
      </c>
      <c r="D20" s="111">
        <f>'2024年'!G23</f>
        <v>2325715.1999999997</v>
      </c>
      <c r="E20" s="111">
        <f>'2025年'!G23</f>
        <v>2325715.1999999997</v>
      </c>
      <c r="F20" s="111">
        <f>'2026年'!G23</f>
        <v>2325715.1999999997</v>
      </c>
      <c r="G20" s="111">
        <f>'2027年'!G23</f>
        <v>2325715.1999999997</v>
      </c>
      <c r="H20" s="111">
        <f>SUM(C20:G20)</f>
        <v>10496453.399999999</v>
      </c>
      <c r="AI20" s="129" t="s">
        <v>50</v>
      </c>
      <c r="AJ20" s="130" t="s">
        <v>49</v>
      </c>
    </row>
    <row r="21" spans="1:37" ht="15.75" customHeight="1">
      <c r="A21" s="56">
        <v>17</v>
      </c>
      <c r="B21" s="113" t="s">
        <v>51</v>
      </c>
      <c r="C21" s="118">
        <f>+C12-C20</f>
        <v>-695135.80799601343</v>
      </c>
      <c r="D21" s="118">
        <f>'2024年'!G24</f>
        <v>-1428518.0635122671</v>
      </c>
      <c r="E21" s="118">
        <f>'2025年'!G24</f>
        <v>-1525243.0176068959</v>
      </c>
      <c r="F21" s="107">
        <f>'2026年'!G24</f>
        <v>-1619066.22307869</v>
      </c>
      <c r="G21" s="107">
        <f>'2027年'!G24</f>
        <v>-1710074.7323863325</v>
      </c>
      <c r="H21" s="118">
        <f>+H12-H20</f>
        <v>-6978037.8445801958</v>
      </c>
      <c r="AI21" s="113" t="s">
        <v>52</v>
      </c>
      <c r="AJ21" s="113" t="s">
        <v>51</v>
      </c>
    </row>
    <row r="22" spans="1:37" ht="15.75" customHeight="1">
      <c r="A22" s="56">
        <v>18</v>
      </c>
      <c r="B22" s="113" t="s">
        <v>53</v>
      </c>
      <c r="C22" s="118">
        <f>IF(C21&lt;0,0,C21*0.15)</f>
        <v>0</v>
      </c>
      <c r="D22" s="118">
        <f>'2024年'!G25</f>
        <v>0</v>
      </c>
      <c r="E22" s="118">
        <f>'2025年'!G25</f>
        <v>0</v>
      </c>
      <c r="F22" s="107">
        <f>'2026年'!G25</f>
        <v>0</v>
      </c>
      <c r="G22" s="107">
        <f>'2027年'!G25</f>
        <v>0</v>
      </c>
      <c r="H22" s="118">
        <f>IF(H21&lt;0,0,H21*0.25)</f>
        <v>0</v>
      </c>
      <c r="AI22" s="113" t="s">
        <v>54</v>
      </c>
      <c r="AJ22" s="113" t="s">
        <v>53</v>
      </c>
    </row>
    <row r="23" spans="1:37" ht="15.75" customHeight="1">
      <c r="A23" s="56">
        <v>19</v>
      </c>
      <c r="B23" s="113" t="s">
        <v>55</v>
      </c>
      <c r="C23" s="118">
        <f>C21-C22</f>
        <v>-695135.80799601343</v>
      </c>
      <c r="D23" s="118">
        <f>'2024年'!G26</f>
        <v>-1428518.0635122671</v>
      </c>
      <c r="E23" s="118">
        <f>'2025年'!G26</f>
        <v>-1525243.0176068959</v>
      </c>
      <c r="F23" s="107">
        <f>'2026年'!G26</f>
        <v>-1619066.22307869</v>
      </c>
      <c r="G23" s="107">
        <f>'2027年'!G26</f>
        <v>-1710074.7323863325</v>
      </c>
      <c r="H23" s="177">
        <f>H21-H22</f>
        <v>-6978037.8445801958</v>
      </c>
      <c r="AI23" s="113" t="s">
        <v>56</v>
      </c>
      <c r="AJ23" s="113" t="s">
        <v>55</v>
      </c>
    </row>
    <row r="24" spans="1:37" ht="15.75" customHeight="1">
      <c r="A24" s="56">
        <v>20</v>
      </c>
      <c r="B24" s="113" t="s">
        <v>57</v>
      </c>
      <c r="C24" s="119">
        <f>(C23/C4)*100%</f>
        <v>-5.8073166916960184E-2</v>
      </c>
      <c r="D24" s="119">
        <f>'2024年'!G27</f>
        <v>-5.9670762886895032E-2</v>
      </c>
      <c r="E24" s="119">
        <f>'2025年'!G27</f>
        <v>-6.3711070075476023E-2</v>
      </c>
      <c r="F24" s="119">
        <f>'2026年'!G27</f>
        <v>-6.7630168048399747E-2</v>
      </c>
      <c r="G24" s="119">
        <f>'2027年'!G27</f>
        <v>-7.1431693082135858E-2</v>
      </c>
      <c r="H24" s="119">
        <f>(H23/H4)*100%</f>
        <v>-6.4773395011419252E-2</v>
      </c>
      <c r="AI24" s="131" t="s">
        <v>58</v>
      </c>
      <c r="AJ24" s="131" t="s">
        <v>59</v>
      </c>
    </row>
    <row r="25" spans="1:37" s="103" customFormat="1" ht="15.75" customHeight="1">
      <c r="C25" s="120"/>
      <c r="D25" s="120"/>
      <c r="E25" s="120"/>
      <c r="F25" s="120"/>
      <c r="G25" s="120"/>
      <c r="H25" s="120"/>
    </row>
    <row r="26" spans="1:37" s="103" customFormat="1" ht="15.75" customHeight="1">
      <c r="A26" s="103" t="s">
        <v>60</v>
      </c>
      <c r="C26" s="121"/>
      <c r="D26" s="121"/>
      <c r="E26" s="121"/>
      <c r="F26" s="121"/>
      <c r="G26" s="121"/>
      <c r="H26" s="121"/>
      <c r="AI26" s="103" t="s">
        <v>60</v>
      </c>
    </row>
    <row r="27" spans="1:37" ht="15.75" customHeight="1">
      <c r="A27" s="113" t="s">
        <v>13</v>
      </c>
      <c r="B27" s="122" t="s">
        <v>1</v>
      </c>
      <c r="C27" s="106" t="s">
        <v>252</v>
      </c>
      <c r="D27" s="106" t="s">
        <v>243</v>
      </c>
      <c r="E27" s="106" t="s">
        <v>244</v>
      </c>
      <c r="F27" s="106" t="s">
        <v>245</v>
      </c>
      <c r="G27" s="106" t="s">
        <v>253</v>
      </c>
      <c r="H27" s="46" t="s">
        <v>14</v>
      </c>
      <c r="AK27" s="104" t="s">
        <v>15</v>
      </c>
    </row>
    <row r="28" spans="1:37" s="43" customFormat="1" ht="15.75" customHeight="1">
      <c r="A28" s="47" t="s">
        <v>61</v>
      </c>
      <c r="B28" s="50" t="s">
        <v>62</v>
      </c>
      <c r="C28" s="54"/>
      <c r="D28" s="54"/>
      <c r="E28" s="54"/>
      <c r="F28" s="54"/>
      <c r="G28" s="54"/>
      <c r="H28" s="54"/>
      <c r="AI28" s="47" t="s">
        <v>63</v>
      </c>
      <c r="AJ28" s="50" t="s">
        <v>62</v>
      </c>
    </row>
    <row r="29" spans="1:37" s="43" customFormat="1" ht="15.75" customHeight="1">
      <c r="A29" s="47" t="s">
        <v>18</v>
      </c>
      <c r="B29" s="47" t="s">
        <v>64</v>
      </c>
      <c r="C29" s="49">
        <f>+C6/C3</f>
        <v>1197</v>
      </c>
      <c r="D29" s="49">
        <f t="shared" ref="D29:E29" si="2">+D6/D3</f>
        <v>1161.0899999999999</v>
      </c>
      <c r="E29" s="49">
        <f t="shared" si="2"/>
        <v>1126.2573000000002</v>
      </c>
      <c r="F29" s="49">
        <f t="shared" ref="F29:G29" si="3">+F6/F3</f>
        <v>1092.4695810000001</v>
      </c>
      <c r="G29" s="49">
        <f t="shared" si="3"/>
        <v>1059.6954935699998</v>
      </c>
      <c r="H29" s="49">
        <f>+H6/H3</f>
        <v>1119.5583054599999</v>
      </c>
      <c r="AI29" s="47" t="s">
        <v>18</v>
      </c>
      <c r="AJ29" s="47" t="s">
        <v>64</v>
      </c>
    </row>
    <row r="30" spans="1:37" s="43" customFormat="1" ht="15.75" customHeight="1">
      <c r="A30" s="47" t="s">
        <v>20</v>
      </c>
      <c r="B30" s="47" t="s">
        <v>65</v>
      </c>
      <c r="C30" s="49">
        <f>+C7/C3</f>
        <v>1030.8059207996014</v>
      </c>
      <c r="D30" s="49">
        <f t="shared" ref="D30:E30" si="4">+D7/D3</f>
        <v>999.88174317561334</v>
      </c>
      <c r="E30" s="49">
        <f t="shared" si="4"/>
        <v>969.885290880345</v>
      </c>
      <c r="F30" s="49">
        <f t="shared" ref="F30:G30" si="5">+F7/F3</f>
        <v>940.78873215393457</v>
      </c>
      <c r="G30" s="49">
        <f t="shared" si="5"/>
        <v>912.56507018931654</v>
      </c>
      <c r="H30" s="49">
        <f>+H7/H3</f>
        <v>964.11639928866884</v>
      </c>
      <c r="AI30" s="47" t="s">
        <v>20</v>
      </c>
      <c r="AJ30" s="47" t="s">
        <v>65</v>
      </c>
    </row>
    <row r="31" spans="1:37" s="43" customFormat="1" ht="15.75" customHeight="1">
      <c r="A31" s="47" t="s">
        <v>66</v>
      </c>
      <c r="B31" s="47" t="s">
        <v>67</v>
      </c>
      <c r="C31" s="54">
        <f t="shared" ref="C31:H31" si="6">C29-C30</f>
        <v>166.19407920039862</v>
      </c>
      <c r="D31" s="54">
        <f t="shared" si="6"/>
        <v>161.20825682438658</v>
      </c>
      <c r="E31" s="54">
        <f t="shared" si="6"/>
        <v>156.37200911965522</v>
      </c>
      <c r="F31" s="54">
        <f t="shared" ref="F31:G31" si="7">F29-F30</f>
        <v>151.68084884606549</v>
      </c>
      <c r="G31" s="54">
        <f t="shared" si="7"/>
        <v>147.13042338068328</v>
      </c>
      <c r="H31" s="54">
        <f t="shared" si="6"/>
        <v>155.44190617133108</v>
      </c>
      <c r="AI31" s="47" t="s">
        <v>66</v>
      </c>
      <c r="AJ31" s="47" t="s">
        <v>67</v>
      </c>
    </row>
    <row r="32" spans="1:37" s="43" customFormat="1" ht="15.75" customHeight="1">
      <c r="A32" s="47">
        <v>3.1</v>
      </c>
      <c r="B32" s="47" t="s">
        <v>68</v>
      </c>
      <c r="C32" s="123">
        <f t="shared" ref="C32:H32" si="8">C31/C29</f>
        <v>0.13884217142890445</v>
      </c>
      <c r="D32" s="123">
        <f t="shared" si="8"/>
        <v>0.1388421714289044</v>
      </c>
      <c r="E32" s="123">
        <f t="shared" si="8"/>
        <v>0.13884217142890456</v>
      </c>
      <c r="F32" s="123">
        <f t="shared" ref="F32:G32" si="9">F31/F29</f>
        <v>0.13884217142890451</v>
      </c>
      <c r="G32" s="123">
        <f t="shared" si="9"/>
        <v>0.13884217142890432</v>
      </c>
      <c r="H32" s="123">
        <f t="shared" si="8"/>
        <v>0.13884217142890445</v>
      </c>
      <c r="AI32" s="47"/>
      <c r="AJ32" s="47"/>
    </row>
    <row r="33" spans="1:36" s="43" customFormat="1" ht="15.75" customHeight="1">
      <c r="A33" s="47" t="s">
        <v>63</v>
      </c>
      <c r="B33" s="50" t="s">
        <v>8</v>
      </c>
      <c r="C33" s="54"/>
      <c r="D33" s="54"/>
      <c r="E33" s="54"/>
      <c r="F33" s="54"/>
      <c r="G33" s="54"/>
      <c r="H33" s="54"/>
      <c r="AI33" s="47" t="s">
        <v>69</v>
      </c>
      <c r="AJ33" s="50" t="s">
        <v>8</v>
      </c>
    </row>
    <row r="34" spans="1:36" s="43" customFormat="1" ht="15.75" customHeight="1">
      <c r="A34" s="47" t="s">
        <v>18</v>
      </c>
      <c r="B34" s="55" t="s">
        <v>70</v>
      </c>
      <c r="C34" s="49">
        <f>+C8/C3</f>
        <v>16.877700000000001</v>
      </c>
      <c r="D34" s="49">
        <f t="shared" ref="D34:E34" si="10">+D8/D3</f>
        <v>16.877700000000001</v>
      </c>
      <c r="E34" s="49">
        <f t="shared" si="10"/>
        <v>16.877700000000001</v>
      </c>
      <c r="F34" s="49">
        <f t="shared" ref="F34:G34" si="11">+F8/F3</f>
        <v>16.877700000000001</v>
      </c>
      <c r="G34" s="49">
        <f t="shared" si="11"/>
        <v>16.877700000000001</v>
      </c>
      <c r="H34" s="49">
        <f>+H8/H3</f>
        <v>16.877700000000001</v>
      </c>
      <c r="AI34" s="47" t="s">
        <v>66</v>
      </c>
      <c r="AJ34" s="47" t="s">
        <v>70</v>
      </c>
    </row>
    <row r="35" spans="1:36" s="43" customFormat="1" ht="15.75" customHeight="1">
      <c r="A35" s="47" t="s">
        <v>20</v>
      </c>
      <c r="B35" s="55" t="s">
        <v>71</v>
      </c>
      <c r="C35" s="49">
        <f>+C9/C3</f>
        <v>71.819999999999993</v>
      </c>
      <c r="D35" s="49">
        <f t="shared" ref="D35:E35" si="12">+D9/D3</f>
        <v>71.819999999999993</v>
      </c>
      <c r="E35" s="49">
        <f t="shared" si="12"/>
        <v>71.819999999999993</v>
      </c>
      <c r="F35" s="49">
        <f t="shared" ref="F35:G35" si="13">+F9/F3</f>
        <v>71.819999999999993</v>
      </c>
      <c r="G35" s="49">
        <f t="shared" si="13"/>
        <v>71.819999999999993</v>
      </c>
      <c r="H35" s="49">
        <f>+H9/H3</f>
        <v>71.819999999999993</v>
      </c>
      <c r="AI35" s="47" t="s">
        <v>23</v>
      </c>
      <c r="AJ35" s="47" t="s">
        <v>71</v>
      </c>
    </row>
    <row r="36" spans="1:36" s="43" customFormat="1" ht="15.75" customHeight="1">
      <c r="A36" s="47" t="s">
        <v>66</v>
      </c>
      <c r="B36" s="55" t="s">
        <v>72</v>
      </c>
      <c r="C36" s="49">
        <f>+C10/C3</f>
        <v>27.650700000000001</v>
      </c>
      <c r="D36" s="49">
        <f t="shared" ref="D36:E36" si="14">+D10/D3</f>
        <v>27.650700000000001</v>
      </c>
      <c r="E36" s="49">
        <f t="shared" si="14"/>
        <v>27.650700000000001</v>
      </c>
      <c r="F36" s="49">
        <f t="shared" ref="F36:G36" si="15">+F10/F3</f>
        <v>27.650700000000001</v>
      </c>
      <c r="G36" s="49">
        <f t="shared" si="15"/>
        <v>27.650700000000001</v>
      </c>
      <c r="H36" s="49">
        <f>+H10/H3</f>
        <v>27.650700000000001</v>
      </c>
      <c r="AI36" s="47" t="s">
        <v>29</v>
      </c>
      <c r="AJ36" s="47" t="s">
        <v>72</v>
      </c>
    </row>
    <row r="37" spans="1:36" s="43" customFormat="1" ht="15.75" customHeight="1">
      <c r="A37" s="47" t="s">
        <v>73</v>
      </c>
      <c r="B37" s="112" t="s">
        <v>74</v>
      </c>
      <c r="C37" s="49"/>
      <c r="D37" s="49"/>
      <c r="E37" s="49"/>
      <c r="F37" s="49"/>
      <c r="G37" s="49"/>
      <c r="H37" s="49"/>
      <c r="AI37" s="47" t="s">
        <v>73</v>
      </c>
      <c r="AJ37" s="50" t="s">
        <v>74</v>
      </c>
    </row>
    <row r="38" spans="1:36" s="43" customFormat="1">
      <c r="A38" s="47" t="s">
        <v>18</v>
      </c>
      <c r="B38" s="55" t="s">
        <v>75</v>
      </c>
      <c r="C38" s="49">
        <f>+C12/C3</f>
        <v>49.845679200398642</v>
      </c>
      <c r="D38" s="49">
        <f t="shared" ref="D38:G38" si="16">+D12/D3</f>
        <v>44.859856824386632</v>
      </c>
      <c r="E38" s="49">
        <f t="shared" si="16"/>
        <v>40.023609119655191</v>
      </c>
      <c r="F38" s="49">
        <f t="shared" si="16"/>
        <v>35.332448846065489</v>
      </c>
      <c r="G38" s="49">
        <f t="shared" si="16"/>
        <v>30.782023380683363</v>
      </c>
      <c r="H38" s="49">
        <f>+H12/H3</f>
        <v>39.093506171331143</v>
      </c>
      <c r="AI38" s="47" t="s">
        <v>18</v>
      </c>
      <c r="AJ38" s="47" t="s">
        <v>76</v>
      </c>
    </row>
    <row r="39" spans="1:36" s="43" customFormat="1" ht="15.75" customHeight="1">
      <c r="A39" s="47" t="s">
        <v>20</v>
      </c>
      <c r="B39" s="55" t="s">
        <v>77</v>
      </c>
      <c r="C39" s="107">
        <f t="shared" ref="C39:G39" si="17">+C20/C38</f>
        <v>23945.758572198451</v>
      </c>
      <c r="D39" s="107">
        <f t="shared" si="17"/>
        <v>51844.017449821615</v>
      </c>
      <c r="E39" s="107">
        <f t="shared" si="17"/>
        <v>58108.582687958151</v>
      </c>
      <c r="F39" s="107">
        <f t="shared" si="17"/>
        <v>65823.776045995299</v>
      </c>
      <c r="G39" s="107">
        <f t="shared" si="17"/>
        <v>75554.331540773739</v>
      </c>
      <c r="H39" s="177">
        <f t="shared" ref="H39" si="18">+H20/H38</f>
        <v>268496.08612740587</v>
      </c>
      <c r="AI39" s="47" t="s">
        <v>20</v>
      </c>
      <c r="AJ39" s="47" t="s">
        <v>77</v>
      </c>
    </row>
    <row r="40" spans="1:36" s="43" customFormat="1" ht="15.75" customHeight="1">
      <c r="A40" s="47" t="s">
        <v>78</v>
      </c>
      <c r="B40" s="50" t="s">
        <v>79</v>
      </c>
      <c r="C40" s="54"/>
      <c r="D40" s="54"/>
      <c r="E40" s="54"/>
      <c r="F40" s="54"/>
      <c r="G40" s="54"/>
      <c r="H40" s="54"/>
      <c r="AI40" s="47" t="s">
        <v>78</v>
      </c>
      <c r="AJ40" s="50" t="s">
        <v>79</v>
      </c>
    </row>
    <row r="41" spans="1:36" s="43" customFormat="1" ht="15.75" customHeight="1">
      <c r="A41" s="47" t="s">
        <v>18</v>
      </c>
      <c r="B41" s="47" t="s">
        <v>80</v>
      </c>
      <c r="C41" s="54">
        <f>+C14/C3</f>
        <v>47.615899999999996</v>
      </c>
      <c r="D41" s="54">
        <f t="shared" ref="D41:E41" si="19">+D14/D3</f>
        <v>46.371399999999994</v>
      </c>
      <c r="E41" s="54">
        <f t="shared" si="19"/>
        <v>46.371399999999994</v>
      </c>
      <c r="F41" s="54">
        <f t="shared" ref="F41:G41" si="20">+F14/F3</f>
        <v>46.371399999999994</v>
      </c>
      <c r="G41" s="54">
        <f t="shared" si="20"/>
        <v>46.371399999999994</v>
      </c>
      <c r="H41" s="54">
        <f>+H14/H3</f>
        <v>46.509677777777775</v>
      </c>
      <c r="AI41" s="47" t="s">
        <v>18</v>
      </c>
      <c r="AJ41" s="47" t="s">
        <v>80</v>
      </c>
    </row>
    <row r="42" spans="1:36" s="43" customFormat="1" ht="15.75" customHeight="1">
      <c r="A42" s="47" t="s">
        <v>20</v>
      </c>
      <c r="B42" s="47" t="s">
        <v>81</v>
      </c>
      <c r="C42" s="54">
        <f>+C16/C3</f>
        <v>8.1395999999999997</v>
      </c>
      <c r="D42" s="54">
        <f t="shared" ref="D42:E42" si="21">+D16/D3</f>
        <v>8.1395999999999997</v>
      </c>
      <c r="E42" s="54">
        <f t="shared" si="21"/>
        <v>8.1395999999999997</v>
      </c>
      <c r="F42" s="54">
        <f t="shared" ref="F42:G42" si="22">+F16/F3</f>
        <v>8.1395999999999997</v>
      </c>
      <c r="G42" s="54">
        <f t="shared" si="22"/>
        <v>8.1395999999999997</v>
      </c>
      <c r="H42" s="54">
        <f>+H16/H3</f>
        <v>8.1395999999999997</v>
      </c>
      <c r="AI42" s="47" t="s">
        <v>20</v>
      </c>
      <c r="AJ42" s="47" t="s">
        <v>81</v>
      </c>
    </row>
    <row r="43" spans="1:36" s="43" customFormat="1" ht="15.75" customHeight="1">
      <c r="A43" s="47" t="s">
        <v>66</v>
      </c>
      <c r="B43" s="47" t="s">
        <v>82</v>
      </c>
      <c r="C43" s="54">
        <f>+C17/C3</f>
        <v>32.319000000000003</v>
      </c>
      <c r="D43" s="54">
        <f t="shared" ref="D43:E43" si="23">+D17/D3</f>
        <v>32.319000000000003</v>
      </c>
      <c r="E43" s="54">
        <f t="shared" si="23"/>
        <v>32.319000000000003</v>
      </c>
      <c r="F43" s="54">
        <f t="shared" ref="F43:G43" si="24">+F17/F3</f>
        <v>32.319000000000003</v>
      </c>
      <c r="G43" s="54">
        <f t="shared" si="24"/>
        <v>32.319000000000003</v>
      </c>
      <c r="H43" s="54">
        <f>+H17/H3</f>
        <v>32.319000000000003</v>
      </c>
      <c r="AI43" s="47" t="s">
        <v>66</v>
      </c>
      <c r="AJ43" s="47" t="s">
        <v>82</v>
      </c>
    </row>
    <row r="44" spans="1:36" s="43" customFormat="1" ht="15.75" customHeight="1">
      <c r="A44" s="47" t="s">
        <v>23</v>
      </c>
      <c r="B44" s="47" t="s">
        <v>83</v>
      </c>
      <c r="C44" s="54"/>
      <c r="D44" s="54"/>
      <c r="E44" s="54"/>
      <c r="F44" s="54"/>
      <c r="G44" s="54"/>
      <c r="H44" s="54"/>
      <c r="AI44" s="47" t="s">
        <v>23</v>
      </c>
      <c r="AJ44" s="47" t="s">
        <v>84</v>
      </c>
    </row>
    <row r="45" spans="1:36" s="43" customFormat="1" ht="15.75" customHeight="1">
      <c r="A45" s="47" t="s">
        <v>26</v>
      </c>
      <c r="B45" s="47" t="s">
        <v>85</v>
      </c>
      <c r="C45" s="54"/>
      <c r="D45" s="54"/>
      <c r="E45" s="54"/>
      <c r="F45" s="54"/>
      <c r="G45" s="54"/>
      <c r="H45" s="54"/>
      <c r="AI45" s="47" t="s">
        <v>26</v>
      </c>
      <c r="AJ45" s="47" t="s">
        <v>85</v>
      </c>
    </row>
    <row r="46" spans="1:36" s="43" customFormat="1" ht="15.75" customHeight="1">
      <c r="A46" s="47" t="s">
        <v>86</v>
      </c>
      <c r="B46" s="50" t="s">
        <v>87</v>
      </c>
      <c r="C46" s="54"/>
      <c r="D46" s="54"/>
      <c r="E46" s="54"/>
      <c r="F46" s="54"/>
      <c r="G46" s="54"/>
      <c r="H46" s="54"/>
      <c r="AI46" s="47" t="s">
        <v>86</v>
      </c>
      <c r="AJ46" s="50" t="s">
        <v>87</v>
      </c>
    </row>
    <row r="47" spans="1:36" s="43" customFormat="1" ht="15.75" customHeight="1">
      <c r="A47" s="47" t="s">
        <v>18</v>
      </c>
      <c r="B47" s="47" t="s">
        <v>88</v>
      </c>
      <c r="C47" s="124">
        <f>+(C10+C16)/C6</f>
        <v>2.9899999999999999E-2</v>
      </c>
      <c r="D47" s="124">
        <f t="shared" ref="D47:E47" si="25">+(D10+D16)/D6</f>
        <v>3.0824742268041237E-2</v>
      </c>
      <c r="E47" s="124">
        <f t="shared" si="25"/>
        <v>3.1778084812413641E-2</v>
      </c>
      <c r="F47" s="124">
        <f t="shared" ref="F47:G47" si="26">+(F10+F16)/F6</f>
        <v>3.2760912177746022E-2</v>
      </c>
      <c r="G47" s="124">
        <f t="shared" si="26"/>
        <v>3.3774136265717555E-2</v>
      </c>
      <c r="H47" s="124">
        <f>+(H10+H16)/H6</f>
        <v>3.1968232315774399E-2</v>
      </c>
      <c r="AI47" s="47" t="s">
        <v>18</v>
      </c>
      <c r="AJ47" s="47" t="s">
        <v>88</v>
      </c>
    </row>
    <row r="48" spans="1:36" s="43" customFormat="1" ht="15.75" customHeight="1">
      <c r="A48" s="47" t="s">
        <v>20</v>
      </c>
      <c r="B48" s="47" t="s">
        <v>89</v>
      </c>
      <c r="C48" s="124">
        <f>+(C8+C9+C14)/C6</f>
        <v>0.11387936507936508</v>
      </c>
      <c r="D48" s="124">
        <f t="shared" ref="D48:E48" si="27">+(D8+D9+D14)/D6</f>
        <v>0.1163295696285387</v>
      </c>
      <c r="E48" s="124">
        <f t="shared" si="27"/>
        <v>0.1199273913696275</v>
      </c>
      <c r="F48" s="124">
        <f t="shared" ref="F48:G48" si="28">+(F8+F9+F14)/F6</f>
        <v>0.12363648594806961</v>
      </c>
      <c r="G48" s="124">
        <f t="shared" si="28"/>
        <v>0.12746029479182436</v>
      </c>
      <c r="H48" s="124">
        <f>+(H8+H9+H14)/H6</f>
        <v>0.12076850050451304</v>
      </c>
      <c r="AI48" s="47" t="s">
        <v>20</v>
      </c>
      <c r="AJ48" s="47" t="s">
        <v>89</v>
      </c>
    </row>
    <row r="49" spans="1:36" s="43" customFormat="1" ht="15.75" customHeight="1">
      <c r="A49" s="47" t="s">
        <v>66</v>
      </c>
      <c r="B49" s="47" t="s">
        <v>90</v>
      </c>
      <c r="C49" s="124">
        <f>+C17/C6</f>
        <v>2.7E-2</v>
      </c>
      <c r="D49" s="124">
        <f t="shared" ref="D49:E49" si="29">+D17/D6</f>
        <v>2.7835051546391754E-2</v>
      </c>
      <c r="E49" s="124">
        <f t="shared" si="29"/>
        <v>2.8695929429269844E-2</v>
      </c>
      <c r="F49" s="124">
        <f t="shared" ref="F49:G49" si="30">+F17/F6</f>
        <v>2.9583432401309121E-2</v>
      </c>
      <c r="G49" s="124">
        <f t="shared" si="30"/>
        <v>3.0498383918875386E-2</v>
      </c>
      <c r="H49" s="124">
        <f>+H17/H6</f>
        <v>2.8867634532639089E-2</v>
      </c>
      <c r="AI49" s="47" t="s">
        <v>66</v>
      </c>
      <c r="AJ49" s="47" t="s">
        <v>90</v>
      </c>
    </row>
    <row r="50" spans="1:36" s="43" customFormat="1" ht="15.75" customHeight="1">
      <c r="A50" s="47" t="s">
        <v>23</v>
      </c>
      <c r="B50" s="47" t="s">
        <v>91</v>
      </c>
      <c r="C50" s="124">
        <f>+C18/C6</f>
        <v>3.0559732664995824E-3</v>
      </c>
      <c r="D50" s="124">
        <f t="shared" ref="D50:E50" si="31">+D18/D6</f>
        <v>1.5752439518039083E-3</v>
      </c>
      <c r="E50" s="124">
        <f t="shared" si="31"/>
        <v>1.6239628369112454E-3</v>
      </c>
      <c r="F50" s="124">
        <f t="shared" ref="F50:G50" si="32">+F18/F6</f>
        <v>1.674188491661078E-3</v>
      </c>
      <c r="G50" s="124">
        <f t="shared" si="32"/>
        <v>1.7259675171763693E-3</v>
      </c>
      <c r="H50" s="124">
        <f>+H18/H6</f>
        <v>1.8151999876301486E-3</v>
      </c>
      <c r="AI50" s="47" t="s">
        <v>23</v>
      </c>
      <c r="AJ50" s="47" t="s">
        <v>91</v>
      </c>
    </row>
    <row r="51" spans="1:36" s="43" customFormat="1" ht="15.75" customHeight="1">
      <c r="A51" s="47" t="s">
        <v>26</v>
      </c>
      <c r="B51" s="47" t="s">
        <v>92</v>
      </c>
      <c r="C51" s="124">
        <f>+C19/C6</f>
        <v>2.3079999999999996E-2</v>
      </c>
      <c r="D51" s="124">
        <f t="shared" ref="D51:E51" si="33">+D19/D6</f>
        <v>2.3793814432989689E-2</v>
      </c>
      <c r="E51" s="124">
        <f t="shared" si="33"/>
        <v>2.4529705601020295E-2</v>
      </c>
      <c r="F51" s="124">
        <f t="shared" ref="F51:G51" si="34">+F19/F6</f>
        <v>2.5288356289711645E-2</v>
      </c>
      <c r="G51" s="124">
        <f t="shared" si="34"/>
        <v>2.6070470401764585E-2</v>
      </c>
      <c r="H51" s="124">
        <f>+H19/H6</f>
        <v>2.4676481667159637E-2</v>
      </c>
      <c r="AI51" s="47" t="s">
        <v>26</v>
      </c>
      <c r="AJ51" s="47" t="s">
        <v>92</v>
      </c>
    </row>
    <row r="52" spans="1:36" s="43" customFormat="1" ht="15.75" customHeight="1">
      <c r="A52" s="47" t="s">
        <v>29</v>
      </c>
      <c r="B52" s="47" t="s">
        <v>93</v>
      </c>
      <c r="C52" s="124">
        <f>+C23/C6</f>
        <v>-5.8073166916960184E-2</v>
      </c>
      <c r="D52" s="124">
        <f t="shared" ref="D52:E52" si="35">+D23/D6</f>
        <v>-6.1516250398860856E-2</v>
      </c>
      <c r="E52" s="124">
        <f t="shared" si="35"/>
        <v>-6.7712902620337981E-2</v>
      </c>
      <c r="F52" s="124">
        <f t="shared" ref="F52:G52" si="36">+F23/F6</f>
        <v>-7.4101203879592958E-2</v>
      </c>
      <c r="G52" s="124">
        <f t="shared" si="36"/>
        <v>-8.0687081466453869E-2</v>
      </c>
      <c r="H52" s="124">
        <f>+H23/H6</f>
        <v>-6.9253877578811809E-2</v>
      </c>
      <c r="AI52" s="47" t="s">
        <v>29</v>
      </c>
      <c r="AJ52" s="47" t="s">
        <v>94</v>
      </c>
    </row>
    <row r="53" spans="1:36" s="43" customFormat="1" ht="15.75" customHeight="1">
      <c r="A53" s="47" t="s">
        <v>95</v>
      </c>
      <c r="B53" s="50" t="s">
        <v>96</v>
      </c>
      <c r="C53" s="54">
        <f>+C21/C3</f>
        <v>-69.513580799601343</v>
      </c>
      <c r="D53" s="54">
        <f t="shared" ref="D53:E53" si="37">+D21/D3</f>
        <v>-71.425903175613357</v>
      </c>
      <c r="E53" s="54">
        <f t="shared" si="37"/>
        <v>-76.262150880344791</v>
      </c>
      <c r="F53" s="54">
        <f t="shared" ref="F53:G53" si="38">+F21/F3</f>
        <v>-80.953311153934507</v>
      </c>
      <c r="G53" s="54">
        <f t="shared" si="38"/>
        <v>-85.503736619316626</v>
      </c>
      <c r="H53" s="54">
        <f>+H21/H3</f>
        <v>-77.533753828668836</v>
      </c>
      <c r="AI53" s="47" t="s">
        <v>95</v>
      </c>
      <c r="AJ53" s="50" t="s">
        <v>96</v>
      </c>
    </row>
    <row r="54" spans="1:36" s="43" customFormat="1" ht="15.75" customHeight="1">
      <c r="A54" s="47" t="s">
        <v>97</v>
      </c>
      <c r="B54" s="125" t="s">
        <v>98</v>
      </c>
      <c r="C54" s="54"/>
      <c r="D54" s="54"/>
      <c r="E54" s="54"/>
      <c r="F54" s="54"/>
      <c r="G54" s="54"/>
      <c r="H54" s="54"/>
      <c r="AI54" s="47"/>
      <c r="AJ54" s="50"/>
    </row>
    <row r="55" spans="1:36" s="43" customFormat="1" ht="15.75" customHeight="1">
      <c r="A55" s="47" t="s">
        <v>18</v>
      </c>
      <c r="B55" s="47" t="s">
        <v>99</v>
      </c>
      <c r="C55" s="54">
        <f>C56+C57</f>
        <v>313900</v>
      </c>
      <c r="D55" s="54"/>
      <c r="E55" s="54"/>
      <c r="F55" s="54"/>
      <c r="G55" s="54"/>
      <c r="H55" s="54"/>
    </row>
    <row r="56" spans="1:36" s="43" customFormat="1" ht="15.75" customHeight="1">
      <c r="A56" s="47">
        <v>1.1000000000000001</v>
      </c>
      <c r="B56" s="126" t="s">
        <v>100</v>
      </c>
      <c r="C56" s="54">
        <f>项目投资!B27</f>
        <v>182900</v>
      </c>
      <c r="D56" s="54"/>
      <c r="E56" s="54"/>
      <c r="F56" s="54"/>
      <c r="G56" s="54"/>
      <c r="H56" s="54"/>
    </row>
    <row r="57" spans="1:36" s="43" customFormat="1" ht="15.75" customHeight="1">
      <c r="A57" s="47">
        <v>1.2</v>
      </c>
      <c r="B57" s="47" t="s">
        <v>101</v>
      </c>
      <c r="C57" s="54">
        <f>项目投资!B26</f>
        <v>131000</v>
      </c>
      <c r="D57" s="54"/>
      <c r="E57" s="54"/>
      <c r="F57" s="54"/>
      <c r="G57" s="54"/>
      <c r="H57" s="54"/>
    </row>
    <row r="58" spans="1:36" ht="15.75" customHeight="1">
      <c r="A58" s="113" t="s">
        <v>20</v>
      </c>
      <c r="B58" s="113" t="s">
        <v>102</v>
      </c>
      <c r="C58" s="127">
        <f>C59+C60</f>
        <v>-670245.80799601343</v>
      </c>
      <c r="D58" s="127">
        <f t="shared" ref="D58:G58" si="39">D59+D60</f>
        <v>-1403628.0635122671</v>
      </c>
      <c r="E58" s="127">
        <f t="shared" si="39"/>
        <v>-1500353.0176068959</v>
      </c>
      <c r="F58" s="127">
        <f t="shared" si="39"/>
        <v>-1594176.22307869</v>
      </c>
      <c r="G58" s="127">
        <f t="shared" si="39"/>
        <v>-1685184.7323863325</v>
      </c>
      <c r="H58" s="127">
        <f t="shared" ref="H58" si="40">H59+H60</f>
        <v>-6853587.8445801958</v>
      </c>
    </row>
    <row r="59" spans="1:36" ht="15.75" customHeight="1">
      <c r="A59" s="113" t="s">
        <v>66</v>
      </c>
      <c r="B59" s="113" t="s">
        <v>103</v>
      </c>
      <c r="C59" s="127">
        <f t="shared" ref="C59:G59" si="41">C23</f>
        <v>-695135.80799601343</v>
      </c>
      <c r="D59" s="127">
        <f t="shared" si="41"/>
        <v>-1428518.0635122671</v>
      </c>
      <c r="E59" s="127">
        <f t="shared" si="41"/>
        <v>-1525243.0176068959</v>
      </c>
      <c r="F59" s="127">
        <f t="shared" si="41"/>
        <v>-1619066.22307869</v>
      </c>
      <c r="G59" s="127">
        <f t="shared" si="41"/>
        <v>-1710074.7323863325</v>
      </c>
      <c r="H59" s="127">
        <f t="shared" ref="H59" si="42">H23</f>
        <v>-6978037.8445801958</v>
      </c>
    </row>
    <row r="60" spans="1:36" ht="15.75" customHeight="1">
      <c r="A60" s="113" t="s">
        <v>23</v>
      </c>
      <c r="B60" s="113" t="s">
        <v>104</v>
      </c>
      <c r="C60" s="127">
        <f>'2023年'!G18</f>
        <v>24890</v>
      </c>
      <c r="D60" s="127">
        <f>'2024年'!G18</f>
        <v>24890</v>
      </c>
      <c r="E60" s="127">
        <f>'2025年'!G18</f>
        <v>24890</v>
      </c>
      <c r="F60" s="127">
        <f>'2026年'!G18</f>
        <v>24890</v>
      </c>
      <c r="G60" s="127">
        <f>'2027年'!G18</f>
        <v>24890</v>
      </c>
      <c r="H60" s="127">
        <f>项目投资!I26</f>
        <v>124450</v>
      </c>
    </row>
    <row r="61" spans="1:36" ht="15.75" customHeight="1">
      <c r="A61" s="113" t="s">
        <v>26</v>
      </c>
      <c r="B61" s="113" t="s">
        <v>105</v>
      </c>
      <c r="C61" s="128"/>
      <c r="D61" s="128"/>
      <c r="E61" s="128"/>
      <c r="F61" s="128"/>
      <c r="G61" s="128"/>
      <c r="H61" s="127"/>
    </row>
    <row r="63" spans="1:36">
      <c r="B63" s="179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7" customWidth="1"/>
    <col min="2" max="2" width="28.5" style="67" customWidth="1"/>
    <col min="3" max="4" width="9.125" style="67"/>
    <col min="5" max="5" width="13.875" style="67" customWidth="1"/>
    <col min="6" max="12" width="16.125" style="67" customWidth="1"/>
    <col min="13" max="13" width="10.625" style="67" customWidth="1"/>
    <col min="14" max="254" width="9.125" style="67"/>
    <col min="255" max="255" width="8" style="67" customWidth="1"/>
    <col min="256" max="256" width="28.5" style="67" customWidth="1"/>
    <col min="257" max="268" width="9.125" style="67"/>
    <col min="269" max="269" width="10.625" style="67" customWidth="1"/>
    <col min="270" max="510" width="9.125" style="67"/>
    <col min="511" max="511" width="8" style="67" customWidth="1"/>
    <col min="512" max="512" width="28.5" style="67" customWidth="1"/>
    <col min="513" max="524" width="9.125" style="67"/>
    <col min="525" max="525" width="10.625" style="67" customWidth="1"/>
    <col min="526" max="766" width="9.125" style="67"/>
    <col min="767" max="767" width="8" style="67" customWidth="1"/>
    <col min="768" max="768" width="28.5" style="67" customWidth="1"/>
    <col min="769" max="780" width="9.125" style="67"/>
    <col min="781" max="781" width="10.625" style="67" customWidth="1"/>
    <col min="782" max="1022" width="9.125" style="67"/>
    <col min="1023" max="1023" width="8" style="67" customWidth="1"/>
    <col min="1024" max="1024" width="28.5" style="67" customWidth="1"/>
    <col min="1025" max="1036" width="9.125" style="67"/>
    <col min="1037" max="1037" width="10.625" style="67" customWidth="1"/>
    <col min="1038" max="1278" width="9.125" style="67"/>
    <col min="1279" max="1279" width="8" style="67" customWidth="1"/>
    <col min="1280" max="1280" width="28.5" style="67" customWidth="1"/>
    <col min="1281" max="1292" width="9.125" style="67"/>
    <col min="1293" max="1293" width="10.625" style="67" customWidth="1"/>
    <col min="1294" max="1534" width="9.125" style="67"/>
    <col min="1535" max="1535" width="8" style="67" customWidth="1"/>
    <col min="1536" max="1536" width="28.5" style="67" customWidth="1"/>
    <col min="1537" max="1548" width="9.125" style="67"/>
    <col min="1549" max="1549" width="10.625" style="67" customWidth="1"/>
    <col min="1550" max="1790" width="9.125" style="67"/>
    <col min="1791" max="1791" width="8" style="67" customWidth="1"/>
    <col min="1792" max="1792" width="28.5" style="67" customWidth="1"/>
    <col min="1793" max="1804" width="9.125" style="67"/>
    <col min="1805" max="1805" width="10.625" style="67" customWidth="1"/>
    <col min="1806" max="2046" width="9.125" style="67"/>
    <col min="2047" max="2047" width="8" style="67" customWidth="1"/>
    <col min="2048" max="2048" width="28.5" style="67" customWidth="1"/>
    <col min="2049" max="2060" width="9.125" style="67"/>
    <col min="2061" max="2061" width="10.625" style="67" customWidth="1"/>
    <col min="2062" max="2302" width="9.125" style="67"/>
    <col min="2303" max="2303" width="8" style="67" customWidth="1"/>
    <col min="2304" max="2304" width="28.5" style="67" customWidth="1"/>
    <col min="2305" max="2316" width="9.125" style="67"/>
    <col min="2317" max="2317" width="10.625" style="67" customWidth="1"/>
    <col min="2318" max="2558" width="9.125" style="67"/>
    <col min="2559" max="2559" width="8" style="67" customWidth="1"/>
    <col min="2560" max="2560" width="28.5" style="67" customWidth="1"/>
    <col min="2561" max="2572" width="9.125" style="67"/>
    <col min="2573" max="2573" width="10.625" style="67" customWidth="1"/>
    <col min="2574" max="2814" width="9.125" style="67"/>
    <col min="2815" max="2815" width="8" style="67" customWidth="1"/>
    <col min="2816" max="2816" width="28.5" style="67" customWidth="1"/>
    <col min="2817" max="2828" width="9.125" style="67"/>
    <col min="2829" max="2829" width="10.625" style="67" customWidth="1"/>
    <col min="2830" max="3070" width="9.125" style="67"/>
    <col min="3071" max="3071" width="8" style="67" customWidth="1"/>
    <col min="3072" max="3072" width="28.5" style="67" customWidth="1"/>
    <col min="3073" max="3084" width="9.125" style="67"/>
    <col min="3085" max="3085" width="10.625" style="67" customWidth="1"/>
    <col min="3086" max="3326" width="9.125" style="67"/>
    <col min="3327" max="3327" width="8" style="67" customWidth="1"/>
    <col min="3328" max="3328" width="28.5" style="67" customWidth="1"/>
    <col min="3329" max="3340" width="9.125" style="67"/>
    <col min="3341" max="3341" width="10.625" style="67" customWidth="1"/>
    <col min="3342" max="3582" width="9.125" style="67"/>
    <col min="3583" max="3583" width="8" style="67" customWidth="1"/>
    <col min="3584" max="3584" width="28.5" style="67" customWidth="1"/>
    <col min="3585" max="3596" width="9.125" style="67"/>
    <col min="3597" max="3597" width="10.625" style="67" customWidth="1"/>
    <col min="3598" max="3838" width="9.125" style="67"/>
    <col min="3839" max="3839" width="8" style="67" customWidth="1"/>
    <col min="3840" max="3840" width="28.5" style="67" customWidth="1"/>
    <col min="3841" max="3852" width="9.125" style="67"/>
    <col min="3853" max="3853" width="10.625" style="67" customWidth="1"/>
    <col min="3854" max="4094" width="9.125" style="67"/>
    <col min="4095" max="4095" width="8" style="67" customWidth="1"/>
    <col min="4096" max="4096" width="28.5" style="67" customWidth="1"/>
    <col min="4097" max="4108" width="9.125" style="67"/>
    <col min="4109" max="4109" width="10.625" style="67" customWidth="1"/>
    <col min="4110" max="4350" width="9.125" style="67"/>
    <col min="4351" max="4351" width="8" style="67" customWidth="1"/>
    <col min="4352" max="4352" width="28.5" style="67" customWidth="1"/>
    <col min="4353" max="4364" width="9.125" style="67"/>
    <col min="4365" max="4365" width="10.625" style="67" customWidth="1"/>
    <col min="4366" max="4606" width="9.125" style="67"/>
    <col min="4607" max="4607" width="8" style="67" customWidth="1"/>
    <col min="4608" max="4608" width="28.5" style="67" customWidth="1"/>
    <col min="4609" max="4620" width="9.125" style="67"/>
    <col min="4621" max="4621" width="10.625" style="67" customWidth="1"/>
    <col min="4622" max="4862" width="9.125" style="67"/>
    <col min="4863" max="4863" width="8" style="67" customWidth="1"/>
    <col min="4864" max="4864" width="28.5" style="67" customWidth="1"/>
    <col min="4865" max="4876" width="9.125" style="67"/>
    <col min="4877" max="4877" width="10.625" style="67" customWidth="1"/>
    <col min="4878" max="5118" width="9.125" style="67"/>
    <col min="5119" max="5119" width="8" style="67" customWidth="1"/>
    <col min="5120" max="5120" width="28.5" style="67" customWidth="1"/>
    <col min="5121" max="5132" width="9.125" style="67"/>
    <col min="5133" max="5133" width="10.625" style="67" customWidth="1"/>
    <col min="5134" max="5374" width="9.125" style="67"/>
    <col min="5375" max="5375" width="8" style="67" customWidth="1"/>
    <col min="5376" max="5376" width="28.5" style="67" customWidth="1"/>
    <col min="5377" max="5388" width="9.125" style="67"/>
    <col min="5389" max="5389" width="10.625" style="67" customWidth="1"/>
    <col min="5390" max="5630" width="9.125" style="67"/>
    <col min="5631" max="5631" width="8" style="67" customWidth="1"/>
    <col min="5632" max="5632" width="28.5" style="67" customWidth="1"/>
    <col min="5633" max="5644" width="9.125" style="67"/>
    <col min="5645" max="5645" width="10.625" style="67" customWidth="1"/>
    <col min="5646" max="5886" width="9.125" style="67"/>
    <col min="5887" max="5887" width="8" style="67" customWidth="1"/>
    <col min="5888" max="5888" width="28.5" style="67" customWidth="1"/>
    <col min="5889" max="5900" width="9.125" style="67"/>
    <col min="5901" max="5901" width="10.625" style="67" customWidth="1"/>
    <col min="5902" max="6142" width="9.125" style="67"/>
    <col min="6143" max="6143" width="8" style="67" customWidth="1"/>
    <col min="6144" max="6144" width="28.5" style="67" customWidth="1"/>
    <col min="6145" max="6156" width="9.125" style="67"/>
    <col min="6157" max="6157" width="10.625" style="67" customWidth="1"/>
    <col min="6158" max="6398" width="9.125" style="67"/>
    <col min="6399" max="6399" width="8" style="67" customWidth="1"/>
    <col min="6400" max="6400" width="28.5" style="67" customWidth="1"/>
    <col min="6401" max="6412" width="9.125" style="67"/>
    <col min="6413" max="6413" width="10.625" style="67" customWidth="1"/>
    <col min="6414" max="6654" width="9.125" style="67"/>
    <col min="6655" max="6655" width="8" style="67" customWidth="1"/>
    <col min="6656" max="6656" width="28.5" style="67" customWidth="1"/>
    <col min="6657" max="6668" width="9.125" style="67"/>
    <col min="6669" max="6669" width="10.625" style="67" customWidth="1"/>
    <col min="6670" max="6910" width="9.125" style="67"/>
    <col min="6911" max="6911" width="8" style="67" customWidth="1"/>
    <col min="6912" max="6912" width="28.5" style="67" customWidth="1"/>
    <col min="6913" max="6924" width="9.125" style="67"/>
    <col min="6925" max="6925" width="10.625" style="67" customWidth="1"/>
    <col min="6926" max="7166" width="9.125" style="67"/>
    <col min="7167" max="7167" width="8" style="67" customWidth="1"/>
    <col min="7168" max="7168" width="28.5" style="67" customWidth="1"/>
    <col min="7169" max="7180" width="9.125" style="67"/>
    <col min="7181" max="7181" width="10.625" style="67" customWidth="1"/>
    <col min="7182" max="7422" width="9.125" style="67"/>
    <col min="7423" max="7423" width="8" style="67" customWidth="1"/>
    <col min="7424" max="7424" width="28.5" style="67" customWidth="1"/>
    <col min="7425" max="7436" width="9.125" style="67"/>
    <col min="7437" max="7437" width="10.625" style="67" customWidth="1"/>
    <col min="7438" max="7678" width="9.125" style="67"/>
    <col min="7679" max="7679" width="8" style="67" customWidth="1"/>
    <col min="7680" max="7680" width="28.5" style="67" customWidth="1"/>
    <col min="7681" max="7692" width="9.125" style="67"/>
    <col min="7693" max="7693" width="10.625" style="67" customWidth="1"/>
    <col min="7694" max="7934" width="9.125" style="67"/>
    <col min="7935" max="7935" width="8" style="67" customWidth="1"/>
    <col min="7936" max="7936" width="28.5" style="67" customWidth="1"/>
    <col min="7937" max="7948" width="9.125" style="67"/>
    <col min="7949" max="7949" width="10.625" style="67" customWidth="1"/>
    <col min="7950" max="8190" width="9.125" style="67"/>
    <col min="8191" max="8191" width="8" style="67" customWidth="1"/>
    <col min="8192" max="8192" width="28.5" style="67" customWidth="1"/>
    <col min="8193" max="8204" width="9.125" style="67"/>
    <col min="8205" max="8205" width="10.625" style="67" customWidth="1"/>
    <col min="8206" max="8446" width="9.125" style="67"/>
    <col min="8447" max="8447" width="8" style="67" customWidth="1"/>
    <col min="8448" max="8448" width="28.5" style="67" customWidth="1"/>
    <col min="8449" max="8460" width="9.125" style="67"/>
    <col min="8461" max="8461" width="10.625" style="67" customWidth="1"/>
    <col min="8462" max="8702" width="9.125" style="67"/>
    <col min="8703" max="8703" width="8" style="67" customWidth="1"/>
    <col min="8704" max="8704" width="28.5" style="67" customWidth="1"/>
    <col min="8705" max="8716" width="9.125" style="67"/>
    <col min="8717" max="8717" width="10.625" style="67" customWidth="1"/>
    <col min="8718" max="8958" width="9.125" style="67"/>
    <col min="8959" max="8959" width="8" style="67" customWidth="1"/>
    <col min="8960" max="8960" width="28.5" style="67" customWidth="1"/>
    <col min="8961" max="8972" width="9.125" style="67"/>
    <col min="8973" max="8973" width="10.625" style="67" customWidth="1"/>
    <col min="8974" max="9214" width="9.125" style="67"/>
    <col min="9215" max="9215" width="8" style="67" customWidth="1"/>
    <col min="9216" max="9216" width="28.5" style="67" customWidth="1"/>
    <col min="9217" max="9228" width="9.125" style="67"/>
    <col min="9229" max="9229" width="10.625" style="67" customWidth="1"/>
    <col min="9230" max="9470" width="9.125" style="67"/>
    <col min="9471" max="9471" width="8" style="67" customWidth="1"/>
    <col min="9472" max="9472" width="28.5" style="67" customWidth="1"/>
    <col min="9473" max="9484" width="9.125" style="67"/>
    <col min="9485" max="9485" width="10.625" style="67" customWidth="1"/>
    <col min="9486" max="9726" width="9.125" style="67"/>
    <col min="9727" max="9727" width="8" style="67" customWidth="1"/>
    <col min="9728" max="9728" width="28.5" style="67" customWidth="1"/>
    <col min="9729" max="9740" width="9.125" style="67"/>
    <col min="9741" max="9741" width="10.625" style="67" customWidth="1"/>
    <col min="9742" max="9982" width="9.125" style="67"/>
    <col min="9983" max="9983" width="8" style="67" customWidth="1"/>
    <col min="9984" max="9984" width="28.5" style="67" customWidth="1"/>
    <col min="9985" max="9996" width="9.125" style="67"/>
    <col min="9997" max="9997" width="10.625" style="67" customWidth="1"/>
    <col min="9998" max="10238" width="9.125" style="67"/>
    <col min="10239" max="10239" width="8" style="67" customWidth="1"/>
    <col min="10240" max="10240" width="28.5" style="67" customWidth="1"/>
    <col min="10241" max="10252" width="9.125" style="67"/>
    <col min="10253" max="10253" width="10.625" style="67" customWidth="1"/>
    <col min="10254" max="10494" width="9.125" style="67"/>
    <col min="10495" max="10495" width="8" style="67" customWidth="1"/>
    <col min="10496" max="10496" width="28.5" style="67" customWidth="1"/>
    <col min="10497" max="10508" width="9.125" style="67"/>
    <col min="10509" max="10509" width="10.625" style="67" customWidth="1"/>
    <col min="10510" max="10750" width="9.125" style="67"/>
    <col min="10751" max="10751" width="8" style="67" customWidth="1"/>
    <col min="10752" max="10752" width="28.5" style="67" customWidth="1"/>
    <col min="10753" max="10764" width="9.125" style="67"/>
    <col min="10765" max="10765" width="10.625" style="67" customWidth="1"/>
    <col min="10766" max="11006" width="9.125" style="67"/>
    <col min="11007" max="11007" width="8" style="67" customWidth="1"/>
    <col min="11008" max="11008" width="28.5" style="67" customWidth="1"/>
    <col min="11009" max="11020" width="9.125" style="67"/>
    <col min="11021" max="11021" width="10.625" style="67" customWidth="1"/>
    <col min="11022" max="11262" width="9.125" style="67"/>
    <col min="11263" max="11263" width="8" style="67" customWidth="1"/>
    <col min="11264" max="11264" width="28.5" style="67" customWidth="1"/>
    <col min="11265" max="11276" width="9.125" style="67"/>
    <col min="11277" max="11277" width="10.625" style="67" customWidth="1"/>
    <col min="11278" max="11518" width="9.125" style="67"/>
    <col min="11519" max="11519" width="8" style="67" customWidth="1"/>
    <col min="11520" max="11520" width="28.5" style="67" customWidth="1"/>
    <col min="11521" max="11532" width="9.125" style="67"/>
    <col min="11533" max="11533" width="10.625" style="67" customWidth="1"/>
    <col min="11534" max="11774" width="9.125" style="67"/>
    <col min="11775" max="11775" width="8" style="67" customWidth="1"/>
    <col min="11776" max="11776" width="28.5" style="67" customWidth="1"/>
    <col min="11777" max="11788" width="9.125" style="67"/>
    <col min="11789" max="11789" width="10.625" style="67" customWidth="1"/>
    <col min="11790" max="12030" width="9.125" style="67"/>
    <col min="12031" max="12031" width="8" style="67" customWidth="1"/>
    <col min="12032" max="12032" width="28.5" style="67" customWidth="1"/>
    <col min="12033" max="12044" width="9.125" style="67"/>
    <col min="12045" max="12045" width="10.625" style="67" customWidth="1"/>
    <col min="12046" max="12286" width="9.125" style="67"/>
    <col min="12287" max="12287" width="8" style="67" customWidth="1"/>
    <col min="12288" max="12288" width="28.5" style="67" customWidth="1"/>
    <col min="12289" max="12300" width="9.125" style="67"/>
    <col min="12301" max="12301" width="10.625" style="67" customWidth="1"/>
    <col min="12302" max="12542" width="9.125" style="67"/>
    <col min="12543" max="12543" width="8" style="67" customWidth="1"/>
    <col min="12544" max="12544" width="28.5" style="67" customWidth="1"/>
    <col min="12545" max="12556" width="9.125" style="67"/>
    <col min="12557" max="12557" width="10.625" style="67" customWidth="1"/>
    <col min="12558" max="12798" width="9.125" style="67"/>
    <col min="12799" max="12799" width="8" style="67" customWidth="1"/>
    <col min="12800" max="12800" width="28.5" style="67" customWidth="1"/>
    <col min="12801" max="12812" width="9.125" style="67"/>
    <col min="12813" max="12813" width="10.625" style="67" customWidth="1"/>
    <col min="12814" max="13054" width="9.125" style="67"/>
    <col min="13055" max="13055" width="8" style="67" customWidth="1"/>
    <col min="13056" max="13056" width="28.5" style="67" customWidth="1"/>
    <col min="13057" max="13068" width="9.125" style="67"/>
    <col min="13069" max="13069" width="10.625" style="67" customWidth="1"/>
    <col min="13070" max="13310" width="9.125" style="67"/>
    <col min="13311" max="13311" width="8" style="67" customWidth="1"/>
    <col min="13312" max="13312" width="28.5" style="67" customWidth="1"/>
    <col min="13313" max="13324" width="9.125" style="67"/>
    <col min="13325" max="13325" width="10.625" style="67" customWidth="1"/>
    <col min="13326" max="13566" width="9.125" style="67"/>
    <col min="13567" max="13567" width="8" style="67" customWidth="1"/>
    <col min="13568" max="13568" width="28.5" style="67" customWidth="1"/>
    <col min="13569" max="13580" width="9.125" style="67"/>
    <col min="13581" max="13581" width="10.625" style="67" customWidth="1"/>
    <col min="13582" max="13822" width="9.125" style="67"/>
    <col min="13823" max="13823" width="8" style="67" customWidth="1"/>
    <col min="13824" max="13824" width="28.5" style="67" customWidth="1"/>
    <col min="13825" max="13836" width="9.125" style="67"/>
    <col min="13837" max="13837" width="10.625" style="67" customWidth="1"/>
    <col min="13838" max="14078" width="9.125" style="67"/>
    <col min="14079" max="14079" width="8" style="67" customWidth="1"/>
    <col min="14080" max="14080" width="28.5" style="67" customWidth="1"/>
    <col min="14081" max="14092" width="9.125" style="67"/>
    <col min="14093" max="14093" width="10.625" style="67" customWidth="1"/>
    <col min="14094" max="14334" width="9.125" style="67"/>
    <col min="14335" max="14335" width="8" style="67" customWidth="1"/>
    <col min="14336" max="14336" width="28.5" style="67" customWidth="1"/>
    <col min="14337" max="14348" width="9.125" style="67"/>
    <col min="14349" max="14349" width="10.625" style="67" customWidth="1"/>
    <col min="14350" max="14590" width="9.125" style="67"/>
    <col min="14591" max="14591" width="8" style="67" customWidth="1"/>
    <col min="14592" max="14592" width="28.5" style="67" customWidth="1"/>
    <col min="14593" max="14604" width="9.125" style="67"/>
    <col min="14605" max="14605" width="10.625" style="67" customWidth="1"/>
    <col min="14606" max="14846" width="9.125" style="67"/>
    <col min="14847" max="14847" width="8" style="67" customWidth="1"/>
    <col min="14848" max="14848" width="28.5" style="67" customWidth="1"/>
    <col min="14849" max="14860" width="9.125" style="67"/>
    <col min="14861" max="14861" width="10.625" style="67" customWidth="1"/>
    <col min="14862" max="15102" width="9.125" style="67"/>
    <col min="15103" max="15103" width="8" style="67" customWidth="1"/>
    <col min="15104" max="15104" width="28.5" style="67" customWidth="1"/>
    <col min="15105" max="15116" width="9.125" style="67"/>
    <col min="15117" max="15117" width="10.625" style="67" customWidth="1"/>
    <col min="15118" max="15358" width="9.125" style="67"/>
    <col min="15359" max="15359" width="8" style="67" customWidth="1"/>
    <col min="15360" max="15360" width="28.5" style="67" customWidth="1"/>
    <col min="15361" max="15372" width="9.125" style="67"/>
    <col min="15373" max="15373" width="10.625" style="67" customWidth="1"/>
    <col min="15374" max="15614" width="9.125" style="67"/>
    <col min="15615" max="15615" width="8" style="67" customWidth="1"/>
    <col min="15616" max="15616" width="28.5" style="67" customWidth="1"/>
    <col min="15617" max="15628" width="9.125" style="67"/>
    <col min="15629" max="15629" width="10.625" style="67" customWidth="1"/>
    <col min="15630" max="15870" width="9.125" style="67"/>
    <col min="15871" max="15871" width="8" style="67" customWidth="1"/>
    <col min="15872" max="15872" width="28.5" style="67" customWidth="1"/>
    <col min="15873" max="15884" width="9.125" style="67"/>
    <col min="15885" max="15885" width="10.625" style="67" customWidth="1"/>
    <col min="15886" max="16126" width="9.125" style="67"/>
    <col min="16127" max="16127" width="8" style="67" customWidth="1"/>
    <col min="16128" max="16128" width="28.5" style="67" customWidth="1"/>
    <col min="16129" max="16140" width="9.125" style="67"/>
    <col min="16141" max="16141" width="10.625" style="67" customWidth="1"/>
    <col min="16142" max="16384" width="9.125" style="67"/>
  </cols>
  <sheetData>
    <row r="1" spans="1:13" ht="18.75">
      <c r="A1" s="68" t="s">
        <v>106</v>
      </c>
      <c r="B1" s="69"/>
      <c r="C1" s="70"/>
      <c r="D1" s="70"/>
      <c r="E1" s="69"/>
      <c r="F1" s="70"/>
      <c r="G1" s="70"/>
      <c r="H1" s="69"/>
      <c r="I1" s="70"/>
      <c r="J1" s="70"/>
      <c r="K1" s="70"/>
      <c r="L1" s="70"/>
      <c r="M1" s="70"/>
    </row>
    <row r="2" spans="1:13" ht="12">
      <c r="A2" s="67" t="s">
        <v>107</v>
      </c>
      <c r="B2" s="71"/>
    </row>
    <row r="3" spans="1:13" ht="16.899999999999999" customHeight="1">
      <c r="A3" s="72" t="s">
        <v>13</v>
      </c>
      <c r="B3" s="72" t="s">
        <v>108</v>
      </c>
      <c r="C3" s="236" t="s">
        <v>109</v>
      </c>
      <c r="D3" s="236"/>
      <c r="E3" s="236"/>
      <c r="F3" s="74"/>
      <c r="G3" s="75"/>
      <c r="H3" s="76"/>
      <c r="I3" s="76"/>
      <c r="J3" s="76" t="s">
        <v>110</v>
      </c>
      <c r="K3" s="76"/>
      <c r="L3" s="76"/>
      <c r="M3" s="97"/>
    </row>
    <row r="4" spans="1:13" ht="16.149999999999999" customHeight="1">
      <c r="A4" s="77"/>
      <c r="B4" s="77" t="s">
        <v>111</v>
      </c>
      <c r="C4" s="73">
        <v>2017</v>
      </c>
      <c r="D4" s="73">
        <f t="shared" ref="D4:L4" si="0">C4+1</f>
        <v>2018</v>
      </c>
      <c r="E4" s="73">
        <f t="shared" si="0"/>
        <v>2019</v>
      </c>
      <c r="F4" s="73">
        <f t="shared" si="0"/>
        <v>2020</v>
      </c>
      <c r="G4" s="73">
        <f t="shared" si="0"/>
        <v>2021</v>
      </c>
      <c r="H4" s="78">
        <f t="shared" si="0"/>
        <v>2022</v>
      </c>
      <c r="I4" s="78">
        <f t="shared" si="0"/>
        <v>2023</v>
      </c>
      <c r="J4" s="78">
        <f t="shared" si="0"/>
        <v>2024</v>
      </c>
      <c r="K4" s="78">
        <f t="shared" si="0"/>
        <v>2025</v>
      </c>
      <c r="L4" s="78">
        <f t="shared" si="0"/>
        <v>2026</v>
      </c>
      <c r="M4" s="98" t="s">
        <v>112</v>
      </c>
    </row>
    <row r="5" spans="1:13" ht="15.6" customHeight="1">
      <c r="A5" s="79">
        <v>1</v>
      </c>
      <c r="B5" s="80" t="s">
        <v>113</v>
      </c>
      <c r="C5" s="81">
        <f>SUM(C6:C9)</f>
        <v>0</v>
      </c>
      <c r="D5" s="81">
        <f t="shared" ref="D5:L5" si="1">SUM(D6:D9)</f>
        <v>0</v>
      </c>
      <c r="E5" s="81" t="e">
        <f t="shared" si="1"/>
        <v>#REF!</v>
      </c>
      <c r="F5" s="81">
        <f t="shared" si="1"/>
        <v>11970000</v>
      </c>
      <c r="G5" s="81">
        <f t="shared" si="1"/>
        <v>23940000</v>
      </c>
      <c r="H5" s="81">
        <f t="shared" si="1"/>
        <v>23940000</v>
      </c>
      <c r="I5" s="81" t="e">
        <f t="shared" si="1"/>
        <v>#REF!</v>
      </c>
      <c r="J5" s="81" t="e">
        <f t="shared" si="1"/>
        <v>#REF!</v>
      </c>
      <c r="K5" s="81" t="e">
        <f t="shared" si="1"/>
        <v>#REF!</v>
      </c>
      <c r="L5" s="81">
        <f t="shared" si="1"/>
        <v>107730000</v>
      </c>
      <c r="M5" s="85" t="e">
        <f t="shared" ref="M5:M17" si="2">SUM(C5:L5)</f>
        <v>#REF!</v>
      </c>
    </row>
    <row r="6" spans="1:13" ht="15.6" customHeight="1">
      <c r="A6" s="79">
        <v>1.1000000000000001</v>
      </c>
      <c r="B6" s="82" t="s">
        <v>114</v>
      </c>
      <c r="C6" s="83"/>
      <c r="D6" s="83"/>
      <c r="E6" s="83" t="e">
        <f>损益表!#REF!</f>
        <v>#REF!</v>
      </c>
      <c r="F6" s="83">
        <f>损益表!C4</f>
        <v>11970000</v>
      </c>
      <c r="G6" s="83">
        <f>损益表!D4</f>
        <v>23940000</v>
      </c>
      <c r="H6" s="83">
        <f>损益表!E4</f>
        <v>23940000</v>
      </c>
      <c r="I6" s="83" t="e">
        <f>损益表!#REF!</f>
        <v>#REF!</v>
      </c>
      <c r="J6" s="83" t="e">
        <f>损益表!#REF!</f>
        <v>#REF!</v>
      </c>
      <c r="K6" s="83" t="e">
        <f>损益表!#REF!</f>
        <v>#REF!</v>
      </c>
      <c r="L6" s="83">
        <f>损益表!H4</f>
        <v>107730000</v>
      </c>
      <c r="M6" s="85" t="e">
        <f t="shared" si="2"/>
        <v>#REF!</v>
      </c>
    </row>
    <row r="7" spans="1:13" ht="15.6" customHeight="1">
      <c r="A7" s="79">
        <v>1.2</v>
      </c>
      <c r="B7" s="82" t="s">
        <v>115</v>
      </c>
      <c r="C7" s="83"/>
      <c r="D7" s="83"/>
      <c r="E7" s="83">
        <f>[1]折、摊!G18</f>
        <v>0</v>
      </c>
      <c r="F7" s="83">
        <f>[1]折、摊!H18</f>
        <v>0</v>
      </c>
      <c r="G7" s="83">
        <f>[1]折、摊!I18</f>
        <v>0</v>
      </c>
      <c r="H7" s="83">
        <f>[1]折、摊!J18</f>
        <v>0</v>
      </c>
      <c r="I7" s="83">
        <f>[1]折、摊!K18</f>
        <v>0</v>
      </c>
      <c r="J7" s="83">
        <f>[1]折、摊!L18</f>
        <v>0</v>
      </c>
      <c r="K7" s="83">
        <f>[1]折、摊!M18</f>
        <v>0</v>
      </c>
      <c r="L7" s="83">
        <f>[1]折、摊!N18</f>
        <v>0</v>
      </c>
      <c r="M7" s="85">
        <f t="shared" si="2"/>
        <v>0</v>
      </c>
    </row>
    <row r="8" spans="1:13" ht="15.6" customHeight="1">
      <c r="A8" s="79">
        <v>1.3</v>
      </c>
      <c r="B8" s="82" t="s">
        <v>116</v>
      </c>
      <c r="C8" s="83" t="s">
        <v>117</v>
      </c>
      <c r="D8" s="83" t="s">
        <v>117</v>
      </c>
      <c r="E8" s="83" t="s">
        <v>117</v>
      </c>
      <c r="F8" s="83" t="s">
        <v>117</v>
      </c>
      <c r="G8" s="83" t="s">
        <v>117</v>
      </c>
      <c r="H8" s="83" t="s">
        <v>117</v>
      </c>
      <c r="I8" s="83" t="s">
        <v>117</v>
      </c>
      <c r="J8" s="83" t="s">
        <v>117</v>
      </c>
      <c r="K8" s="83" t="s">
        <v>117</v>
      </c>
      <c r="L8" s="83"/>
      <c r="M8" s="85">
        <f t="shared" si="2"/>
        <v>0</v>
      </c>
    </row>
    <row r="9" spans="1:13" s="66" customFormat="1" ht="15.6" customHeight="1">
      <c r="A9" s="84">
        <v>1.4</v>
      </c>
      <c r="B9" s="85" t="s">
        <v>118</v>
      </c>
      <c r="C9" s="83" t="s">
        <v>117</v>
      </c>
      <c r="D9" s="83" t="s">
        <v>117</v>
      </c>
      <c r="E9" s="83" t="s">
        <v>117</v>
      </c>
      <c r="F9" s="83" t="s">
        <v>117</v>
      </c>
      <c r="G9" s="83" t="s">
        <v>117</v>
      </c>
      <c r="H9" s="83" t="s">
        <v>117</v>
      </c>
      <c r="I9" s="83" t="s">
        <v>117</v>
      </c>
      <c r="J9" s="83" t="s">
        <v>117</v>
      </c>
      <c r="K9" s="83" t="s">
        <v>117</v>
      </c>
      <c r="L9" s="83" t="s">
        <v>117</v>
      </c>
      <c r="M9" s="85">
        <f t="shared" si="2"/>
        <v>0</v>
      </c>
    </row>
    <row r="10" spans="1:13" ht="15.6" customHeight="1">
      <c r="A10" s="84">
        <v>2</v>
      </c>
      <c r="B10" s="80" t="s">
        <v>119</v>
      </c>
      <c r="C10" s="81">
        <f t="shared" ref="C10:L10" si="3">SUM(C11:C16)</f>
        <v>0</v>
      </c>
      <c r="D10" s="81">
        <f t="shared" si="3"/>
        <v>0</v>
      </c>
      <c r="E10" s="81">
        <f t="shared" si="3"/>
        <v>0</v>
      </c>
      <c r="F10" s="81">
        <f t="shared" si="3"/>
        <v>0</v>
      </c>
      <c r="G10" s="81">
        <f t="shared" si="3"/>
        <v>0</v>
      </c>
      <c r="H10" s="81">
        <f t="shared" si="3"/>
        <v>0</v>
      </c>
      <c r="I10" s="81">
        <f t="shared" si="3"/>
        <v>0</v>
      </c>
      <c r="J10" s="81">
        <f t="shared" si="3"/>
        <v>0</v>
      </c>
      <c r="K10" s="81">
        <f t="shared" si="3"/>
        <v>0</v>
      </c>
      <c r="L10" s="81">
        <f t="shared" si="3"/>
        <v>0</v>
      </c>
      <c r="M10" s="85">
        <f t="shared" si="2"/>
        <v>0</v>
      </c>
    </row>
    <row r="11" spans="1:13" ht="15" customHeight="1">
      <c r="A11" s="79">
        <v>2.1</v>
      </c>
      <c r="B11" s="79" t="s">
        <v>120</v>
      </c>
      <c r="C11" s="83">
        <f>([1]计划!C6-[1]计划!C7)</f>
        <v>0</v>
      </c>
      <c r="D11" s="83">
        <f>([1]计划!D6-[1]计划!D7)</f>
        <v>0</v>
      </c>
      <c r="E11" s="83">
        <f>([1]计划!E6-[1]计划!E7)</f>
        <v>0</v>
      </c>
      <c r="F11" s="83">
        <f>([1]计划!F6-[1]计划!F7)</f>
        <v>0</v>
      </c>
      <c r="G11" s="83">
        <f>([1]计划!G6-[1]计划!G7)</f>
        <v>0</v>
      </c>
      <c r="H11" s="83">
        <f>([1]计划!H6-[1]计划!H7)</f>
        <v>0</v>
      </c>
      <c r="I11" s="83">
        <f>([1]计划!I6-[1]计划!I7)</f>
        <v>0</v>
      </c>
      <c r="J11" s="83">
        <f>([1]计划!J6-[1]计划!J7)</f>
        <v>0</v>
      </c>
      <c r="K11" s="83">
        <f>([1]计划!K6-[1]计划!K7)</f>
        <v>0</v>
      </c>
      <c r="L11" s="83">
        <f>([1]计划!L6-[1]计划!L7)</f>
        <v>0</v>
      </c>
      <c r="M11" s="85">
        <f t="shared" si="2"/>
        <v>0</v>
      </c>
    </row>
    <row r="12" spans="1:13" s="66" customFormat="1" ht="15" customHeight="1">
      <c r="A12" s="79">
        <v>2.2000000000000002</v>
      </c>
      <c r="B12" s="85" t="s">
        <v>121</v>
      </c>
      <c r="C12" s="83">
        <f>[1]计划!C8</f>
        <v>0</v>
      </c>
      <c r="D12" s="83">
        <f>[1]计划!D8</f>
        <v>0</v>
      </c>
      <c r="E12" s="83">
        <f>[1]计划!E8</f>
        <v>0</v>
      </c>
      <c r="F12" s="83">
        <f>[1]计划!F8</f>
        <v>0</v>
      </c>
      <c r="G12" s="83">
        <f>[1]计划!G8</f>
        <v>0</v>
      </c>
      <c r="H12" s="83">
        <f>[1]计划!H8</f>
        <v>0</v>
      </c>
      <c r="I12" s="83">
        <f>[1]计划!I8</f>
        <v>0</v>
      </c>
      <c r="J12" s="83">
        <f>[1]计划!J8</f>
        <v>0</v>
      </c>
      <c r="K12" s="83">
        <f>[1]计划!K8</f>
        <v>0</v>
      </c>
      <c r="L12" s="83">
        <f>[1]计划!L8</f>
        <v>0</v>
      </c>
      <c r="M12" s="85">
        <f t="shared" si="2"/>
        <v>0</v>
      </c>
    </row>
    <row r="13" spans="1:13" ht="15" customHeight="1">
      <c r="A13" s="79">
        <v>2.2999999999999998</v>
      </c>
      <c r="B13" s="82" t="s">
        <v>122</v>
      </c>
      <c r="C13" s="83">
        <f>[1]总成本!C22</f>
        <v>0</v>
      </c>
      <c r="D13" s="83">
        <f>[1]总成本!D22</f>
        <v>0</v>
      </c>
      <c r="E13" s="83">
        <f>[1]总成本!E22</f>
        <v>0</v>
      </c>
      <c r="F13" s="83">
        <f>[1]总成本!F22</f>
        <v>0</v>
      </c>
      <c r="G13" s="83">
        <f>[1]总成本!G22</f>
        <v>0</v>
      </c>
      <c r="H13" s="83">
        <f>[1]总成本!H22</f>
        <v>0</v>
      </c>
      <c r="I13" s="83">
        <f>[1]总成本!I22</f>
        <v>0</v>
      </c>
      <c r="J13" s="83">
        <f>[1]总成本!J22</f>
        <v>0</v>
      </c>
      <c r="K13" s="83">
        <f>[1]总成本!K22</f>
        <v>0</v>
      </c>
      <c r="L13" s="83">
        <f>[1]总成本!L22</f>
        <v>0</v>
      </c>
      <c r="M13" s="85">
        <f t="shared" si="2"/>
        <v>0</v>
      </c>
    </row>
    <row r="14" spans="1:13" ht="15" customHeight="1">
      <c r="A14" s="79">
        <v>2.4</v>
      </c>
      <c r="B14" s="82" t="s">
        <v>123</v>
      </c>
      <c r="C14" s="83">
        <f>[1]价格!D15</f>
        <v>0</v>
      </c>
      <c r="D14" s="83">
        <f>[1]价格!E15</f>
        <v>0</v>
      </c>
      <c r="E14" s="83">
        <f>[1]价格!F15</f>
        <v>0</v>
      </c>
      <c r="F14" s="83">
        <f>[1]价格!G15</f>
        <v>0</v>
      </c>
      <c r="G14" s="83">
        <f>[1]价格!H15</f>
        <v>0</v>
      </c>
      <c r="H14" s="83">
        <f>[1]价格!I15</f>
        <v>0</v>
      </c>
      <c r="I14" s="83">
        <f>[1]价格!J15</f>
        <v>0</v>
      </c>
      <c r="J14" s="83">
        <f>[1]价格!K15</f>
        <v>0</v>
      </c>
      <c r="K14" s="83">
        <f>[1]价格!L15</f>
        <v>0</v>
      </c>
      <c r="L14" s="83">
        <f>[1]价格!M15</f>
        <v>0</v>
      </c>
      <c r="M14" s="85">
        <f t="shared" si="2"/>
        <v>0</v>
      </c>
    </row>
    <row r="15" spans="1:13" ht="15" customHeight="1">
      <c r="A15" s="79">
        <v>2.5</v>
      </c>
      <c r="B15" s="82" t="s">
        <v>53</v>
      </c>
      <c r="C15" s="83">
        <f>[1]利润!C13</f>
        <v>0</v>
      </c>
      <c r="D15" s="83">
        <f>[1]利润!D13</f>
        <v>0</v>
      </c>
      <c r="E15" s="83">
        <f>[1]利润!E13</f>
        <v>0</v>
      </c>
      <c r="F15" s="83">
        <f>[1]利润!F13</f>
        <v>0</v>
      </c>
      <c r="G15" s="83">
        <f>[1]利润!G13</f>
        <v>0</v>
      </c>
      <c r="H15" s="83">
        <f>[1]利润!H13</f>
        <v>0</v>
      </c>
      <c r="I15" s="83">
        <f>[1]利润!I13</f>
        <v>0</v>
      </c>
      <c r="J15" s="83">
        <f>[1]利润!J13</f>
        <v>0</v>
      </c>
      <c r="K15" s="83">
        <f>[1]利润!K13</f>
        <v>0</v>
      </c>
      <c r="L15" s="83">
        <f>[1]利润!L13</f>
        <v>0</v>
      </c>
      <c r="M15" s="85">
        <f t="shared" si="2"/>
        <v>0</v>
      </c>
    </row>
    <row r="16" spans="1:13" ht="15" customHeight="1">
      <c r="A16" s="79">
        <v>2.6</v>
      </c>
      <c r="B16" s="82" t="s">
        <v>124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>
        <f t="shared" si="2"/>
        <v>0</v>
      </c>
    </row>
    <row r="17" spans="1:18" ht="12">
      <c r="A17" s="79">
        <v>3</v>
      </c>
      <c r="B17" s="80" t="s">
        <v>125</v>
      </c>
      <c r="C17" s="81">
        <f t="shared" ref="C17:L17" si="4">C5-C10</f>
        <v>0</v>
      </c>
      <c r="D17" s="81">
        <f t="shared" si="4"/>
        <v>0</v>
      </c>
      <c r="E17" s="81" t="e">
        <f t="shared" si="4"/>
        <v>#REF!</v>
      </c>
      <c r="F17" s="81">
        <f t="shared" si="4"/>
        <v>11970000</v>
      </c>
      <c r="G17" s="81">
        <f t="shared" si="4"/>
        <v>23940000</v>
      </c>
      <c r="H17" s="81">
        <f t="shared" si="4"/>
        <v>23940000</v>
      </c>
      <c r="I17" s="81" t="e">
        <f t="shared" si="4"/>
        <v>#REF!</v>
      </c>
      <c r="J17" s="81" t="e">
        <f t="shared" si="4"/>
        <v>#REF!</v>
      </c>
      <c r="K17" s="81" t="e">
        <f t="shared" si="4"/>
        <v>#REF!</v>
      </c>
      <c r="L17" s="81">
        <f t="shared" si="4"/>
        <v>107730000</v>
      </c>
      <c r="M17" s="85" t="e">
        <f t="shared" si="2"/>
        <v>#REF!</v>
      </c>
    </row>
    <row r="18" spans="1:18" ht="12">
      <c r="A18" s="86">
        <v>4</v>
      </c>
      <c r="B18" s="82" t="s">
        <v>126</v>
      </c>
      <c r="C18" s="83">
        <f>C17</f>
        <v>0</v>
      </c>
      <c r="D18" s="83">
        <f t="shared" ref="D18:L18" si="5">C18+D17</f>
        <v>0</v>
      </c>
      <c r="E18" s="83" t="e">
        <f t="shared" si="5"/>
        <v>#REF!</v>
      </c>
      <c r="F18" s="83" t="e">
        <f t="shared" si="5"/>
        <v>#REF!</v>
      </c>
      <c r="G18" s="83" t="e">
        <f t="shared" si="5"/>
        <v>#REF!</v>
      </c>
      <c r="H18" s="83" t="e">
        <f t="shared" si="5"/>
        <v>#REF!</v>
      </c>
      <c r="I18" s="83" t="e">
        <f t="shared" si="5"/>
        <v>#REF!</v>
      </c>
      <c r="J18" s="83" t="e">
        <f t="shared" si="5"/>
        <v>#REF!</v>
      </c>
      <c r="K18" s="83" t="e">
        <f t="shared" si="5"/>
        <v>#REF!</v>
      </c>
      <c r="L18" s="83" t="e">
        <f t="shared" si="5"/>
        <v>#REF!</v>
      </c>
      <c r="M18" s="82" t="s">
        <v>117</v>
      </c>
    </row>
    <row r="19" spans="1:18" s="66" customFormat="1" ht="12">
      <c r="A19" s="86">
        <v>5</v>
      </c>
      <c r="B19" s="82" t="s">
        <v>127</v>
      </c>
      <c r="C19" s="83">
        <f t="shared" ref="C19:L19" si="6">C17+C15</f>
        <v>0</v>
      </c>
      <c r="D19" s="83">
        <f t="shared" si="6"/>
        <v>0</v>
      </c>
      <c r="E19" s="83" t="e">
        <f t="shared" si="6"/>
        <v>#REF!</v>
      </c>
      <c r="F19" s="83">
        <f t="shared" si="6"/>
        <v>11970000</v>
      </c>
      <c r="G19" s="83">
        <f t="shared" si="6"/>
        <v>23940000</v>
      </c>
      <c r="H19" s="83">
        <f t="shared" si="6"/>
        <v>23940000</v>
      </c>
      <c r="I19" s="83" t="e">
        <f t="shared" si="6"/>
        <v>#REF!</v>
      </c>
      <c r="J19" s="83" t="e">
        <f t="shared" si="6"/>
        <v>#REF!</v>
      </c>
      <c r="K19" s="83" t="e">
        <f t="shared" si="6"/>
        <v>#REF!</v>
      </c>
      <c r="L19" s="83">
        <f t="shared" si="6"/>
        <v>107730000</v>
      </c>
      <c r="M19" s="85" t="e">
        <f>SUM(C19:L19)</f>
        <v>#REF!</v>
      </c>
    </row>
    <row r="20" spans="1:18" s="66" customFormat="1" ht="12">
      <c r="A20" s="79">
        <v>6</v>
      </c>
      <c r="B20" s="82" t="s">
        <v>128</v>
      </c>
      <c r="C20" s="83">
        <f>C19</f>
        <v>0</v>
      </c>
      <c r="D20" s="83">
        <f t="shared" ref="D20:L20" si="7">C20+D19</f>
        <v>0</v>
      </c>
      <c r="E20" s="83" t="e">
        <f t="shared" si="7"/>
        <v>#REF!</v>
      </c>
      <c r="F20" s="83" t="e">
        <f t="shared" si="7"/>
        <v>#REF!</v>
      </c>
      <c r="G20" s="83" t="e">
        <f t="shared" si="7"/>
        <v>#REF!</v>
      </c>
      <c r="H20" s="83" t="e">
        <f t="shared" si="7"/>
        <v>#REF!</v>
      </c>
      <c r="I20" s="83" t="e">
        <f t="shared" si="7"/>
        <v>#REF!</v>
      </c>
      <c r="J20" s="83" t="e">
        <f t="shared" si="7"/>
        <v>#REF!</v>
      </c>
      <c r="K20" s="83" t="e">
        <f t="shared" si="7"/>
        <v>#REF!</v>
      </c>
      <c r="L20" s="83" t="e">
        <f t="shared" si="7"/>
        <v>#REF!</v>
      </c>
      <c r="M20" s="82" t="s">
        <v>117</v>
      </c>
    </row>
    <row r="21" spans="1:18" ht="12">
      <c r="A21" s="87"/>
      <c r="B21" s="88" t="s">
        <v>129</v>
      </c>
      <c r="C21" s="88"/>
      <c r="D21" s="88"/>
      <c r="E21" s="88" t="s">
        <v>130</v>
      </c>
      <c r="F21" s="88"/>
      <c r="G21" s="88"/>
      <c r="H21" s="88"/>
      <c r="I21" s="88" t="s">
        <v>131</v>
      </c>
      <c r="J21" s="88"/>
      <c r="K21" s="88"/>
      <c r="L21" s="88"/>
      <c r="M21" s="99"/>
    </row>
    <row r="22" spans="1:18" ht="12">
      <c r="A22" s="89"/>
      <c r="B22" s="90" t="s">
        <v>132</v>
      </c>
      <c r="C22" s="90"/>
      <c r="D22" s="91" t="s">
        <v>133</v>
      </c>
      <c r="E22" s="92" t="e">
        <f>IRR(C17:L17,0.15)</f>
        <v>#VALUE!</v>
      </c>
      <c r="F22" s="90"/>
      <c r="G22" s="90"/>
      <c r="H22" s="90"/>
      <c r="I22" s="92" t="e">
        <f>IRR(C19:L19,0.15)</f>
        <v>#VALUE!</v>
      </c>
      <c r="J22" s="90"/>
      <c r="K22" s="90"/>
      <c r="L22" s="90"/>
      <c r="M22" s="100"/>
    </row>
    <row r="23" spans="1:18" ht="12">
      <c r="A23" s="89"/>
      <c r="B23" s="90" t="s">
        <v>134</v>
      </c>
      <c r="C23" s="90"/>
      <c r="D23" s="90"/>
      <c r="E23" s="93" t="e">
        <f>NPV(0.12,C17:L17)</f>
        <v>#REF!</v>
      </c>
      <c r="F23" s="90"/>
      <c r="G23" s="90"/>
      <c r="H23" s="90"/>
      <c r="I23" s="93" t="e">
        <f>NPV(0.12,C19:L19)</f>
        <v>#REF!</v>
      </c>
      <c r="J23" s="90"/>
      <c r="K23" s="90"/>
      <c r="L23" s="90"/>
      <c r="M23" s="100"/>
      <c r="R23" s="67">
        <f>30.9-29.82</f>
        <v>1.0799999999999983</v>
      </c>
    </row>
    <row r="24" spans="1:18" ht="12">
      <c r="A24" s="94"/>
      <c r="B24" s="95" t="s">
        <v>135</v>
      </c>
      <c r="C24" s="95"/>
      <c r="D24" s="95"/>
      <c r="E24" s="96" t="e">
        <f>6-H18/I17</f>
        <v>#REF!</v>
      </c>
      <c r="F24" s="95"/>
      <c r="G24" s="95"/>
      <c r="H24" s="95"/>
      <c r="I24" s="96" t="e">
        <f>6-H20/I19</f>
        <v>#REF!</v>
      </c>
      <c r="J24" s="95"/>
      <c r="K24" s="95"/>
      <c r="L24" s="95"/>
      <c r="M24" s="101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35" activePane="bottomRight" state="frozen"/>
      <selection pane="topRight"/>
      <selection pane="bottomLeft"/>
      <selection pane="bottomRight" activeCell="C37" sqref="C37"/>
    </sheetView>
  </sheetViews>
  <sheetFormatPr defaultColWidth="9" defaultRowHeight="16.5"/>
  <cols>
    <col min="1" max="1" width="5.125" style="43" customWidth="1"/>
    <col min="2" max="2" width="17.5" style="43" customWidth="1"/>
    <col min="3" max="4" width="13.25" style="44" customWidth="1"/>
    <col min="5" max="5" width="12.875" style="44" bestFit="1" customWidth="1"/>
    <col min="6" max="6" width="12.875" style="44" customWidth="1"/>
    <col min="7" max="7" width="18.75" style="44" customWidth="1"/>
    <col min="8" max="8" width="12.375" style="43" customWidth="1"/>
    <col min="9" max="9" width="10.125" style="43" customWidth="1"/>
    <col min="10" max="16" width="9" style="43" customWidth="1"/>
    <col min="17" max="33" width="9" style="43"/>
    <col min="34" max="34" width="4.375" style="43" customWidth="1"/>
    <col min="35" max="35" width="13.875" style="43" customWidth="1"/>
    <col min="36" max="16384" width="9" style="43"/>
  </cols>
  <sheetData>
    <row r="1" spans="1:36">
      <c r="A1" s="237" t="s">
        <v>136</v>
      </c>
      <c r="B1" s="237"/>
      <c r="C1" s="241" t="s">
        <v>251</v>
      </c>
      <c r="D1" s="242"/>
      <c r="E1" s="242"/>
      <c r="F1" s="242"/>
      <c r="G1" s="243"/>
    </row>
    <row r="2" spans="1:36">
      <c r="A2" s="237" t="s">
        <v>137</v>
      </c>
      <c r="B2" s="237"/>
      <c r="C2" s="244" t="s">
        <v>226</v>
      </c>
      <c r="D2" s="244"/>
      <c r="E2" s="244"/>
      <c r="F2" s="244"/>
      <c r="G2" s="244"/>
    </row>
    <row r="3" spans="1:36">
      <c r="A3" s="237" t="s">
        <v>138</v>
      </c>
      <c r="B3" s="237"/>
      <c r="C3" s="153" t="str">
        <f>销量!C5</f>
        <v>前座总成</v>
      </c>
      <c r="D3" s="153" t="str">
        <f>销量!D5</f>
        <v>驾驶员总成</v>
      </c>
      <c r="E3" s="153">
        <f>销量!E5</f>
        <v>0</v>
      </c>
      <c r="F3" s="153">
        <f>销量!F5</f>
        <v>0</v>
      </c>
      <c r="G3" s="238" t="s">
        <v>14</v>
      </c>
    </row>
    <row r="4" spans="1:36" ht="39" customHeight="1">
      <c r="A4" s="237" t="s">
        <v>139</v>
      </c>
      <c r="B4" s="237"/>
      <c r="C4" s="153" t="str">
        <f>销量!C6</f>
        <v>6900010GH13-C00/A</v>
      </c>
      <c r="D4" s="153" t="str">
        <f>销量!D6</f>
        <v>6800010PH13-C00/A</v>
      </c>
      <c r="E4" s="153">
        <f>销量!E6</f>
        <v>0</v>
      </c>
      <c r="F4" s="153">
        <f>销量!F6</f>
        <v>0</v>
      </c>
      <c r="G4" s="239"/>
    </row>
    <row r="5" spans="1:36">
      <c r="A5" s="237" t="s">
        <v>140</v>
      </c>
      <c r="B5" s="237"/>
      <c r="C5" s="46"/>
      <c r="D5" s="46"/>
      <c r="E5" s="46"/>
      <c r="F5" s="183"/>
      <c r="G5" s="240"/>
      <c r="AJ5" s="43" t="s">
        <v>15</v>
      </c>
    </row>
    <row r="6" spans="1:36" ht="17.25">
      <c r="A6" s="47" t="s">
        <v>13</v>
      </c>
      <c r="B6" s="48" t="s">
        <v>141</v>
      </c>
      <c r="C6" s="20">
        <f>销量!C9</f>
        <v>5000</v>
      </c>
      <c r="D6" s="20">
        <f>销量!D9</f>
        <v>5000</v>
      </c>
      <c r="E6" s="20">
        <f>销量!E9</f>
        <v>0</v>
      </c>
      <c r="F6" s="20">
        <f>销量!F9</f>
        <v>0</v>
      </c>
      <c r="G6" s="49">
        <f t="shared" ref="G6:G15" si="0">SUM(C6:F6)</f>
        <v>10000</v>
      </c>
      <c r="R6" s="48" t="s">
        <v>3</v>
      </c>
      <c r="AH6" s="47" t="s">
        <v>13</v>
      </c>
      <c r="AI6" s="48" t="s">
        <v>3</v>
      </c>
      <c r="AJ6" s="43" t="s">
        <v>16</v>
      </c>
    </row>
    <row r="7" spans="1:36">
      <c r="A7" s="45">
        <v>1</v>
      </c>
      <c r="B7" s="48" t="s">
        <v>17</v>
      </c>
      <c r="C7" s="49">
        <f>C6*销量!C8</f>
        <v>3750000</v>
      </c>
      <c r="D7" s="49">
        <f>D6*销量!D8</f>
        <v>8220000</v>
      </c>
      <c r="E7" s="49">
        <f>E6*销量!E8</f>
        <v>0</v>
      </c>
      <c r="F7" s="49">
        <f>F6*销量!F8</f>
        <v>0</v>
      </c>
      <c r="G7" s="49">
        <f t="shared" si="0"/>
        <v>11970000</v>
      </c>
      <c r="H7" s="44"/>
      <c r="R7" s="48" t="s">
        <v>17</v>
      </c>
      <c r="AH7" s="47" t="s">
        <v>18</v>
      </c>
      <c r="AI7" s="48" t="s">
        <v>17</v>
      </c>
      <c r="AJ7" s="43" t="s">
        <v>16</v>
      </c>
    </row>
    <row r="8" spans="1:36">
      <c r="A8" s="45">
        <v>2</v>
      </c>
      <c r="B8" s="45" t="s">
        <v>19</v>
      </c>
      <c r="C8" s="49"/>
      <c r="D8" s="49"/>
      <c r="E8" s="49"/>
      <c r="F8" s="49"/>
      <c r="G8" s="49">
        <f t="shared" si="0"/>
        <v>0</v>
      </c>
      <c r="H8" s="63"/>
      <c r="R8" s="45" t="s">
        <v>21</v>
      </c>
      <c r="AH8" s="47" t="s">
        <v>20</v>
      </c>
      <c r="AI8" s="45" t="s">
        <v>21</v>
      </c>
      <c r="AJ8" s="43" t="s">
        <v>16</v>
      </c>
    </row>
    <row r="9" spans="1:36">
      <c r="A9" s="45">
        <v>3</v>
      </c>
      <c r="B9" s="48" t="s">
        <v>22</v>
      </c>
      <c r="C9" s="49">
        <f>+C7-C8</f>
        <v>3750000</v>
      </c>
      <c r="D9" s="49">
        <f t="shared" ref="D9:E9" si="1">+D7-D8</f>
        <v>8220000</v>
      </c>
      <c r="E9" s="49">
        <f t="shared" si="1"/>
        <v>0</v>
      </c>
      <c r="F9" s="49">
        <f>+F7-F8</f>
        <v>0</v>
      </c>
      <c r="G9" s="49">
        <f t="shared" si="0"/>
        <v>11970000</v>
      </c>
      <c r="R9" s="48" t="s">
        <v>22</v>
      </c>
      <c r="AH9" s="47" t="s">
        <v>23</v>
      </c>
      <c r="AI9" s="48" t="s">
        <v>22</v>
      </c>
      <c r="AJ9" s="43" t="s">
        <v>24</v>
      </c>
    </row>
    <row r="10" spans="1:36">
      <c r="A10" s="45">
        <v>4</v>
      </c>
      <c r="B10" s="47" t="s">
        <v>25</v>
      </c>
      <c r="C10" s="49">
        <f>C6*材料成本!E40</f>
        <v>3070000</v>
      </c>
      <c r="D10" s="49">
        <f>D6*材料成本!E41</f>
        <v>7238059.2079960136</v>
      </c>
      <c r="E10" s="49">
        <f>E6*材料成本!E42</f>
        <v>0</v>
      </c>
      <c r="F10" s="49">
        <f>F6*材料成本!E43</f>
        <v>0</v>
      </c>
      <c r="G10" s="49">
        <f t="shared" si="0"/>
        <v>10308059.207996015</v>
      </c>
      <c r="R10" s="47" t="s">
        <v>25</v>
      </c>
      <c r="AH10" s="47" t="s">
        <v>26</v>
      </c>
      <c r="AI10" s="47" t="s">
        <v>25</v>
      </c>
      <c r="AJ10" s="43" t="s">
        <v>27</v>
      </c>
    </row>
    <row r="11" spans="1:36">
      <c r="A11" s="45">
        <v>5</v>
      </c>
      <c r="B11" s="47" t="s">
        <v>28</v>
      </c>
      <c r="C11" s="49">
        <f>+C6*C36</f>
        <v>52875</v>
      </c>
      <c r="D11" s="49">
        <f t="shared" ref="D11:E11" si="2">+D6*D36</f>
        <v>115902</v>
      </c>
      <c r="E11" s="49">
        <f t="shared" si="2"/>
        <v>0</v>
      </c>
      <c r="F11" s="49">
        <f>+F6*F36</f>
        <v>0</v>
      </c>
      <c r="G11" s="49">
        <f t="shared" si="0"/>
        <v>168777</v>
      </c>
      <c r="R11" s="47" t="s">
        <v>28</v>
      </c>
      <c r="AH11" s="47" t="s">
        <v>29</v>
      </c>
      <c r="AI11" s="47" t="s">
        <v>28</v>
      </c>
    </row>
    <row r="12" spans="1:36">
      <c r="A12" s="45">
        <v>6</v>
      </c>
      <c r="B12" s="47" t="s">
        <v>30</v>
      </c>
      <c r="C12" s="49">
        <f>+C6*C37</f>
        <v>225000</v>
      </c>
      <c r="D12" s="49">
        <f t="shared" ref="D12:E12" si="3">+D6*D37</f>
        <v>493200</v>
      </c>
      <c r="E12" s="49">
        <f t="shared" si="3"/>
        <v>0</v>
      </c>
      <c r="F12" s="49">
        <f>+F6*F37</f>
        <v>0</v>
      </c>
      <c r="G12" s="49">
        <f t="shared" si="0"/>
        <v>718200</v>
      </c>
      <c r="R12" s="47" t="s">
        <v>30</v>
      </c>
      <c r="AH12" s="47" t="s">
        <v>31</v>
      </c>
      <c r="AI12" s="47" t="s">
        <v>30</v>
      </c>
    </row>
    <row r="13" spans="1:36">
      <c r="A13" s="45">
        <v>7</v>
      </c>
      <c r="B13" s="47" t="s">
        <v>32</v>
      </c>
      <c r="C13" s="49">
        <f>+C6*C38</f>
        <v>86625</v>
      </c>
      <c r="D13" s="49">
        <f t="shared" ref="D13:E13" si="4">+D6*D38</f>
        <v>189882</v>
      </c>
      <c r="E13" s="49">
        <f t="shared" si="4"/>
        <v>0</v>
      </c>
      <c r="F13" s="49">
        <f>+F6*F38</f>
        <v>0</v>
      </c>
      <c r="G13" s="49">
        <f t="shared" si="0"/>
        <v>276507</v>
      </c>
      <c r="R13" s="47" t="s">
        <v>32</v>
      </c>
      <c r="AH13" s="47" t="s">
        <v>33</v>
      </c>
      <c r="AI13" s="47" t="s">
        <v>32</v>
      </c>
      <c r="AJ13" s="43" t="s">
        <v>16</v>
      </c>
    </row>
    <row r="14" spans="1:36">
      <c r="A14" s="45">
        <v>8</v>
      </c>
      <c r="B14" s="50" t="s">
        <v>34</v>
      </c>
      <c r="C14" s="49">
        <f>SUM(C11:C13)</f>
        <v>364500</v>
      </c>
      <c r="D14" s="49">
        <f t="shared" ref="D14:E14" si="5">SUM(D11:D13)</f>
        <v>798984</v>
      </c>
      <c r="E14" s="49">
        <f t="shared" si="5"/>
        <v>0</v>
      </c>
      <c r="F14" s="49">
        <f>SUM(F11:F13)</f>
        <v>0</v>
      </c>
      <c r="G14" s="49">
        <f t="shared" si="0"/>
        <v>1163484</v>
      </c>
      <c r="R14" s="50" t="s">
        <v>34</v>
      </c>
      <c r="AH14" s="47" t="s">
        <v>35</v>
      </c>
      <c r="AI14" s="50" t="s">
        <v>34</v>
      </c>
    </row>
    <row r="15" spans="1:36">
      <c r="A15" s="45">
        <v>9</v>
      </c>
      <c r="B15" s="50" t="s">
        <v>36</v>
      </c>
      <c r="C15" s="49">
        <f>+C9-C10-C14</f>
        <v>315500</v>
      </c>
      <c r="D15" s="49">
        <f t="shared" ref="D15:E15" si="6">+D9-D10-D14</f>
        <v>182956.79200398643</v>
      </c>
      <c r="E15" s="49">
        <f t="shared" si="6"/>
        <v>0</v>
      </c>
      <c r="F15" s="49">
        <f>+F9-F10-F14</f>
        <v>0</v>
      </c>
      <c r="G15" s="49">
        <f t="shared" si="0"/>
        <v>498456.79200398643</v>
      </c>
      <c r="R15" s="50" t="s">
        <v>36</v>
      </c>
      <c r="AH15" s="47" t="s">
        <v>37</v>
      </c>
      <c r="AI15" s="50" t="s">
        <v>36</v>
      </c>
    </row>
    <row r="16" spans="1:36">
      <c r="A16" s="45">
        <v>10</v>
      </c>
      <c r="B16" s="47" t="s">
        <v>38</v>
      </c>
      <c r="C16" s="51">
        <f>+C15/C9</f>
        <v>8.4133333333333338E-2</v>
      </c>
      <c r="D16" s="51">
        <f t="shared" ref="D16:E16" si="7">+D15/D9</f>
        <v>2.2257517275424139E-2</v>
      </c>
      <c r="E16" s="51" t="e">
        <f t="shared" si="7"/>
        <v>#DIV/0!</v>
      </c>
      <c r="F16" s="51" t="e">
        <f>+F15/F9</f>
        <v>#DIV/0!</v>
      </c>
      <c r="G16" s="51">
        <f t="shared" ref="G16" si="8">+G15/G9</f>
        <v>4.1642171428904466E-2</v>
      </c>
      <c r="R16" s="47" t="s">
        <v>38</v>
      </c>
      <c r="AH16" s="47" t="s">
        <v>39</v>
      </c>
      <c r="AI16" s="47" t="s">
        <v>38</v>
      </c>
    </row>
    <row r="17" spans="1:36">
      <c r="A17" s="45">
        <v>11</v>
      </c>
      <c r="B17" s="47" t="s">
        <v>40</v>
      </c>
      <c r="C17" s="49">
        <f>C6*C43+C18</f>
        <v>153820</v>
      </c>
      <c r="D17" s="49">
        <f t="shared" ref="D17:E17" si="9">D6*D43+D18</f>
        <v>322338.99999999994</v>
      </c>
      <c r="E17" s="49">
        <f t="shared" si="9"/>
        <v>0</v>
      </c>
      <c r="F17" s="49">
        <f>F6*F43+F18</f>
        <v>0</v>
      </c>
      <c r="G17" s="49">
        <f>SUM(C17:F17)</f>
        <v>476158.99999999994</v>
      </c>
      <c r="H17" s="161"/>
      <c r="I17" s="162"/>
      <c r="J17" s="162"/>
      <c r="R17" s="47" t="s">
        <v>40</v>
      </c>
      <c r="AH17" s="47" t="s">
        <v>41</v>
      </c>
      <c r="AI17" s="47" t="s">
        <v>40</v>
      </c>
    </row>
    <row r="18" spans="1:36" s="41" customFormat="1">
      <c r="A18" s="45">
        <v>12</v>
      </c>
      <c r="B18" s="52" t="s">
        <v>142</v>
      </c>
      <c r="C18" s="53">
        <f>$G$18/$G$6*C6</f>
        <v>12445</v>
      </c>
      <c r="D18" s="53">
        <f>$G$18/$G$6*D6</f>
        <v>12445</v>
      </c>
      <c r="E18" s="53">
        <f>$G$18/$G$6*E6</f>
        <v>0</v>
      </c>
      <c r="F18" s="53">
        <f>$G$18/$G$6*F6</f>
        <v>0</v>
      </c>
      <c r="G18" s="53">
        <f>项目投资!D26</f>
        <v>24890</v>
      </c>
      <c r="H18" s="163" t="s">
        <v>143</v>
      </c>
      <c r="I18" s="163"/>
      <c r="J18" s="163"/>
    </row>
    <row r="19" spans="1:36">
      <c r="A19" s="45">
        <v>13</v>
      </c>
      <c r="B19" s="47" t="s">
        <v>42</v>
      </c>
      <c r="C19" s="49">
        <f>C6*C44</f>
        <v>25500</v>
      </c>
      <c r="D19" s="49">
        <f t="shared" ref="D19:E19" si="10">D6*D44</f>
        <v>55896</v>
      </c>
      <c r="E19" s="49">
        <f t="shared" si="10"/>
        <v>0</v>
      </c>
      <c r="F19" s="49">
        <f>F6*F44</f>
        <v>0</v>
      </c>
      <c r="G19" s="49">
        <f>SUM(C19:F19)</f>
        <v>81396</v>
      </c>
      <c r="H19" s="164"/>
      <c r="I19" s="162"/>
      <c r="J19" s="162"/>
      <c r="R19" s="47" t="s">
        <v>42</v>
      </c>
      <c r="AH19" s="47" t="s">
        <v>43</v>
      </c>
      <c r="AI19" s="47" t="s">
        <v>42</v>
      </c>
      <c r="AJ19" s="43" t="s">
        <v>16</v>
      </c>
    </row>
    <row r="20" spans="1:36">
      <c r="A20" s="45">
        <v>14</v>
      </c>
      <c r="B20" s="47" t="s">
        <v>44</v>
      </c>
      <c r="C20" s="49">
        <f>C6*C45</f>
        <v>101250</v>
      </c>
      <c r="D20" s="49">
        <f t="shared" ref="D20:E20" si="11">D6*D45</f>
        <v>221940</v>
      </c>
      <c r="E20" s="49">
        <f t="shared" si="11"/>
        <v>0</v>
      </c>
      <c r="F20" s="49">
        <f>F6*F45</f>
        <v>0</v>
      </c>
      <c r="G20" s="49">
        <f>SUM(C20:F20)</f>
        <v>323190</v>
      </c>
      <c r="R20" s="47" t="s">
        <v>44</v>
      </c>
      <c r="AH20" s="47" t="s">
        <v>45</v>
      </c>
      <c r="AI20" s="47" t="s">
        <v>44</v>
      </c>
    </row>
    <row r="21" spans="1:36">
      <c r="A21" s="45">
        <v>15</v>
      </c>
      <c r="B21" s="47" t="s">
        <v>46</v>
      </c>
      <c r="C21" s="54">
        <f>$G$21/$G$6*C6</f>
        <v>18290</v>
      </c>
      <c r="D21" s="54">
        <f>$G$21/$G$6*D6</f>
        <v>18290</v>
      </c>
      <c r="E21" s="54">
        <f>$G$21/$G$6*E6</f>
        <v>0</v>
      </c>
      <c r="F21" s="54">
        <f>$G$21/$G$6*F6</f>
        <v>0</v>
      </c>
      <c r="G21" s="49">
        <f>项目投资!D27</f>
        <v>36580</v>
      </c>
      <c r="R21" s="47" t="s">
        <v>46</v>
      </c>
      <c r="AH21" s="47"/>
      <c r="AI21" s="47"/>
    </row>
    <row r="22" spans="1:36">
      <c r="A22" s="45">
        <v>16</v>
      </c>
      <c r="B22" s="47" t="s">
        <v>47</v>
      </c>
      <c r="C22" s="49">
        <f>C6*C47</f>
        <v>86550</v>
      </c>
      <c r="D22" s="49">
        <f t="shared" ref="D22:F22" si="12">D6*D47</f>
        <v>189717.6</v>
      </c>
      <c r="E22" s="49">
        <f t="shared" si="12"/>
        <v>0</v>
      </c>
      <c r="F22" s="49">
        <f t="shared" si="12"/>
        <v>0</v>
      </c>
      <c r="G22" s="49">
        <f>SUM(C22:F22)</f>
        <v>276267.59999999998</v>
      </c>
      <c r="R22" s="47" t="s">
        <v>47</v>
      </c>
      <c r="AH22" s="47" t="s">
        <v>48</v>
      </c>
      <c r="AI22" s="47" t="s">
        <v>47</v>
      </c>
    </row>
    <row r="23" spans="1:36">
      <c r="A23" s="45">
        <v>17</v>
      </c>
      <c r="B23" s="50" t="s">
        <v>49</v>
      </c>
      <c r="C23" s="54">
        <f>+C22+C21+C20+C19+C17</f>
        <v>385410</v>
      </c>
      <c r="D23" s="54">
        <f t="shared" ref="D23:F23" si="13">+D22+D21+D20+D19+D17</f>
        <v>808182.59999999986</v>
      </c>
      <c r="E23" s="54">
        <f t="shared" si="13"/>
        <v>0</v>
      </c>
      <c r="F23" s="54">
        <f t="shared" si="13"/>
        <v>0</v>
      </c>
      <c r="G23" s="54">
        <f t="shared" ref="G23" si="14">+G22+G21+G20+G19+G17</f>
        <v>1193592.5999999999</v>
      </c>
      <c r="R23" s="50" t="s">
        <v>49</v>
      </c>
      <c r="AH23" s="47" t="s">
        <v>50</v>
      </c>
      <c r="AI23" s="50" t="s">
        <v>49</v>
      </c>
    </row>
    <row r="24" spans="1:36">
      <c r="A24" s="45">
        <v>18</v>
      </c>
      <c r="B24" s="55" t="s">
        <v>51</v>
      </c>
      <c r="C24" s="54">
        <f>+C15-C23</f>
        <v>-69910</v>
      </c>
      <c r="D24" s="54">
        <f t="shared" ref="D24:F24" si="15">+D15-D23</f>
        <v>-625225.80799601343</v>
      </c>
      <c r="E24" s="54">
        <f t="shared" si="15"/>
        <v>0</v>
      </c>
      <c r="F24" s="54">
        <f t="shared" si="15"/>
        <v>0</v>
      </c>
      <c r="G24" s="54">
        <f t="shared" ref="G24" si="16">+G15-G23</f>
        <v>-695135.80799601343</v>
      </c>
      <c r="I24" s="65"/>
      <c r="R24" s="47" t="s">
        <v>51</v>
      </c>
      <c r="AH24" s="47" t="s">
        <v>52</v>
      </c>
      <c r="AI24" s="47" t="s">
        <v>51</v>
      </c>
    </row>
    <row r="25" spans="1:36">
      <c r="A25" s="45">
        <v>19</v>
      </c>
      <c r="B25" s="47" t="s">
        <v>234</v>
      </c>
      <c r="C25" s="54">
        <f>IF(C24&lt;0,0,C24*0.15)</f>
        <v>0</v>
      </c>
      <c r="D25" s="54">
        <f>IF(D24&lt;0,0,D24*0.15)</f>
        <v>0</v>
      </c>
      <c r="E25" s="54">
        <f>IF(E24&lt;0,0,E24*0.15)</f>
        <v>0</v>
      </c>
      <c r="F25" s="54">
        <f>IF(F24&lt;0,0,F24*0.15)</f>
        <v>0</v>
      </c>
      <c r="G25" s="54">
        <f>IF(G24&lt;0,0,G24*0.15)</f>
        <v>0</v>
      </c>
      <c r="H25" s="61"/>
      <c r="I25" s="61"/>
      <c r="J25" s="61"/>
      <c r="R25" s="47" t="s">
        <v>53</v>
      </c>
      <c r="AH25" s="47" t="s">
        <v>54</v>
      </c>
      <c r="AI25" s="47" t="s">
        <v>53</v>
      </c>
    </row>
    <row r="26" spans="1:36">
      <c r="A26" s="45">
        <v>20</v>
      </c>
      <c r="B26" s="47" t="s">
        <v>55</v>
      </c>
      <c r="C26" s="54">
        <f t="shared" ref="C26:F26" si="17">C24-C25</f>
        <v>-69910</v>
      </c>
      <c r="D26" s="54">
        <f t="shared" si="17"/>
        <v>-625225.80799601343</v>
      </c>
      <c r="E26" s="54">
        <f t="shared" si="17"/>
        <v>0</v>
      </c>
      <c r="F26" s="54">
        <f t="shared" si="17"/>
        <v>0</v>
      </c>
      <c r="G26" s="49">
        <f>G24-G25</f>
        <v>-695135.80799601343</v>
      </c>
      <c r="H26" s="61"/>
      <c r="I26" s="61"/>
      <c r="J26" s="61"/>
      <c r="R26" s="47" t="s">
        <v>55</v>
      </c>
      <c r="AH26" s="47" t="s">
        <v>56</v>
      </c>
      <c r="AI26" s="47" t="s">
        <v>55</v>
      </c>
    </row>
    <row r="27" spans="1:36">
      <c r="A27" s="45">
        <v>21</v>
      </c>
      <c r="B27" s="47" t="s">
        <v>59</v>
      </c>
      <c r="C27" s="124">
        <f t="shared" ref="C27:G27" si="18">C26/C7</f>
        <v>-1.8642666666666665E-2</v>
      </c>
      <c r="D27" s="124">
        <f t="shared" ref="D27:F27" si="19">D26/D7</f>
        <v>-7.6061533819466356E-2</v>
      </c>
      <c r="E27" s="124" t="e">
        <f t="shared" si="19"/>
        <v>#DIV/0!</v>
      </c>
      <c r="F27" s="124" t="e">
        <f t="shared" si="19"/>
        <v>#DIV/0!</v>
      </c>
      <c r="G27" s="124">
        <f t="shared" si="18"/>
        <v>-5.8073166916960184E-2</v>
      </c>
      <c r="H27" s="61"/>
      <c r="I27" s="61"/>
      <c r="J27" s="61"/>
      <c r="R27" s="47" t="s">
        <v>59</v>
      </c>
      <c r="AH27" s="47" t="s">
        <v>58</v>
      </c>
      <c r="AI27" s="47" t="s">
        <v>59</v>
      </c>
    </row>
    <row r="28" spans="1:36">
      <c r="H28" s="61"/>
      <c r="I28" s="61"/>
      <c r="J28" s="61"/>
      <c r="R28" s="47"/>
    </row>
    <row r="29" spans="1:36">
      <c r="A29" s="43" t="s">
        <v>60</v>
      </c>
      <c r="G29" s="44" t="s">
        <v>144</v>
      </c>
      <c r="H29" s="61"/>
      <c r="I29" s="61"/>
      <c r="J29" s="61"/>
      <c r="R29" s="47"/>
      <c r="AH29" s="43" t="s">
        <v>60</v>
      </c>
    </row>
    <row r="30" spans="1:36">
      <c r="A30" s="47" t="s">
        <v>61</v>
      </c>
      <c r="B30" s="50" t="s">
        <v>62</v>
      </c>
      <c r="C30" s="54"/>
      <c r="D30" s="54"/>
      <c r="E30" s="54"/>
      <c r="F30" s="54"/>
      <c r="G30" s="54"/>
      <c r="H30" s="61"/>
      <c r="I30" s="61"/>
      <c r="J30" s="61"/>
      <c r="L30" s="61"/>
      <c r="R30" s="50" t="s">
        <v>62</v>
      </c>
      <c r="AH30" s="47" t="s">
        <v>63</v>
      </c>
      <c r="AI30" s="50" t="s">
        <v>62</v>
      </c>
    </row>
    <row r="31" spans="1:36">
      <c r="A31" s="56">
        <v>1</v>
      </c>
      <c r="B31" s="52" t="s">
        <v>64</v>
      </c>
      <c r="C31" s="57">
        <f>销量!C8</f>
        <v>750</v>
      </c>
      <c r="D31" s="57">
        <f>销量!D8</f>
        <v>1644</v>
      </c>
      <c r="E31" s="57">
        <f>销量!E8</f>
        <v>0</v>
      </c>
      <c r="F31" s="57">
        <f>销量!F8</f>
        <v>0</v>
      </c>
      <c r="G31" s="54"/>
      <c r="H31" s="61"/>
      <c r="I31" s="61"/>
      <c r="J31" s="61"/>
      <c r="L31" s="61"/>
      <c r="R31" s="47" t="s">
        <v>64</v>
      </c>
      <c r="AH31" s="47" t="s">
        <v>18</v>
      </c>
      <c r="AI31" s="47" t="s">
        <v>64</v>
      </c>
    </row>
    <row r="32" spans="1:36">
      <c r="A32" s="56">
        <v>2</v>
      </c>
      <c r="B32" s="47" t="s">
        <v>145</v>
      </c>
      <c r="C32" s="49">
        <f>C31*1</f>
        <v>750</v>
      </c>
      <c r="D32" s="49">
        <f t="shared" ref="D32:F32" si="20">D31*1</f>
        <v>1644</v>
      </c>
      <c r="E32" s="49">
        <f t="shared" si="20"/>
        <v>0</v>
      </c>
      <c r="F32" s="49">
        <f t="shared" si="20"/>
        <v>0</v>
      </c>
      <c r="G32" s="54"/>
      <c r="H32" s="61"/>
      <c r="I32" s="61"/>
      <c r="J32" s="61"/>
      <c r="K32" s="61"/>
      <c r="L32" s="61"/>
      <c r="M32" s="61"/>
      <c r="N32" s="61"/>
      <c r="AH32" s="47"/>
      <c r="AI32" s="47"/>
    </row>
    <row r="33" spans="1:35">
      <c r="A33" s="56">
        <v>3</v>
      </c>
      <c r="B33" s="52" t="s">
        <v>65</v>
      </c>
      <c r="C33" s="49">
        <f>材料成本!E40</f>
        <v>614</v>
      </c>
      <c r="D33" s="49">
        <f>材料成本!E41</f>
        <v>1447.6118415992028</v>
      </c>
      <c r="E33" s="49">
        <f>材料成本!E42</f>
        <v>0</v>
      </c>
      <c r="F33" s="49">
        <f>材料成本!E43</f>
        <v>0</v>
      </c>
      <c r="G33" s="54"/>
      <c r="I33" s="61"/>
      <c r="J33" s="61"/>
      <c r="K33" s="61"/>
      <c r="L33" s="61"/>
      <c r="M33" s="61"/>
      <c r="N33" s="61"/>
      <c r="R33" s="47" t="s">
        <v>65</v>
      </c>
      <c r="AH33" s="47" t="s">
        <v>20</v>
      </c>
      <c r="AI33" s="47" t="s">
        <v>65</v>
      </c>
    </row>
    <row r="34" spans="1:35" ht="17.25" customHeight="1">
      <c r="A34" s="56">
        <v>4</v>
      </c>
      <c r="B34" s="47" t="s">
        <v>67</v>
      </c>
      <c r="C34" s="58">
        <f>C32-C33</f>
        <v>136</v>
      </c>
      <c r="D34" s="58">
        <f t="shared" ref="D34:F34" si="21">D32-D33</f>
        <v>196.38815840079724</v>
      </c>
      <c r="E34" s="58">
        <f t="shared" si="21"/>
        <v>0</v>
      </c>
      <c r="F34" s="58">
        <f t="shared" si="21"/>
        <v>0</v>
      </c>
      <c r="G34" s="54"/>
      <c r="I34" s="61"/>
      <c r="J34" s="61"/>
      <c r="K34" s="61"/>
      <c r="L34" s="61"/>
      <c r="M34" s="61"/>
      <c r="N34" s="61"/>
      <c r="R34" s="47" t="s">
        <v>67</v>
      </c>
      <c r="AH34" s="47" t="s">
        <v>66</v>
      </c>
      <c r="AI34" s="47" t="s">
        <v>67</v>
      </c>
    </row>
    <row r="35" spans="1:35">
      <c r="A35" s="47" t="s">
        <v>63</v>
      </c>
      <c r="B35" s="50" t="s">
        <v>8</v>
      </c>
      <c r="C35" s="54"/>
      <c r="D35" s="54"/>
      <c r="E35" s="54"/>
      <c r="F35" s="54"/>
      <c r="G35" s="5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50" t="s">
        <v>8</v>
      </c>
      <c r="AH35" s="47" t="s">
        <v>69</v>
      </c>
      <c r="AI35" s="50" t="s">
        <v>8</v>
      </c>
    </row>
    <row r="36" spans="1:35">
      <c r="A36" s="56">
        <v>1</v>
      </c>
      <c r="B36" s="47" t="s">
        <v>70</v>
      </c>
      <c r="C36" s="53">
        <f>标准成本!D4</f>
        <v>10.574999999999999</v>
      </c>
      <c r="D36" s="53">
        <f>标准成本!D18</f>
        <v>23.180399999999999</v>
      </c>
      <c r="E36" s="53">
        <f>标准成本!D32</f>
        <v>0</v>
      </c>
      <c r="F36" s="53">
        <f>标准成本!D45</f>
        <v>0</v>
      </c>
      <c r="G36" s="57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47" t="s">
        <v>70</v>
      </c>
      <c r="AH36" s="47" t="s">
        <v>66</v>
      </c>
      <c r="AI36" s="47" t="s">
        <v>70</v>
      </c>
    </row>
    <row r="37" spans="1:35">
      <c r="A37" s="56">
        <v>2</v>
      </c>
      <c r="B37" s="47" t="s">
        <v>71</v>
      </c>
      <c r="C37" s="53">
        <f>标准成本!D6</f>
        <v>45</v>
      </c>
      <c r="D37" s="53">
        <f>标准成本!D20</f>
        <v>98.64</v>
      </c>
      <c r="E37" s="53">
        <f>标准成本!D34</f>
        <v>0</v>
      </c>
      <c r="F37" s="53">
        <f>标准成本!D47</f>
        <v>0</v>
      </c>
      <c r="G37" s="57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47" t="s">
        <v>71</v>
      </c>
      <c r="AH37" s="47" t="s">
        <v>23</v>
      </c>
      <c r="AI37" s="47" t="s">
        <v>71</v>
      </c>
    </row>
    <row r="38" spans="1:35">
      <c r="A38" s="56">
        <v>3</v>
      </c>
      <c r="B38" s="47" t="s">
        <v>72</v>
      </c>
      <c r="C38" s="53">
        <f>标准成本!D10</f>
        <v>17.324999999999999</v>
      </c>
      <c r="D38" s="53">
        <f>标准成本!D24</f>
        <v>37.976399999999998</v>
      </c>
      <c r="E38" s="53">
        <f>标准成本!D38</f>
        <v>0</v>
      </c>
      <c r="F38" s="53">
        <f>标准成本!D51</f>
        <v>0</v>
      </c>
      <c r="G38" s="57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47" t="s">
        <v>72</v>
      </c>
      <c r="AH38" s="47" t="s">
        <v>29</v>
      </c>
      <c r="AI38" s="47" t="s">
        <v>72</v>
      </c>
    </row>
    <row r="39" spans="1:35">
      <c r="A39" s="47" t="s">
        <v>69</v>
      </c>
      <c r="B39" s="50" t="s">
        <v>74</v>
      </c>
      <c r="C39" s="54"/>
      <c r="D39" s="54"/>
      <c r="E39" s="54"/>
      <c r="F39" s="54"/>
      <c r="G39" s="54"/>
      <c r="R39" s="50" t="s">
        <v>74</v>
      </c>
      <c r="AH39" s="47" t="s">
        <v>73</v>
      </c>
      <c r="AI39" s="50" t="s">
        <v>74</v>
      </c>
    </row>
    <row r="40" spans="1:35">
      <c r="A40" s="56">
        <v>1</v>
      </c>
      <c r="B40" s="47" t="s">
        <v>76</v>
      </c>
      <c r="C40" s="54">
        <f>C34-C36-C37-C38</f>
        <v>63.099999999999994</v>
      </c>
      <c r="D40" s="54">
        <f t="shared" ref="D40:F40" si="22">D34-D36-D37-D38</f>
        <v>36.591358400797247</v>
      </c>
      <c r="E40" s="54">
        <f t="shared" si="22"/>
        <v>0</v>
      </c>
      <c r="F40" s="54">
        <f t="shared" si="22"/>
        <v>0</v>
      </c>
      <c r="G40" s="54"/>
      <c r="R40" s="47" t="s">
        <v>76</v>
      </c>
      <c r="AH40" s="47" t="s">
        <v>18</v>
      </c>
      <c r="AI40" s="47" t="s">
        <v>76</v>
      </c>
    </row>
    <row r="41" spans="1:35">
      <c r="A41" s="56">
        <v>2</v>
      </c>
      <c r="B41" s="47" t="s">
        <v>77</v>
      </c>
      <c r="C41" s="54"/>
      <c r="D41" s="54"/>
      <c r="E41" s="54"/>
      <c r="F41" s="54"/>
      <c r="G41" s="54"/>
      <c r="R41" s="47" t="s">
        <v>77</v>
      </c>
      <c r="AH41" s="47" t="s">
        <v>20</v>
      </c>
      <c r="AI41" s="47" t="s">
        <v>77</v>
      </c>
    </row>
    <row r="42" spans="1:35">
      <c r="A42" s="47" t="s">
        <v>73</v>
      </c>
      <c r="B42" s="50" t="s">
        <v>79</v>
      </c>
      <c r="C42" s="54"/>
      <c r="D42" s="54"/>
      <c r="E42" s="54"/>
      <c r="F42" s="54"/>
      <c r="G42" s="54"/>
      <c r="R42" s="50" t="s">
        <v>79</v>
      </c>
      <c r="AH42" s="47" t="s">
        <v>78</v>
      </c>
      <c r="AI42" s="50" t="s">
        <v>79</v>
      </c>
    </row>
    <row r="43" spans="1:35">
      <c r="A43" s="56">
        <v>1</v>
      </c>
      <c r="B43" s="55" t="s">
        <v>80</v>
      </c>
      <c r="C43" s="53">
        <f>标准成本!D5</f>
        <v>28.274999999999999</v>
      </c>
      <c r="D43" s="53">
        <f>标准成本!D19</f>
        <v>61.978799999999993</v>
      </c>
      <c r="E43" s="53">
        <f>标准成本!D33</f>
        <v>0</v>
      </c>
      <c r="F43" s="53">
        <f>标准成本!D46</f>
        <v>0</v>
      </c>
      <c r="G43" s="54"/>
      <c r="R43" s="47" t="s">
        <v>80</v>
      </c>
      <c r="AH43" s="47" t="s">
        <v>18</v>
      </c>
      <c r="AI43" s="47" t="s">
        <v>80</v>
      </c>
    </row>
    <row r="44" spans="1:35">
      <c r="A44" s="56">
        <v>2</v>
      </c>
      <c r="B44" s="55" t="s">
        <v>81</v>
      </c>
      <c r="C44" s="53">
        <f>标准成本!D9</f>
        <v>5.0999999999999996</v>
      </c>
      <c r="D44" s="53">
        <f>标准成本!D23</f>
        <v>11.1792</v>
      </c>
      <c r="E44" s="53">
        <f>标准成本!D37</f>
        <v>0</v>
      </c>
      <c r="F44" s="53">
        <f>标准成本!D50</f>
        <v>0</v>
      </c>
      <c r="G44" s="54"/>
      <c r="R44" s="47" t="s">
        <v>81</v>
      </c>
      <c r="AH44" s="47" t="s">
        <v>20</v>
      </c>
      <c r="AI44" s="47" t="s">
        <v>81</v>
      </c>
    </row>
    <row r="45" spans="1:35">
      <c r="A45" s="56">
        <v>3</v>
      </c>
      <c r="B45" s="55" t="s">
        <v>82</v>
      </c>
      <c r="C45" s="59">
        <f>标准成本!D8</f>
        <v>20.25</v>
      </c>
      <c r="D45" s="59">
        <f>标准成本!D22</f>
        <v>44.387999999999998</v>
      </c>
      <c r="E45" s="59">
        <f>标准成本!D36</f>
        <v>0</v>
      </c>
      <c r="F45" s="59">
        <f>标准成本!D49</f>
        <v>0</v>
      </c>
      <c r="G45" s="54"/>
      <c r="R45" s="47" t="s">
        <v>82</v>
      </c>
      <c r="AH45" s="47" t="s">
        <v>66</v>
      </c>
      <c r="AI45" s="47" t="s">
        <v>82</v>
      </c>
    </row>
    <row r="46" spans="1:35" s="42" customFormat="1">
      <c r="A46" s="56">
        <v>4</v>
      </c>
      <c r="B46" s="55" t="s">
        <v>83</v>
      </c>
      <c r="C46" s="59">
        <f>C21/C6</f>
        <v>3.6579999999999999</v>
      </c>
      <c r="D46" s="59">
        <f t="shared" ref="D46:F46" si="23">D21/D6</f>
        <v>3.6579999999999999</v>
      </c>
      <c r="E46" s="59" t="e">
        <f t="shared" si="23"/>
        <v>#DIV/0!</v>
      </c>
      <c r="F46" s="59" t="e">
        <f t="shared" si="23"/>
        <v>#DIV/0!</v>
      </c>
      <c r="G46" s="59"/>
      <c r="R46" s="55" t="s">
        <v>85</v>
      </c>
      <c r="AH46" s="55" t="s">
        <v>26</v>
      </c>
      <c r="AI46" s="55" t="s">
        <v>85</v>
      </c>
    </row>
    <row r="47" spans="1:35" s="42" customFormat="1">
      <c r="A47" s="56">
        <v>5</v>
      </c>
      <c r="B47" s="55" t="s">
        <v>85</v>
      </c>
      <c r="C47" s="59">
        <f>标准成本!D11</f>
        <v>17.309999999999999</v>
      </c>
      <c r="D47" s="59">
        <f>标准成本!D25</f>
        <v>37.943519999999999</v>
      </c>
      <c r="E47" s="59">
        <f>标准成本!D39</f>
        <v>0</v>
      </c>
      <c r="F47" s="59">
        <f>标准成本!D52</f>
        <v>0</v>
      </c>
      <c r="G47" s="59"/>
      <c r="R47" s="55" t="s">
        <v>85</v>
      </c>
      <c r="AH47" s="55" t="s">
        <v>26</v>
      </c>
      <c r="AI47" s="55" t="s">
        <v>85</v>
      </c>
    </row>
    <row r="48" spans="1:35">
      <c r="A48" s="47" t="s">
        <v>78</v>
      </c>
      <c r="B48" s="50" t="s">
        <v>96</v>
      </c>
      <c r="C48" s="54">
        <f>C40-C43-C44-C45-C47-C46</f>
        <v>-11.493000000000004</v>
      </c>
      <c r="D48" s="54">
        <f t="shared" ref="D48:F48" si="24">D40-D43-D44-D45-D47-D46</f>
        <v>-122.55616159920275</v>
      </c>
      <c r="E48" s="54" t="e">
        <f t="shared" si="24"/>
        <v>#DIV/0!</v>
      </c>
      <c r="F48" s="54" t="e">
        <f t="shared" si="24"/>
        <v>#DIV/0!</v>
      </c>
      <c r="G48" s="54"/>
      <c r="R48" s="50" t="s">
        <v>96</v>
      </c>
      <c r="AH48" s="47" t="s">
        <v>95</v>
      </c>
      <c r="AI48" s="50" t="s">
        <v>96</v>
      </c>
    </row>
    <row r="51" spans="2:12">
      <c r="C51" s="60"/>
      <c r="D51" s="60"/>
      <c r="E51" s="60"/>
      <c r="F51" s="60"/>
    </row>
    <row r="54" spans="2:12">
      <c r="B54" s="61"/>
      <c r="C54" s="62"/>
      <c r="D54" s="62"/>
      <c r="E54" s="62"/>
      <c r="F54" s="62"/>
      <c r="G54" s="62"/>
      <c r="H54" s="61"/>
      <c r="I54" s="61"/>
      <c r="J54" s="61"/>
      <c r="K54" s="61"/>
      <c r="L54" s="61"/>
    </row>
    <row r="55" spans="2:12">
      <c r="B55" s="61"/>
      <c r="C55" s="62"/>
      <c r="D55" s="62"/>
      <c r="E55" s="62"/>
      <c r="F55" s="62"/>
      <c r="G55" s="62"/>
      <c r="H55" s="61"/>
      <c r="I55" s="61"/>
      <c r="J55" s="61"/>
      <c r="K55" s="61"/>
      <c r="L55" s="61"/>
    </row>
    <row r="56" spans="2:12">
      <c r="B56" s="61"/>
      <c r="C56" s="62"/>
      <c r="D56" s="62"/>
      <c r="E56" s="62"/>
      <c r="F56" s="62"/>
      <c r="G56" s="62"/>
      <c r="H56" s="61"/>
      <c r="I56" s="61"/>
      <c r="J56" s="61"/>
      <c r="K56" s="61"/>
      <c r="L56" s="61"/>
    </row>
    <row r="57" spans="2:12">
      <c r="B57" s="61"/>
      <c r="C57" s="62"/>
      <c r="D57" s="62"/>
      <c r="E57" s="62"/>
      <c r="F57" s="62"/>
      <c r="G57" s="62"/>
      <c r="H57" s="61"/>
      <c r="I57" s="61"/>
      <c r="J57" s="61"/>
      <c r="K57" s="61"/>
      <c r="L57" s="61"/>
    </row>
    <row r="58" spans="2:12">
      <c r="B58" s="61"/>
      <c r="C58" s="62"/>
      <c r="D58" s="62"/>
      <c r="E58" s="62"/>
      <c r="F58" s="62"/>
      <c r="G58" s="62"/>
      <c r="H58" s="61"/>
      <c r="I58" s="61"/>
      <c r="J58" s="61"/>
      <c r="K58" s="61"/>
      <c r="L58" s="61"/>
    </row>
    <row r="59" spans="2:12">
      <c r="B59" s="61"/>
      <c r="C59" s="62"/>
      <c r="D59" s="62"/>
      <c r="E59" s="62"/>
      <c r="F59" s="62"/>
      <c r="G59" s="62"/>
      <c r="H59" s="61"/>
      <c r="I59" s="61"/>
      <c r="J59" s="61"/>
      <c r="K59" s="61"/>
      <c r="L59" s="61"/>
    </row>
    <row r="60" spans="2:12">
      <c r="B60" s="61"/>
      <c r="C60" s="62"/>
      <c r="D60" s="62"/>
      <c r="E60" s="62"/>
      <c r="F60" s="62"/>
      <c r="G60" s="62"/>
      <c r="H60" s="61"/>
      <c r="I60" s="61"/>
      <c r="J60" s="61"/>
      <c r="K60" s="61"/>
      <c r="L60" s="61"/>
    </row>
    <row r="61" spans="2:12">
      <c r="B61" s="61"/>
      <c r="C61" s="62"/>
      <c r="D61" s="62"/>
      <c r="E61" s="62"/>
      <c r="F61" s="62"/>
      <c r="G61" s="62"/>
      <c r="H61" s="61"/>
      <c r="I61" s="61"/>
      <c r="J61" s="61"/>
      <c r="K61" s="61"/>
      <c r="L61" s="61"/>
    </row>
    <row r="62" spans="2:12">
      <c r="B62" s="61"/>
      <c r="C62" s="62"/>
      <c r="D62" s="62"/>
      <c r="E62" s="62"/>
      <c r="F62" s="62"/>
      <c r="G62" s="62"/>
      <c r="H62" s="61"/>
      <c r="I62" s="61"/>
      <c r="J62" s="61"/>
      <c r="K62" s="61"/>
      <c r="L62" s="61"/>
    </row>
    <row r="63" spans="2:12">
      <c r="B63" s="61"/>
      <c r="C63" s="62"/>
      <c r="D63" s="62"/>
      <c r="E63" s="62"/>
      <c r="F63" s="62"/>
      <c r="G63" s="62"/>
      <c r="H63" s="61"/>
      <c r="I63" s="61"/>
      <c r="J63" s="61"/>
      <c r="K63" s="61"/>
      <c r="L63" s="61"/>
    </row>
    <row r="64" spans="2:12">
      <c r="B64" s="61"/>
      <c r="C64" s="62"/>
      <c r="D64" s="62"/>
      <c r="E64" s="62"/>
      <c r="F64" s="62"/>
      <c r="G64" s="62"/>
      <c r="H64" s="61"/>
      <c r="I64" s="61"/>
      <c r="J64" s="61"/>
      <c r="K64" s="61"/>
      <c r="L64" s="61"/>
    </row>
    <row r="65" spans="2:12">
      <c r="B65" s="61"/>
      <c r="C65" s="62"/>
      <c r="D65" s="62"/>
      <c r="E65" s="62"/>
      <c r="F65" s="62"/>
      <c r="G65" s="62"/>
      <c r="H65" s="61"/>
      <c r="I65" s="61"/>
      <c r="J65" s="61"/>
      <c r="K65" s="61"/>
      <c r="L65" s="61"/>
    </row>
    <row r="66" spans="2:12">
      <c r="B66" s="61"/>
      <c r="C66" s="62"/>
      <c r="D66" s="62"/>
      <c r="E66" s="62"/>
      <c r="F66" s="62"/>
      <c r="G66" s="62"/>
      <c r="H66" s="61"/>
      <c r="I66" s="61"/>
      <c r="J66" s="61"/>
      <c r="K66" s="61"/>
      <c r="L66" s="61"/>
    </row>
    <row r="67" spans="2:12">
      <c r="B67" s="61"/>
      <c r="C67" s="62"/>
      <c r="D67" s="62"/>
      <c r="E67" s="62"/>
      <c r="F67" s="62"/>
      <c r="G67" s="62"/>
      <c r="H67" s="61"/>
    </row>
    <row r="68" spans="2:12">
      <c r="B68" s="61"/>
      <c r="C68" s="62"/>
      <c r="D68" s="62"/>
      <c r="E68" s="62"/>
      <c r="F68" s="62"/>
      <c r="G68" s="62"/>
      <c r="H68" s="61"/>
    </row>
    <row r="69" spans="2:12">
      <c r="B69" s="61"/>
      <c r="C69" s="62"/>
      <c r="D69" s="62"/>
      <c r="E69" s="62"/>
      <c r="F69" s="62"/>
      <c r="G69" s="62"/>
      <c r="H69" s="61"/>
    </row>
    <row r="70" spans="2:12">
      <c r="B70" s="61"/>
      <c r="C70" s="62"/>
      <c r="D70" s="62"/>
      <c r="E70" s="62"/>
      <c r="F70" s="62"/>
      <c r="G70" s="62"/>
      <c r="H70" s="61"/>
    </row>
    <row r="71" spans="2:12">
      <c r="B71" s="61"/>
      <c r="C71" s="62"/>
      <c r="D71" s="62"/>
      <c r="E71" s="62"/>
      <c r="F71" s="62"/>
      <c r="G71" s="62"/>
      <c r="H71" s="61"/>
    </row>
    <row r="72" spans="2:12">
      <c r="B72" s="61"/>
      <c r="C72" s="62"/>
      <c r="D72" s="62"/>
      <c r="E72" s="62"/>
      <c r="F72" s="62"/>
      <c r="G72" s="62"/>
      <c r="H72" s="61"/>
    </row>
    <row r="73" spans="2:12">
      <c r="B73" s="61"/>
      <c r="C73" s="62"/>
      <c r="D73" s="62"/>
      <c r="E73" s="62"/>
      <c r="F73" s="62"/>
      <c r="G73" s="62"/>
      <c r="H73" s="61"/>
    </row>
    <row r="74" spans="2:12">
      <c r="B74" s="61"/>
      <c r="C74" s="62"/>
      <c r="D74" s="62"/>
      <c r="E74" s="62"/>
      <c r="F74" s="62"/>
      <c r="G74" s="62"/>
      <c r="H74" s="61"/>
    </row>
  </sheetData>
  <mergeCells count="8">
    <mergeCell ref="A4:B4"/>
    <mergeCell ref="A5:B5"/>
    <mergeCell ref="G3:G5"/>
    <mergeCell ref="A1:B1"/>
    <mergeCell ref="C1:G1"/>
    <mergeCell ref="A2:B2"/>
    <mergeCell ref="C2:G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35" activePane="bottomRight" state="frozen"/>
      <selection pane="topRight"/>
      <selection pane="bottomLeft"/>
      <selection pane="bottomRight" activeCell="D10" sqref="D10"/>
    </sheetView>
  </sheetViews>
  <sheetFormatPr defaultColWidth="9" defaultRowHeight="16.5"/>
  <cols>
    <col min="1" max="1" width="5.125" style="43" customWidth="1"/>
    <col min="2" max="2" width="17.5" style="43" customWidth="1"/>
    <col min="3" max="3" width="13.25" style="44" customWidth="1"/>
    <col min="4" max="4" width="16.75" style="44" customWidth="1"/>
    <col min="5" max="6" width="13.25" style="44" customWidth="1"/>
    <col min="7" max="7" width="18.75" style="44" customWidth="1"/>
    <col min="8" max="8" width="12.375" style="43" customWidth="1"/>
    <col min="9" max="9" width="10.125" style="43" customWidth="1"/>
    <col min="10" max="16" width="9" style="43" customWidth="1"/>
    <col min="17" max="33" width="9" style="43"/>
    <col min="34" max="34" width="4.375" style="43" customWidth="1"/>
    <col min="35" max="35" width="13.875" style="43" customWidth="1"/>
    <col min="36" max="16384" width="9" style="43"/>
  </cols>
  <sheetData>
    <row r="1" spans="1:36">
      <c r="A1" s="237" t="s">
        <v>136</v>
      </c>
      <c r="B1" s="237"/>
      <c r="C1" s="241" t="s">
        <v>235</v>
      </c>
      <c r="D1" s="242"/>
      <c r="E1" s="242"/>
      <c r="F1" s="242"/>
      <c r="G1" s="243"/>
    </row>
    <row r="2" spans="1:36">
      <c r="A2" s="237" t="s">
        <v>137</v>
      </c>
      <c r="B2" s="237"/>
      <c r="C2" s="244" t="str">
        <f>'2023年'!C2:G2</f>
        <v>一汽解放</v>
      </c>
      <c r="D2" s="244"/>
      <c r="E2" s="244"/>
      <c r="F2" s="244"/>
      <c r="G2" s="244"/>
    </row>
    <row r="3" spans="1:36">
      <c r="A3" s="237" t="s">
        <v>138</v>
      </c>
      <c r="B3" s="237"/>
      <c r="C3" s="153" t="str">
        <f>销量!C5</f>
        <v>前座总成</v>
      </c>
      <c r="D3" s="153" t="str">
        <f>销量!D5</f>
        <v>驾驶员总成</v>
      </c>
      <c r="E3" s="153">
        <f>销量!E5</f>
        <v>0</v>
      </c>
      <c r="F3" s="153">
        <f>销量!F5</f>
        <v>0</v>
      </c>
      <c r="G3" s="238" t="s">
        <v>14</v>
      </c>
    </row>
    <row r="4" spans="1:36" ht="28.5">
      <c r="A4" s="237" t="s">
        <v>139</v>
      </c>
      <c r="B4" s="237"/>
      <c r="C4" s="153" t="str">
        <f>销量!C6</f>
        <v>6900010GH13-C00/A</v>
      </c>
      <c r="D4" s="153" t="str">
        <f>销量!D6</f>
        <v>6800010PH13-C00/A</v>
      </c>
      <c r="E4" s="153">
        <f>销量!E6</f>
        <v>0</v>
      </c>
      <c r="F4" s="153">
        <f>销量!F6</f>
        <v>0</v>
      </c>
      <c r="G4" s="239"/>
    </row>
    <row r="5" spans="1:36">
      <c r="A5" s="237" t="s">
        <v>140</v>
      </c>
      <c r="B5" s="237"/>
      <c r="C5" s="46"/>
      <c r="D5" s="46"/>
      <c r="E5" s="46"/>
      <c r="F5" s="183"/>
      <c r="G5" s="240"/>
      <c r="AJ5" s="43" t="s">
        <v>15</v>
      </c>
    </row>
    <row r="6" spans="1:36" ht="17.25">
      <c r="A6" s="47" t="s">
        <v>13</v>
      </c>
      <c r="B6" s="48" t="s">
        <v>141</v>
      </c>
      <c r="C6" s="20">
        <f>销量!C10</f>
        <v>10000</v>
      </c>
      <c r="D6" s="20">
        <f>销量!D10</f>
        <v>10000</v>
      </c>
      <c r="E6" s="20">
        <f>销量!E10</f>
        <v>0</v>
      </c>
      <c r="F6" s="20">
        <f>销量!F10</f>
        <v>0</v>
      </c>
      <c r="G6" s="49">
        <f t="shared" ref="G6:G15" si="0">SUM(C6:F6)</f>
        <v>20000</v>
      </c>
      <c r="R6" s="48" t="s">
        <v>3</v>
      </c>
      <c r="AH6" s="47" t="s">
        <v>13</v>
      </c>
      <c r="AI6" s="48" t="s">
        <v>3</v>
      </c>
      <c r="AJ6" s="43" t="s">
        <v>16</v>
      </c>
    </row>
    <row r="7" spans="1:36">
      <c r="A7" s="152">
        <v>1</v>
      </c>
      <c r="B7" s="48" t="s">
        <v>17</v>
      </c>
      <c r="C7" s="49">
        <f>C6*销量!C8</f>
        <v>7500000</v>
      </c>
      <c r="D7" s="49">
        <f>D6*销量!D8</f>
        <v>16440000</v>
      </c>
      <c r="E7" s="49">
        <f>E6*销量!E8</f>
        <v>0</v>
      </c>
      <c r="F7" s="49">
        <f>F6*销量!F8</f>
        <v>0</v>
      </c>
      <c r="G7" s="49">
        <f t="shared" si="0"/>
        <v>23940000</v>
      </c>
      <c r="H7" s="44"/>
      <c r="R7" s="48" t="s">
        <v>17</v>
      </c>
      <c r="AH7" s="47" t="s">
        <v>18</v>
      </c>
      <c r="AI7" s="48" t="s">
        <v>17</v>
      </c>
      <c r="AJ7" s="43" t="s">
        <v>16</v>
      </c>
    </row>
    <row r="8" spans="1:36">
      <c r="A8" s="152">
        <v>2</v>
      </c>
      <c r="B8" s="152" t="s">
        <v>19</v>
      </c>
      <c r="C8" s="49">
        <f>C7*(1-销量!$L$7)</f>
        <v>225000.0000000002</v>
      </c>
      <c r="D8" s="49">
        <f>D7*(1-销量!$L$7)</f>
        <v>493200.00000000047</v>
      </c>
      <c r="E8" s="49">
        <f>E7*(1-销量!$L$7)</f>
        <v>0</v>
      </c>
      <c r="F8" s="49">
        <f>F7*(1-销量!$L$7)</f>
        <v>0</v>
      </c>
      <c r="G8" s="49">
        <f t="shared" si="0"/>
        <v>718200.0000000007</v>
      </c>
      <c r="H8" s="63"/>
      <c r="R8" s="152" t="s">
        <v>21</v>
      </c>
      <c r="AH8" s="47" t="s">
        <v>20</v>
      </c>
      <c r="AI8" s="152" t="s">
        <v>21</v>
      </c>
      <c r="AJ8" s="43" t="s">
        <v>16</v>
      </c>
    </row>
    <row r="9" spans="1:36">
      <c r="A9" s="152">
        <v>3</v>
      </c>
      <c r="B9" s="48" t="s">
        <v>22</v>
      </c>
      <c r="C9" s="49">
        <f>+C7-C8</f>
        <v>7275000</v>
      </c>
      <c r="D9" s="49">
        <f t="shared" ref="D9:F9" si="1">+D7-D8</f>
        <v>15946800</v>
      </c>
      <c r="E9" s="49">
        <f t="shared" si="1"/>
        <v>0</v>
      </c>
      <c r="F9" s="49">
        <f t="shared" si="1"/>
        <v>0</v>
      </c>
      <c r="G9" s="49">
        <f t="shared" si="0"/>
        <v>23221800</v>
      </c>
      <c r="R9" s="48" t="s">
        <v>22</v>
      </c>
      <c r="AH9" s="47" t="s">
        <v>23</v>
      </c>
      <c r="AI9" s="48" t="s">
        <v>22</v>
      </c>
      <c r="AJ9" s="43" t="s">
        <v>24</v>
      </c>
    </row>
    <row r="10" spans="1:36">
      <c r="A10" s="152">
        <v>4</v>
      </c>
      <c r="B10" s="47" t="s">
        <v>25</v>
      </c>
      <c r="C10" s="49">
        <f>C6*材料成本!F40</f>
        <v>5955799.9999999991</v>
      </c>
      <c r="D10" s="49">
        <f>D6*材料成本!F41</f>
        <v>14041834.863512268</v>
      </c>
      <c r="E10" s="49">
        <f>E6*材料成本!F42</f>
        <v>0</v>
      </c>
      <c r="F10" s="49">
        <f>F6*材料成本!F43</f>
        <v>0</v>
      </c>
      <c r="G10" s="49">
        <f t="shared" si="0"/>
        <v>19997634.863512266</v>
      </c>
      <c r="R10" s="47" t="s">
        <v>25</v>
      </c>
      <c r="AH10" s="47" t="s">
        <v>26</v>
      </c>
      <c r="AI10" s="47" t="s">
        <v>25</v>
      </c>
      <c r="AJ10" s="43" t="s">
        <v>27</v>
      </c>
    </row>
    <row r="11" spans="1:36">
      <c r="A11" s="152">
        <v>5</v>
      </c>
      <c r="B11" s="47" t="s">
        <v>28</v>
      </c>
      <c r="C11" s="49">
        <f>+C6*C36</f>
        <v>105750</v>
      </c>
      <c r="D11" s="49">
        <f>+D6*D36</f>
        <v>231804</v>
      </c>
      <c r="E11" s="49">
        <f t="shared" ref="E11:F11" si="2">+E6*E36</f>
        <v>0</v>
      </c>
      <c r="F11" s="49">
        <f t="shared" si="2"/>
        <v>0</v>
      </c>
      <c r="G11" s="49">
        <f t="shared" si="0"/>
        <v>337554</v>
      </c>
      <c r="R11" s="47" t="s">
        <v>28</v>
      </c>
      <c r="AH11" s="47" t="s">
        <v>29</v>
      </c>
      <c r="AI11" s="47" t="s">
        <v>28</v>
      </c>
    </row>
    <row r="12" spans="1:36">
      <c r="A12" s="152">
        <v>6</v>
      </c>
      <c r="B12" s="47" t="s">
        <v>30</v>
      </c>
      <c r="C12" s="49">
        <f>+C6*C37</f>
        <v>450000</v>
      </c>
      <c r="D12" s="49">
        <f t="shared" ref="D12:E12" si="3">+D6*D37</f>
        <v>986400</v>
      </c>
      <c r="E12" s="49">
        <f t="shared" si="3"/>
        <v>0</v>
      </c>
      <c r="F12" s="49">
        <f t="shared" ref="F12" si="4">+F6*F37</f>
        <v>0</v>
      </c>
      <c r="G12" s="49">
        <f t="shared" si="0"/>
        <v>1436400</v>
      </c>
      <c r="R12" s="47" t="s">
        <v>30</v>
      </c>
      <c r="AH12" s="47" t="s">
        <v>31</v>
      </c>
      <c r="AI12" s="47" t="s">
        <v>30</v>
      </c>
    </row>
    <row r="13" spans="1:36">
      <c r="A13" s="152">
        <v>7</v>
      </c>
      <c r="B13" s="47" t="s">
        <v>32</v>
      </c>
      <c r="C13" s="49">
        <f>+C6*C38</f>
        <v>173250</v>
      </c>
      <c r="D13" s="49">
        <f t="shared" ref="D13:E13" si="5">+D6*D38</f>
        <v>379764</v>
      </c>
      <c r="E13" s="49">
        <f t="shared" si="5"/>
        <v>0</v>
      </c>
      <c r="F13" s="49">
        <f t="shared" ref="F13" si="6">+F6*F38</f>
        <v>0</v>
      </c>
      <c r="G13" s="49">
        <f t="shared" si="0"/>
        <v>553014</v>
      </c>
      <c r="R13" s="47" t="s">
        <v>32</v>
      </c>
      <c r="AH13" s="47" t="s">
        <v>33</v>
      </c>
      <c r="AI13" s="47" t="s">
        <v>32</v>
      </c>
      <c r="AJ13" s="43" t="s">
        <v>16</v>
      </c>
    </row>
    <row r="14" spans="1:36">
      <c r="A14" s="152">
        <v>8</v>
      </c>
      <c r="B14" s="50" t="s">
        <v>34</v>
      </c>
      <c r="C14" s="49">
        <f>SUM(C11:C13)</f>
        <v>729000</v>
      </c>
      <c r="D14" s="49">
        <f t="shared" ref="D14:F14" si="7">SUM(D11:D13)</f>
        <v>1597968</v>
      </c>
      <c r="E14" s="49">
        <f t="shared" si="7"/>
        <v>0</v>
      </c>
      <c r="F14" s="49">
        <f t="shared" si="7"/>
        <v>0</v>
      </c>
      <c r="G14" s="49">
        <f t="shared" si="0"/>
        <v>2326968</v>
      </c>
      <c r="R14" s="50" t="s">
        <v>34</v>
      </c>
      <c r="AH14" s="47" t="s">
        <v>35</v>
      </c>
      <c r="AI14" s="50" t="s">
        <v>34</v>
      </c>
    </row>
    <row r="15" spans="1:36">
      <c r="A15" s="152">
        <v>9</v>
      </c>
      <c r="B15" s="50" t="s">
        <v>36</v>
      </c>
      <c r="C15" s="49">
        <f>+C9-C10-C14</f>
        <v>590200.00000000093</v>
      </c>
      <c r="D15" s="49">
        <f t="shared" ref="D15:F15" si="8">+D9-D10-D14</f>
        <v>306997.13648773171</v>
      </c>
      <c r="E15" s="49">
        <f t="shared" si="8"/>
        <v>0</v>
      </c>
      <c r="F15" s="49">
        <f t="shared" si="8"/>
        <v>0</v>
      </c>
      <c r="G15" s="49">
        <f t="shared" si="0"/>
        <v>897197.13648773264</v>
      </c>
      <c r="R15" s="50" t="s">
        <v>36</v>
      </c>
      <c r="AH15" s="47" t="s">
        <v>37</v>
      </c>
      <c r="AI15" s="50" t="s">
        <v>36</v>
      </c>
    </row>
    <row r="16" spans="1:36">
      <c r="A16" s="152">
        <v>10</v>
      </c>
      <c r="B16" s="47" t="s">
        <v>38</v>
      </c>
      <c r="C16" s="51">
        <f>+C15/C9</f>
        <v>8.1127147766323154E-2</v>
      </c>
      <c r="D16" s="51">
        <f t="shared" ref="D16:F16" si="9">+D15/D9</f>
        <v>1.9251331708413706E-2</v>
      </c>
      <c r="E16" s="51" t="e">
        <f t="shared" si="9"/>
        <v>#DIV/0!</v>
      </c>
      <c r="F16" s="51" t="e">
        <f t="shared" si="9"/>
        <v>#DIV/0!</v>
      </c>
      <c r="G16" s="51">
        <f t="shared" ref="G16" si="10">+G15/G9</f>
        <v>3.8635985861894109E-2</v>
      </c>
      <c r="R16" s="47" t="s">
        <v>38</v>
      </c>
      <c r="AH16" s="47" t="s">
        <v>39</v>
      </c>
      <c r="AI16" s="47" t="s">
        <v>38</v>
      </c>
    </row>
    <row r="17" spans="1:36">
      <c r="A17" s="152">
        <v>11</v>
      </c>
      <c r="B17" s="47" t="s">
        <v>40</v>
      </c>
      <c r="C17" s="49">
        <f>C6*C43+C18</f>
        <v>295195</v>
      </c>
      <c r="D17" s="49">
        <f t="shared" ref="D17:F17" si="11">D6*D43+D18</f>
        <v>632232.99999999988</v>
      </c>
      <c r="E17" s="49">
        <f t="shared" si="11"/>
        <v>0</v>
      </c>
      <c r="F17" s="49">
        <f t="shared" si="11"/>
        <v>0</v>
      </c>
      <c r="G17" s="49">
        <f>SUM(C17:F17)</f>
        <v>927427.99999999988</v>
      </c>
      <c r="H17" s="63"/>
      <c r="R17" s="47" t="s">
        <v>40</v>
      </c>
      <c r="AH17" s="47" t="s">
        <v>41</v>
      </c>
      <c r="AI17" s="47" t="s">
        <v>40</v>
      </c>
    </row>
    <row r="18" spans="1:36" s="41" customFormat="1">
      <c r="A18" s="152">
        <v>12</v>
      </c>
      <c r="B18" s="52" t="s">
        <v>142</v>
      </c>
      <c r="C18" s="53">
        <f>$G$18/$G$6*C6</f>
        <v>12445</v>
      </c>
      <c r="D18" s="53">
        <f>$G$18/$G$6*D6</f>
        <v>12445</v>
      </c>
      <c r="E18" s="53">
        <f>$G$18/$G$6*E6</f>
        <v>0</v>
      </c>
      <c r="F18" s="53">
        <f>$G$18/$G$6*F6</f>
        <v>0</v>
      </c>
      <c r="G18" s="53">
        <f>项目投资!D26</f>
        <v>24890</v>
      </c>
      <c r="H18" s="64" t="s">
        <v>143</v>
      </c>
      <c r="I18" s="64"/>
      <c r="J18" s="64"/>
    </row>
    <row r="19" spans="1:36">
      <c r="A19" s="152">
        <v>13</v>
      </c>
      <c r="B19" s="47" t="s">
        <v>42</v>
      </c>
      <c r="C19" s="49">
        <f>C6*C44</f>
        <v>51000</v>
      </c>
      <c r="D19" s="49">
        <f t="shared" ref="D19:F19" si="12">D6*D44</f>
        <v>111792</v>
      </c>
      <c r="E19" s="49">
        <f t="shared" si="12"/>
        <v>0</v>
      </c>
      <c r="F19" s="49">
        <f t="shared" si="12"/>
        <v>0</v>
      </c>
      <c r="G19" s="49">
        <f>SUM(C19:F19)</f>
        <v>162792</v>
      </c>
      <c r="H19" s="41"/>
      <c r="R19" s="47" t="s">
        <v>42</v>
      </c>
      <c r="AH19" s="47" t="s">
        <v>43</v>
      </c>
      <c r="AI19" s="47" t="s">
        <v>42</v>
      </c>
      <c r="AJ19" s="43" t="s">
        <v>16</v>
      </c>
    </row>
    <row r="20" spans="1:36">
      <c r="A20" s="152">
        <v>14</v>
      </c>
      <c r="B20" s="47" t="s">
        <v>44</v>
      </c>
      <c r="C20" s="49">
        <f>C6*C45</f>
        <v>202500</v>
      </c>
      <c r="D20" s="49">
        <f t="shared" ref="D20:F20" si="13">D6*D45</f>
        <v>443880</v>
      </c>
      <c r="E20" s="49">
        <f t="shared" si="13"/>
        <v>0</v>
      </c>
      <c r="F20" s="49">
        <f t="shared" si="13"/>
        <v>0</v>
      </c>
      <c r="G20" s="49">
        <f>SUM(C20:F20)</f>
        <v>646380</v>
      </c>
      <c r="R20" s="47" t="s">
        <v>44</v>
      </c>
      <c r="AH20" s="47" t="s">
        <v>45</v>
      </c>
      <c r="AI20" s="47" t="s">
        <v>44</v>
      </c>
    </row>
    <row r="21" spans="1:36">
      <c r="A21" s="152">
        <v>15</v>
      </c>
      <c r="B21" s="47" t="s">
        <v>46</v>
      </c>
      <c r="C21" s="54">
        <f>$G$21/$G$6*C6</f>
        <v>18290</v>
      </c>
      <c r="D21" s="54">
        <f>$G$21/$G$6*D6</f>
        <v>18290</v>
      </c>
      <c r="E21" s="54">
        <f>$G$21/$G$6*E6</f>
        <v>0</v>
      </c>
      <c r="F21" s="54">
        <f>$G$21/$G$6*F6</f>
        <v>0</v>
      </c>
      <c r="G21" s="49">
        <f>项目投资!D27</f>
        <v>36580</v>
      </c>
      <c r="R21" s="47" t="s">
        <v>46</v>
      </c>
      <c r="AH21" s="47"/>
      <c r="AI21" s="47"/>
    </row>
    <row r="22" spans="1:36">
      <c r="A22" s="152">
        <v>16</v>
      </c>
      <c r="B22" s="47" t="s">
        <v>47</v>
      </c>
      <c r="C22" s="49">
        <f>C6*C47</f>
        <v>173100</v>
      </c>
      <c r="D22" s="49">
        <f t="shared" ref="D22:F22" si="14">D6*D47</f>
        <v>379435.2</v>
      </c>
      <c r="E22" s="49">
        <f t="shared" si="14"/>
        <v>0</v>
      </c>
      <c r="F22" s="49">
        <f t="shared" si="14"/>
        <v>0</v>
      </c>
      <c r="G22" s="49">
        <f>SUM(C22:F22)</f>
        <v>552535.19999999995</v>
      </c>
      <c r="R22" s="47" t="s">
        <v>47</v>
      </c>
      <c r="AH22" s="47" t="s">
        <v>48</v>
      </c>
      <c r="AI22" s="47" t="s">
        <v>47</v>
      </c>
    </row>
    <row r="23" spans="1:36">
      <c r="A23" s="152">
        <v>17</v>
      </c>
      <c r="B23" s="50" t="s">
        <v>49</v>
      </c>
      <c r="C23" s="54">
        <f>+C22+C21+C20+C19+C17</f>
        <v>740085</v>
      </c>
      <c r="D23" s="54">
        <f t="shared" ref="D23:F23" si="15">+D22+D21+D20+D19+D17</f>
        <v>1585630.1999999997</v>
      </c>
      <c r="E23" s="54">
        <f t="shared" si="15"/>
        <v>0</v>
      </c>
      <c r="F23" s="54">
        <f t="shared" si="15"/>
        <v>0</v>
      </c>
      <c r="G23" s="54">
        <f t="shared" ref="G23" si="16">+G22+G21+G20+G19+G17</f>
        <v>2325715.1999999997</v>
      </c>
      <c r="R23" s="50" t="s">
        <v>49</v>
      </c>
      <c r="AH23" s="47" t="s">
        <v>50</v>
      </c>
      <c r="AI23" s="50" t="s">
        <v>49</v>
      </c>
    </row>
    <row r="24" spans="1:36">
      <c r="A24" s="152">
        <v>18</v>
      </c>
      <c r="B24" s="55" t="s">
        <v>51</v>
      </c>
      <c r="C24" s="54">
        <f>+C15-C23</f>
        <v>-149884.99999999907</v>
      </c>
      <c r="D24" s="54">
        <f t="shared" ref="D24:F24" si="17">+D15-D23</f>
        <v>-1278633.063512268</v>
      </c>
      <c r="E24" s="54">
        <f t="shared" si="17"/>
        <v>0</v>
      </c>
      <c r="F24" s="54">
        <f t="shared" si="17"/>
        <v>0</v>
      </c>
      <c r="G24" s="54">
        <f t="shared" ref="G24" si="18">+G15-G23</f>
        <v>-1428518.0635122671</v>
      </c>
      <c r="I24" s="65"/>
      <c r="R24" s="47" t="s">
        <v>51</v>
      </c>
      <c r="AH24" s="47" t="s">
        <v>52</v>
      </c>
      <c r="AI24" s="47" t="s">
        <v>51</v>
      </c>
    </row>
    <row r="25" spans="1:36">
      <c r="A25" s="152">
        <v>19</v>
      </c>
      <c r="B25" s="47" t="s">
        <v>234</v>
      </c>
      <c r="C25" s="54">
        <f t="shared" ref="C25:G25" si="19">IF(C24&lt;0,0,C24*0.15)</f>
        <v>0</v>
      </c>
      <c r="D25" s="54">
        <f t="shared" si="19"/>
        <v>0</v>
      </c>
      <c r="E25" s="54">
        <f t="shared" si="19"/>
        <v>0</v>
      </c>
      <c r="F25" s="54">
        <f t="shared" si="19"/>
        <v>0</v>
      </c>
      <c r="G25" s="54">
        <f t="shared" si="19"/>
        <v>0</v>
      </c>
      <c r="H25" s="61"/>
      <c r="I25" s="61"/>
      <c r="J25" s="61"/>
      <c r="R25" s="47" t="s">
        <v>53</v>
      </c>
      <c r="AH25" s="47" t="s">
        <v>54</v>
      </c>
      <c r="AI25" s="47" t="s">
        <v>53</v>
      </c>
    </row>
    <row r="26" spans="1:36">
      <c r="A26" s="152">
        <v>20</v>
      </c>
      <c r="B26" s="47" t="s">
        <v>55</v>
      </c>
      <c r="C26" s="54">
        <f t="shared" ref="C26:G26" si="20">C24-C25</f>
        <v>-149884.99999999907</v>
      </c>
      <c r="D26" s="54">
        <f t="shared" si="20"/>
        <v>-1278633.063512268</v>
      </c>
      <c r="E26" s="54">
        <f t="shared" si="20"/>
        <v>0</v>
      </c>
      <c r="F26" s="54">
        <f t="shared" si="20"/>
        <v>0</v>
      </c>
      <c r="G26" s="54">
        <f t="shared" si="20"/>
        <v>-1428518.0635122671</v>
      </c>
      <c r="H26" s="61"/>
      <c r="I26" s="61"/>
      <c r="J26" s="61"/>
      <c r="R26" s="47" t="s">
        <v>55</v>
      </c>
      <c r="AH26" s="47" t="s">
        <v>56</v>
      </c>
      <c r="AI26" s="47" t="s">
        <v>55</v>
      </c>
    </row>
    <row r="27" spans="1:36">
      <c r="A27" s="152">
        <v>21</v>
      </c>
      <c r="B27" s="47" t="s">
        <v>59</v>
      </c>
      <c r="C27" s="124">
        <f t="shared" ref="C27:G27" si="21">C26/C7</f>
        <v>-1.9984666666666543E-2</v>
      </c>
      <c r="D27" s="124">
        <f t="shared" ref="D27:F27" si="22">D26/D7</f>
        <v>-7.7775733790283949E-2</v>
      </c>
      <c r="E27" s="124" t="e">
        <f t="shared" si="22"/>
        <v>#DIV/0!</v>
      </c>
      <c r="F27" s="124" t="e">
        <f t="shared" si="22"/>
        <v>#DIV/0!</v>
      </c>
      <c r="G27" s="124">
        <f t="shared" si="21"/>
        <v>-5.9670762886895032E-2</v>
      </c>
      <c r="H27" s="61"/>
      <c r="I27" s="61"/>
      <c r="J27" s="61"/>
      <c r="R27" s="47" t="s">
        <v>59</v>
      </c>
      <c r="AH27" s="47" t="s">
        <v>58</v>
      </c>
      <c r="AI27" s="47" t="s">
        <v>59</v>
      </c>
    </row>
    <row r="28" spans="1:36">
      <c r="H28" s="61"/>
      <c r="I28" s="61"/>
      <c r="J28" s="61"/>
      <c r="R28" s="47"/>
    </row>
    <row r="29" spans="1:36">
      <c r="A29" s="43" t="s">
        <v>60</v>
      </c>
      <c r="G29" s="44" t="s">
        <v>144</v>
      </c>
      <c r="H29" s="61"/>
      <c r="I29" s="61"/>
      <c r="J29" s="61"/>
      <c r="R29" s="47"/>
      <c r="AH29" s="43" t="s">
        <v>60</v>
      </c>
    </row>
    <row r="30" spans="1:36">
      <c r="A30" s="47" t="s">
        <v>61</v>
      </c>
      <c r="B30" s="50" t="s">
        <v>62</v>
      </c>
      <c r="C30" s="54"/>
      <c r="D30" s="54"/>
      <c r="E30" s="54"/>
      <c r="F30" s="54"/>
      <c r="G30" s="54"/>
      <c r="H30" s="61"/>
      <c r="I30" s="61"/>
      <c r="J30" s="61"/>
      <c r="L30" s="61"/>
      <c r="R30" s="50" t="s">
        <v>62</v>
      </c>
      <c r="AH30" s="47" t="s">
        <v>63</v>
      </c>
      <c r="AI30" s="50" t="s">
        <v>62</v>
      </c>
    </row>
    <row r="31" spans="1:36">
      <c r="A31" s="152">
        <v>1</v>
      </c>
      <c r="B31" s="52" t="s">
        <v>64</v>
      </c>
      <c r="C31" s="57">
        <f>销量!C8</f>
        <v>750</v>
      </c>
      <c r="D31" s="57">
        <f>销量!D8</f>
        <v>1644</v>
      </c>
      <c r="E31" s="57">
        <f>销量!E8</f>
        <v>0</v>
      </c>
      <c r="F31" s="57">
        <f>销量!F8</f>
        <v>0</v>
      </c>
      <c r="G31" s="54"/>
      <c r="H31" s="61"/>
      <c r="I31" s="61"/>
      <c r="J31" s="61"/>
      <c r="L31" s="61"/>
      <c r="R31" s="47" t="s">
        <v>64</v>
      </c>
      <c r="AH31" s="47" t="s">
        <v>18</v>
      </c>
      <c r="AI31" s="47" t="s">
        <v>64</v>
      </c>
    </row>
    <row r="32" spans="1:36">
      <c r="A32" s="152">
        <v>2</v>
      </c>
      <c r="B32" s="47" t="s">
        <v>145</v>
      </c>
      <c r="C32" s="49">
        <f>C9/C6</f>
        <v>727.5</v>
      </c>
      <c r="D32" s="49">
        <f t="shared" ref="D32:F32" si="23">D9/D6</f>
        <v>1594.68</v>
      </c>
      <c r="E32" s="49" t="e">
        <f t="shared" si="23"/>
        <v>#DIV/0!</v>
      </c>
      <c r="F32" s="49" t="e">
        <f t="shared" si="23"/>
        <v>#DIV/0!</v>
      </c>
      <c r="G32" s="54"/>
      <c r="H32" s="61"/>
      <c r="I32" s="61"/>
      <c r="J32" s="61"/>
      <c r="K32" s="61"/>
      <c r="L32" s="61"/>
      <c r="M32" s="61"/>
      <c r="N32" s="61"/>
      <c r="AH32" s="47"/>
      <c r="AI32" s="47"/>
    </row>
    <row r="33" spans="1:35">
      <c r="A33" s="152">
        <v>3</v>
      </c>
      <c r="B33" s="52" t="s">
        <v>65</v>
      </c>
      <c r="C33" s="49">
        <f>材料成本!F40</f>
        <v>595.57999999999993</v>
      </c>
      <c r="D33" s="49">
        <f>材料成本!F41</f>
        <v>1404.1834863512267</v>
      </c>
      <c r="E33" s="49">
        <f>材料成本!F42</f>
        <v>0</v>
      </c>
      <c r="F33" s="49">
        <f>材料成本!F43</f>
        <v>0</v>
      </c>
      <c r="G33" s="54"/>
      <c r="I33" s="61"/>
      <c r="J33" s="61"/>
      <c r="K33" s="61"/>
      <c r="L33" s="61"/>
      <c r="M33" s="61"/>
      <c r="N33" s="61"/>
      <c r="R33" s="47" t="s">
        <v>65</v>
      </c>
      <c r="AH33" s="47" t="s">
        <v>20</v>
      </c>
      <c r="AI33" s="47" t="s">
        <v>65</v>
      </c>
    </row>
    <row r="34" spans="1:35" ht="17.25" customHeight="1">
      <c r="A34" s="152">
        <v>4</v>
      </c>
      <c r="B34" s="47" t="s">
        <v>67</v>
      </c>
      <c r="C34" s="58">
        <f>C32-C33</f>
        <v>131.92000000000007</v>
      </c>
      <c r="D34" s="58">
        <f t="shared" ref="D34:F34" si="24">D32-D33</f>
        <v>190.49651364877332</v>
      </c>
      <c r="E34" s="58" t="e">
        <f t="shared" si="24"/>
        <v>#DIV/0!</v>
      </c>
      <c r="F34" s="58" t="e">
        <f t="shared" si="24"/>
        <v>#DIV/0!</v>
      </c>
      <c r="G34" s="54"/>
      <c r="I34" s="61"/>
      <c r="J34" s="61"/>
      <c r="K34" s="61"/>
      <c r="L34" s="61"/>
      <c r="M34" s="61"/>
      <c r="N34" s="61"/>
      <c r="R34" s="47" t="s">
        <v>67</v>
      </c>
      <c r="AH34" s="47" t="s">
        <v>66</v>
      </c>
      <c r="AI34" s="47" t="s">
        <v>67</v>
      </c>
    </row>
    <row r="35" spans="1:35">
      <c r="A35" s="47" t="s">
        <v>63</v>
      </c>
      <c r="B35" s="50" t="s">
        <v>8</v>
      </c>
      <c r="C35" s="54"/>
      <c r="D35" s="54"/>
      <c r="E35" s="54"/>
      <c r="F35" s="54"/>
      <c r="G35" s="5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50" t="s">
        <v>8</v>
      </c>
      <c r="AH35" s="47" t="s">
        <v>69</v>
      </c>
      <c r="AI35" s="50" t="s">
        <v>8</v>
      </c>
    </row>
    <row r="36" spans="1:35">
      <c r="A36" s="152">
        <v>1</v>
      </c>
      <c r="B36" s="47" t="s">
        <v>70</v>
      </c>
      <c r="C36" s="53">
        <f>'2023年'!C36</f>
        <v>10.574999999999999</v>
      </c>
      <c r="D36" s="53">
        <f>'2023年'!D36</f>
        <v>23.180399999999999</v>
      </c>
      <c r="E36" s="53">
        <f>'2023年'!E36</f>
        <v>0</v>
      </c>
      <c r="F36" s="53">
        <f>'2023年'!F36</f>
        <v>0</v>
      </c>
      <c r="G36" s="57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47" t="s">
        <v>70</v>
      </c>
      <c r="AH36" s="47" t="s">
        <v>66</v>
      </c>
      <c r="AI36" s="47" t="s">
        <v>70</v>
      </c>
    </row>
    <row r="37" spans="1:35">
      <c r="A37" s="152">
        <v>2</v>
      </c>
      <c r="B37" s="47" t="s">
        <v>71</v>
      </c>
      <c r="C37" s="53">
        <f>'2023年'!C37</f>
        <v>45</v>
      </c>
      <c r="D37" s="53">
        <f>'2023年'!D37</f>
        <v>98.64</v>
      </c>
      <c r="E37" s="53">
        <f>'2023年'!E37</f>
        <v>0</v>
      </c>
      <c r="F37" s="53">
        <f>'2023年'!F37</f>
        <v>0</v>
      </c>
      <c r="G37" s="57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47" t="s">
        <v>71</v>
      </c>
      <c r="AH37" s="47" t="s">
        <v>23</v>
      </c>
      <c r="AI37" s="47" t="s">
        <v>71</v>
      </c>
    </row>
    <row r="38" spans="1:35">
      <c r="A38" s="152">
        <v>3</v>
      </c>
      <c r="B38" s="47" t="s">
        <v>72</v>
      </c>
      <c r="C38" s="53">
        <f>'2023年'!C38</f>
        <v>17.324999999999999</v>
      </c>
      <c r="D38" s="53">
        <f>'2023年'!D38</f>
        <v>37.976399999999998</v>
      </c>
      <c r="E38" s="53">
        <f>'2023年'!E38</f>
        <v>0</v>
      </c>
      <c r="F38" s="53">
        <f>'2023年'!F38</f>
        <v>0</v>
      </c>
      <c r="G38" s="57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47" t="s">
        <v>72</v>
      </c>
      <c r="AH38" s="47" t="s">
        <v>29</v>
      </c>
      <c r="AI38" s="47" t="s">
        <v>72</v>
      </c>
    </row>
    <row r="39" spans="1:35">
      <c r="A39" s="47" t="s">
        <v>69</v>
      </c>
      <c r="B39" s="50" t="s">
        <v>74</v>
      </c>
      <c r="C39" s="54"/>
      <c r="D39" s="54"/>
      <c r="E39" s="54"/>
      <c r="F39" s="54"/>
      <c r="G39" s="54"/>
      <c r="R39" s="50" t="s">
        <v>74</v>
      </c>
      <c r="AH39" s="47" t="s">
        <v>73</v>
      </c>
      <c r="AI39" s="50" t="s">
        <v>74</v>
      </c>
    </row>
    <row r="40" spans="1:35">
      <c r="A40" s="152">
        <v>1</v>
      </c>
      <c r="B40" s="47" t="s">
        <v>76</v>
      </c>
      <c r="C40" s="54">
        <f>C34-C36-C37-C38</f>
        <v>59.020000000000067</v>
      </c>
      <c r="D40" s="54">
        <f t="shared" ref="D40:F40" si="25">D34-D36-D37-D38</f>
        <v>30.699713648773326</v>
      </c>
      <c r="E40" s="54" t="e">
        <f t="shared" si="25"/>
        <v>#DIV/0!</v>
      </c>
      <c r="F40" s="54" t="e">
        <f t="shared" si="25"/>
        <v>#DIV/0!</v>
      </c>
      <c r="G40" s="54"/>
      <c r="R40" s="47" t="s">
        <v>76</v>
      </c>
      <c r="AH40" s="47" t="s">
        <v>18</v>
      </c>
      <c r="AI40" s="47" t="s">
        <v>76</v>
      </c>
    </row>
    <row r="41" spans="1:35">
      <c r="A41" s="152">
        <v>2</v>
      </c>
      <c r="B41" s="47" t="s">
        <v>77</v>
      </c>
      <c r="C41" s="54"/>
      <c r="D41" s="54"/>
      <c r="E41" s="54"/>
      <c r="F41" s="54"/>
      <c r="G41" s="54"/>
      <c r="R41" s="47" t="s">
        <v>77</v>
      </c>
      <c r="AH41" s="47" t="s">
        <v>20</v>
      </c>
      <c r="AI41" s="47" t="s">
        <v>77</v>
      </c>
    </row>
    <row r="42" spans="1:35">
      <c r="A42" s="47" t="s">
        <v>73</v>
      </c>
      <c r="B42" s="50" t="s">
        <v>79</v>
      </c>
      <c r="C42" s="54"/>
      <c r="D42" s="54"/>
      <c r="E42" s="54"/>
      <c r="F42" s="54"/>
      <c r="G42" s="54"/>
      <c r="R42" s="50" t="s">
        <v>79</v>
      </c>
      <c r="AH42" s="47" t="s">
        <v>78</v>
      </c>
      <c r="AI42" s="50" t="s">
        <v>79</v>
      </c>
    </row>
    <row r="43" spans="1:35">
      <c r="A43" s="152">
        <v>1</v>
      </c>
      <c r="B43" s="55" t="s">
        <v>80</v>
      </c>
      <c r="C43" s="53">
        <f>'2023年'!C43</f>
        <v>28.274999999999999</v>
      </c>
      <c r="D43" s="53">
        <f>'2023年'!D43</f>
        <v>61.978799999999993</v>
      </c>
      <c r="E43" s="53">
        <f>'2023年'!E43</f>
        <v>0</v>
      </c>
      <c r="F43" s="53">
        <f>'2023年'!F43</f>
        <v>0</v>
      </c>
      <c r="G43" s="54"/>
      <c r="R43" s="47" t="s">
        <v>80</v>
      </c>
      <c r="AH43" s="47" t="s">
        <v>18</v>
      </c>
      <c r="AI43" s="47" t="s">
        <v>80</v>
      </c>
    </row>
    <row r="44" spans="1:35">
      <c r="A44" s="152">
        <v>2</v>
      </c>
      <c r="B44" s="55" t="s">
        <v>81</v>
      </c>
      <c r="C44" s="53">
        <f>'2023年'!C44</f>
        <v>5.0999999999999996</v>
      </c>
      <c r="D44" s="53">
        <f>'2023年'!D44</f>
        <v>11.1792</v>
      </c>
      <c r="E44" s="53">
        <f>'2023年'!E44</f>
        <v>0</v>
      </c>
      <c r="F44" s="53">
        <f>'2023年'!F44</f>
        <v>0</v>
      </c>
      <c r="G44" s="54"/>
      <c r="R44" s="47" t="s">
        <v>81</v>
      </c>
      <c r="AH44" s="47" t="s">
        <v>20</v>
      </c>
      <c r="AI44" s="47" t="s">
        <v>81</v>
      </c>
    </row>
    <row r="45" spans="1:35">
      <c r="A45" s="152">
        <v>3</v>
      </c>
      <c r="B45" s="55" t="s">
        <v>82</v>
      </c>
      <c r="C45" s="53">
        <f>'2023年'!C45</f>
        <v>20.25</v>
      </c>
      <c r="D45" s="53">
        <f>'2023年'!D45</f>
        <v>44.387999999999998</v>
      </c>
      <c r="E45" s="53">
        <f>'2023年'!E45</f>
        <v>0</v>
      </c>
      <c r="F45" s="53">
        <f>'2023年'!F45</f>
        <v>0</v>
      </c>
      <c r="G45" s="54"/>
      <c r="R45" s="47" t="s">
        <v>82</v>
      </c>
      <c r="AH45" s="47" t="s">
        <v>66</v>
      </c>
      <c r="AI45" s="47" t="s">
        <v>82</v>
      </c>
    </row>
    <row r="46" spans="1:35" s="42" customFormat="1">
      <c r="A46" s="152">
        <v>4</v>
      </c>
      <c r="B46" s="55" t="s">
        <v>83</v>
      </c>
      <c r="C46" s="59">
        <f>C21/C6</f>
        <v>1.829</v>
      </c>
      <c r="D46" s="59">
        <f t="shared" ref="D46:F46" si="26">D21/D6</f>
        <v>1.829</v>
      </c>
      <c r="E46" s="59" t="e">
        <f t="shared" si="26"/>
        <v>#DIV/0!</v>
      </c>
      <c r="F46" s="59" t="e">
        <f t="shared" si="26"/>
        <v>#DIV/0!</v>
      </c>
      <c r="G46" s="59"/>
      <c r="R46" s="55" t="s">
        <v>85</v>
      </c>
      <c r="AH46" s="55" t="s">
        <v>26</v>
      </c>
      <c r="AI46" s="55" t="s">
        <v>85</v>
      </c>
    </row>
    <row r="47" spans="1:35" s="42" customFormat="1">
      <c r="A47" s="152">
        <v>5</v>
      </c>
      <c r="B47" s="55" t="s">
        <v>85</v>
      </c>
      <c r="C47" s="59">
        <f>'2023年'!C47</f>
        <v>17.309999999999999</v>
      </c>
      <c r="D47" s="59">
        <f>'2023年'!D47</f>
        <v>37.943519999999999</v>
      </c>
      <c r="E47" s="59">
        <f>'2023年'!E47</f>
        <v>0</v>
      </c>
      <c r="F47" s="59">
        <f>'2023年'!F47</f>
        <v>0</v>
      </c>
      <c r="G47" s="59"/>
      <c r="R47" s="55" t="s">
        <v>85</v>
      </c>
      <c r="AH47" s="55" t="s">
        <v>26</v>
      </c>
      <c r="AI47" s="55" t="s">
        <v>85</v>
      </c>
    </row>
    <row r="48" spans="1:35">
      <c r="A48" s="47" t="s">
        <v>78</v>
      </c>
      <c r="B48" s="50" t="s">
        <v>96</v>
      </c>
      <c r="C48" s="54">
        <f>C40-C43-C44-C45-C47-C46</f>
        <v>-13.743999999999932</v>
      </c>
      <c r="D48" s="54">
        <f t="shared" ref="D48:F48" si="27">D40-D43-D44-D45-D47-D46</f>
        <v>-126.61880635122667</v>
      </c>
      <c r="E48" s="54" t="e">
        <f t="shared" si="27"/>
        <v>#DIV/0!</v>
      </c>
      <c r="F48" s="54" t="e">
        <f t="shared" si="27"/>
        <v>#DIV/0!</v>
      </c>
      <c r="G48" s="54"/>
      <c r="R48" s="50" t="s">
        <v>96</v>
      </c>
      <c r="AH48" s="47" t="s">
        <v>95</v>
      </c>
      <c r="AI48" s="50" t="s">
        <v>96</v>
      </c>
    </row>
    <row r="51" spans="2:12">
      <c r="C51" s="60"/>
      <c r="D51" s="60"/>
      <c r="E51" s="60"/>
      <c r="F51" s="60"/>
    </row>
    <row r="54" spans="2:12">
      <c r="B54" s="61"/>
      <c r="C54" s="62"/>
      <c r="D54" s="62"/>
      <c r="E54" s="62"/>
      <c r="F54" s="62"/>
      <c r="G54" s="62"/>
      <c r="H54" s="61"/>
      <c r="I54" s="61"/>
      <c r="J54" s="61"/>
      <c r="K54" s="61"/>
      <c r="L54" s="61"/>
    </row>
    <row r="55" spans="2:12">
      <c r="B55" s="61"/>
      <c r="C55" s="62"/>
      <c r="D55" s="62"/>
      <c r="E55" s="62"/>
      <c r="F55" s="62"/>
      <c r="G55" s="62"/>
      <c r="H55" s="61"/>
      <c r="I55" s="61"/>
      <c r="J55" s="61"/>
      <c r="K55" s="61"/>
      <c r="L55" s="61"/>
    </row>
    <row r="56" spans="2:12">
      <c r="B56" s="61"/>
      <c r="C56" s="62"/>
      <c r="D56" s="62"/>
      <c r="E56" s="62"/>
      <c r="F56" s="62"/>
      <c r="G56" s="62"/>
      <c r="H56" s="61"/>
      <c r="I56" s="61"/>
      <c r="J56" s="61"/>
      <c r="K56" s="61"/>
      <c r="L56" s="61"/>
    </row>
    <row r="57" spans="2:12">
      <c r="B57" s="61"/>
      <c r="C57" s="62"/>
      <c r="D57" s="62"/>
      <c r="E57" s="62"/>
      <c r="F57" s="62"/>
      <c r="G57" s="62"/>
      <c r="H57" s="61"/>
      <c r="I57" s="61"/>
      <c r="J57" s="61"/>
      <c r="K57" s="61"/>
      <c r="L57" s="61"/>
    </row>
    <row r="58" spans="2:12">
      <c r="B58" s="61"/>
      <c r="C58" s="62"/>
      <c r="D58" s="62"/>
      <c r="E58" s="62"/>
      <c r="F58" s="62"/>
      <c r="G58" s="62"/>
      <c r="H58" s="61"/>
      <c r="I58" s="61"/>
      <c r="J58" s="61"/>
      <c r="K58" s="61"/>
      <c r="L58" s="61"/>
    </row>
    <row r="59" spans="2:12">
      <c r="B59" s="61"/>
      <c r="C59" s="62"/>
      <c r="D59" s="62"/>
      <c r="E59" s="62"/>
      <c r="F59" s="62"/>
      <c r="G59" s="62"/>
      <c r="H59" s="61"/>
      <c r="I59" s="61"/>
      <c r="J59" s="61"/>
      <c r="K59" s="61"/>
      <c r="L59" s="61"/>
    </row>
    <row r="60" spans="2:12">
      <c r="B60" s="61"/>
      <c r="C60" s="62"/>
      <c r="D60" s="62"/>
      <c r="E60" s="62"/>
      <c r="F60" s="62"/>
      <c r="G60" s="62"/>
      <c r="H60" s="61"/>
      <c r="I60" s="61"/>
      <c r="J60" s="61"/>
      <c r="K60" s="61"/>
      <c r="L60" s="61"/>
    </row>
    <row r="61" spans="2:12">
      <c r="B61" s="61"/>
      <c r="C61" s="62"/>
      <c r="D61" s="62"/>
      <c r="E61" s="62"/>
      <c r="F61" s="62"/>
      <c r="G61" s="62"/>
      <c r="H61" s="61"/>
      <c r="I61" s="61"/>
      <c r="J61" s="61"/>
      <c r="K61" s="61"/>
      <c r="L61" s="61"/>
    </row>
    <row r="62" spans="2:12">
      <c r="B62" s="61"/>
      <c r="C62" s="62"/>
      <c r="D62" s="62"/>
      <c r="E62" s="62"/>
      <c r="F62" s="62"/>
      <c r="G62" s="62"/>
      <c r="H62" s="61"/>
      <c r="I62" s="61"/>
      <c r="J62" s="61"/>
      <c r="K62" s="61"/>
      <c r="L62" s="61"/>
    </row>
    <row r="63" spans="2:12">
      <c r="B63" s="61"/>
      <c r="C63" s="62"/>
      <c r="D63" s="62"/>
      <c r="E63" s="62"/>
      <c r="F63" s="62"/>
      <c r="G63" s="62"/>
      <c r="H63" s="61"/>
      <c r="I63" s="61"/>
      <c r="J63" s="61"/>
      <c r="K63" s="61"/>
      <c r="L63" s="61"/>
    </row>
    <row r="64" spans="2:12">
      <c r="B64" s="61"/>
      <c r="C64" s="62"/>
      <c r="D64" s="62"/>
      <c r="E64" s="62"/>
      <c r="F64" s="62"/>
      <c r="G64" s="62"/>
      <c r="H64" s="61"/>
      <c r="I64" s="61"/>
      <c r="J64" s="61"/>
      <c r="K64" s="61"/>
      <c r="L64" s="61"/>
    </row>
    <row r="65" spans="2:12">
      <c r="B65" s="61"/>
      <c r="C65" s="62"/>
      <c r="D65" s="62"/>
      <c r="E65" s="62"/>
      <c r="F65" s="62"/>
      <c r="G65" s="62"/>
      <c r="H65" s="61"/>
      <c r="I65" s="61"/>
      <c r="J65" s="61"/>
      <c r="K65" s="61"/>
      <c r="L65" s="61"/>
    </row>
    <row r="66" spans="2:12">
      <c r="B66" s="61"/>
      <c r="C66" s="62"/>
      <c r="D66" s="62"/>
      <c r="E66" s="62"/>
      <c r="F66" s="62"/>
      <c r="G66" s="62"/>
      <c r="H66" s="61"/>
      <c r="I66" s="61"/>
      <c r="J66" s="61"/>
      <c r="K66" s="61"/>
      <c r="L66" s="61"/>
    </row>
    <row r="67" spans="2:12">
      <c r="B67" s="61"/>
      <c r="C67" s="62"/>
      <c r="D67" s="62"/>
      <c r="E67" s="62"/>
      <c r="F67" s="62"/>
      <c r="G67" s="62"/>
      <c r="H67" s="61"/>
    </row>
    <row r="68" spans="2:12">
      <c r="B68" s="61"/>
      <c r="C68" s="62"/>
      <c r="D68" s="62"/>
      <c r="E68" s="62"/>
      <c r="F68" s="62"/>
      <c r="G68" s="62"/>
      <c r="H68" s="61"/>
    </row>
    <row r="69" spans="2:12">
      <c r="B69" s="61"/>
      <c r="C69" s="62"/>
      <c r="D69" s="62"/>
      <c r="E69" s="62"/>
      <c r="F69" s="62"/>
      <c r="G69" s="62"/>
      <c r="H69" s="61"/>
    </row>
    <row r="70" spans="2:12">
      <c r="B70" s="61"/>
      <c r="C70" s="62"/>
      <c r="D70" s="62"/>
      <c r="E70" s="62"/>
      <c r="F70" s="62"/>
      <c r="G70" s="62"/>
      <c r="H70" s="61"/>
    </row>
    <row r="71" spans="2:12">
      <c r="B71" s="61"/>
      <c r="C71" s="62"/>
      <c r="D71" s="62"/>
      <c r="E71" s="62"/>
      <c r="F71" s="62"/>
      <c r="G71" s="62"/>
      <c r="H71" s="61"/>
    </row>
    <row r="72" spans="2:12">
      <c r="B72" s="61"/>
      <c r="C72" s="62"/>
      <c r="D72" s="62"/>
      <c r="E72" s="62"/>
      <c r="F72" s="62"/>
      <c r="G72" s="62"/>
      <c r="H72" s="61"/>
    </row>
    <row r="73" spans="2:12">
      <c r="B73" s="61"/>
      <c r="C73" s="62"/>
      <c r="D73" s="62"/>
      <c r="E73" s="62"/>
      <c r="F73" s="62"/>
      <c r="G73" s="62"/>
      <c r="H73" s="61"/>
    </row>
    <row r="74" spans="2:12">
      <c r="B74" s="61"/>
      <c r="C74" s="62"/>
      <c r="D74" s="62"/>
      <c r="E74" s="62"/>
      <c r="F74" s="62"/>
      <c r="G74" s="62"/>
      <c r="H74" s="61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35" activePane="bottomRight" state="frozen"/>
      <selection pane="topRight"/>
      <selection pane="bottomLeft"/>
      <selection pane="bottomRight" activeCell="D10" sqref="D10"/>
    </sheetView>
  </sheetViews>
  <sheetFormatPr defaultColWidth="9" defaultRowHeight="16.5"/>
  <cols>
    <col min="1" max="1" width="5.125" style="43" customWidth="1"/>
    <col min="2" max="2" width="17.5" style="43" customWidth="1"/>
    <col min="3" max="3" width="13.25" style="44" customWidth="1"/>
    <col min="4" max="4" width="20.25" style="44" bestFit="1" customWidth="1"/>
    <col min="5" max="6" width="13.25" style="44" customWidth="1"/>
    <col min="7" max="7" width="18.75" style="44" customWidth="1"/>
    <col min="8" max="8" width="12.375" style="43" customWidth="1"/>
    <col min="9" max="9" width="10.125" style="43" customWidth="1"/>
    <col min="10" max="16" width="9" style="43" customWidth="1"/>
    <col min="17" max="33" width="9" style="43"/>
    <col min="34" max="34" width="4.375" style="43" customWidth="1"/>
    <col min="35" max="35" width="13.875" style="43" customWidth="1"/>
    <col min="36" max="16384" width="9" style="43"/>
  </cols>
  <sheetData>
    <row r="1" spans="1:36">
      <c r="A1" s="237" t="s">
        <v>136</v>
      </c>
      <c r="B1" s="237"/>
      <c r="C1" s="241" t="s">
        <v>236</v>
      </c>
      <c r="D1" s="242"/>
      <c r="E1" s="242"/>
      <c r="F1" s="242"/>
      <c r="G1" s="243"/>
    </row>
    <row r="2" spans="1:36">
      <c r="A2" s="237" t="s">
        <v>137</v>
      </c>
      <c r="B2" s="237"/>
      <c r="C2" s="244" t="str">
        <f>'2023年'!C2:G2</f>
        <v>一汽解放</v>
      </c>
      <c r="D2" s="244"/>
      <c r="E2" s="244"/>
      <c r="F2" s="244"/>
      <c r="G2" s="244"/>
    </row>
    <row r="3" spans="1:36">
      <c r="A3" s="237" t="s">
        <v>138</v>
      </c>
      <c r="B3" s="237"/>
      <c r="C3" s="153" t="str">
        <f>销量!C5</f>
        <v>前座总成</v>
      </c>
      <c r="D3" s="153" t="str">
        <f>销量!D5</f>
        <v>驾驶员总成</v>
      </c>
      <c r="E3" s="153">
        <f>销量!E5</f>
        <v>0</v>
      </c>
      <c r="F3" s="153">
        <f>销量!F5</f>
        <v>0</v>
      </c>
      <c r="G3" s="238" t="s">
        <v>14</v>
      </c>
    </row>
    <row r="4" spans="1:36" ht="28.5">
      <c r="A4" s="237" t="s">
        <v>139</v>
      </c>
      <c r="B4" s="237"/>
      <c r="C4" s="153" t="str">
        <f>销量!C6</f>
        <v>6900010GH13-C00/A</v>
      </c>
      <c r="D4" s="153" t="str">
        <f>销量!D6</f>
        <v>6800010PH13-C00/A</v>
      </c>
      <c r="E4" s="153">
        <f>销量!E6</f>
        <v>0</v>
      </c>
      <c r="F4" s="153">
        <f>销量!F6</f>
        <v>0</v>
      </c>
      <c r="G4" s="239"/>
    </row>
    <row r="5" spans="1:36">
      <c r="A5" s="237" t="s">
        <v>140</v>
      </c>
      <c r="B5" s="237"/>
      <c r="C5" s="46"/>
      <c r="D5" s="46"/>
      <c r="E5" s="46"/>
      <c r="F5" s="46"/>
      <c r="G5" s="240"/>
      <c r="AJ5" s="43" t="s">
        <v>15</v>
      </c>
    </row>
    <row r="6" spans="1:36" ht="17.25">
      <c r="A6" s="47" t="s">
        <v>13</v>
      </c>
      <c r="B6" s="48" t="s">
        <v>141</v>
      </c>
      <c r="C6" s="20">
        <f>销量!C11</f>
        <v>10000</v>
      </c>
      <c r="D6" s="20">
        <f>销量!D11</f>
        <v>10000</v>
      </c>
      <c r="E6" s="20">
        <f>销量!E11</f>
        <v>0</v>
      </c>
      <c r="F6" s="20">
        <f>销量!F11</f>
        <v>0</v>
      </c>
      <c r="G6" s="49">
        <f t="shared" ref="G6:G15" si="0">SUM(C6:F6)</f>
        <v>20000</v>
      </c>
      <c r="R6" s="48" t="s">
        <v>3</v>
      </c>
      <c r="AH6" s="47" t="s">
        <v>13</v>
      </c>
      <c r="AI6" s="48" t="s">
        <v>3</v>
      </c>
      <c r="AJ6" s="43" t="s">
        <v>16</v>
      </c>
    </row>
    <row r="7" spans="1:36">
      <c r="A7" s="152">
        <v>1</v>
      </c>
      <c r="B7" s="48" t="s">
        <v>17</v>
      </c>
      <c r="C7" s="49">
        <f>C6*销量!C8</f>
        <v>7500000</v>
      </c>
      <c r="D7" s="49">
        <f>D6*销量!D8</f>
        <v>16440000</v>
      </c>
      <c r="E7" s="49">
        <f>E6*销量!E8</f>
        <v>0</v>
      </c>
      <c r="F7" s="49">
        <f>F6*销量!F8</f>
        <v>0</v>
      </c>
      <c r="G7" s="49">
        <f t="shared" si="0"/>
        <v>23940000</v>
      </c>
      <c r="H7" s="44"/>
      <c r="R7" s="48" t="s">
        <v>17</v>
      </c>
      <c r="AH7" s="47" t="s">
        <v>18</v>
      </c>
      <c r="AI7" s="48" t="s">
        <v>17</v>
      </c>
      <c r="AJ7" s="43" t="s">
        <v>16</v>
      </c>
    </row>
    <row r="8" spans="1:36">
      <c r="A8" s="152">
        <v>2</v>
      </c>
      <c r="B8" s="152" t="s">
        <v>19</v>
      </c>
      <c r="C8" s="49">
        <f>C7*(1-销量!$L$8)</f>
        <v>443249.99999999948</v>
      </c>
      <c r="D8" s="49">
        <f>D7*(1-销量!$L$8)</f>
        <v>971603.99999999884</v>
      </c>
      <c r="E8" s="49">
        <f>E7*(1-销量!$L$8)</f>
        <v>0</v>
      </c>
      <c r="F8" s="49">
        <f>F7*(1-销量!$L$8)</f>
        <v>0</v>
      </c>
      <c r="G8" s="49">
        <f t="shared" si="0"/>
        <v>1414853.9999999984</v>
      </c>
      <c r="H8" s="63"/>
      <c r="R8" s="152" t="s">
        <v>21</v>
      </c>
      <c r="AH8" s="47" t="s">
        <v>20</v>
      </c>
      <c r="AI8" s="152" t="s">
        <v>21</v>
      </c>
      <c r="AJ8" s="43" t="s">
        <v>16</v>
      </c>
    </row>
    <row r="9" spans="1:36">
      <c r="A9" s="152">
        <v>3</v>
      </c>
      <c r="B9" s="48" t="s">
        <v>22</v>
      </c>
      <c r="C9" s="49">
        <f>+C7-C8</f>
        <v>7056750.0000000009</v>
      </c>
      <c r="D9" s="49">
        <f t="shared" ref="D9:F9" si="1">+D7-D8</f>
        <v>15468396.000000002</v>
      </c>
      <c r="E9" s="49">
        <f t="shared" si="1"/>
        <v>0</v>
      </c>
      <c r="F9" s="49">
        <f t="shared" si="1"/>
        <v>0</v>
      </c>
      <c r="G9" s="49">
        <f t="shared" si="0"/>
        <v>22525146.000000004</v>
      </c>
      <c r="R9" s="48" t="s">
        <v>22</v>
      </c>
      <c r="AH9" s="47" t="s">
        <v>23</v>
      </c>
      <c r="AI9" s="48" t="s">
        <v>22</v>
      </c>
      <c r="AJ9" s="43" t="s">
        <v>24</v>
      </c>
    </row>
    <row r="10" spans="1:36">
      <c r="A10" s="152">
        <v>4</v>
      </c>
      <c r="B10" s="47" t="s">
        <v>25</v>
      </c>
      <c r="C10" s="49">
        <f>C6*材料成本!G40</f>
        <v>5777125.9999999991</v>
      </c>
      <c r="D10" s="49">
        <f>D6*材料成本!G41</f>
        <v>13620579.8176069</v>
      </c>
      <c r="E10" s="49">
        <f>E6*材料成本!G42</f>
        <v>0</v>
      </c>
      <c r="F10" s="49">
        <f>F6*材料成本!G43</f>
        <v>0</v>
      </c>
      <c r="G10" s="49">
        <f t="shared" si="0"/>
        <v>19397705.8176069</v>
      </c>
      <c r="R10" s="47" t="s">
        <v>25</v>
      </c>
      <c r="AH10" s="47" t="s">
        <v>26</v>
      </c>
      <c r="AI10" s="47" t="s">
        <v>25</v>
      </c>
      <c r="AJ10" s="43" t="s">
        <v>27</v>
      </c>
    </row>
    <row r="11" spans="1:36">
      <c r="A11" s="152">
        <v>5</v>
      </c>
      <c r="B11" s="47" t="s">
        <v>28</v>
      </c>
      <c r="C11" s="49">
        <f>+C6*C36</f>
        <v>105750</v>
      </c>
      <c r="D11" s="49">
        <f t="shared" ref="D11:E11" si="2">+D6*D36</f>
        <v>231804</v>
      </c>
      <c r="E11" s="49">
        <f t="shared" si="2"/>
        <v>0</v>
      </c>
      <c r="F11" s="49">
        <f t="shared" ref="F11" si="3">+F6*F36</f>
        <v>0</v>
      </c>
      <c r="G11" s="49">
        <f t="shared" si="0"/>
        <v>337554</v>
      </c>
      <c r="R11" s="47" t="s">
        <v>28</v>
      </c>
      <c r="AH11" s="47" t="s">
        <v>29</v>
      </c>
      <c r="AI11" s="47" t="s">
        <v>28</v>
      </c>
    </row>
    <row r="12" spans="1:36">
      <c r="A12" s="152">
        <v>6</v>
      </c>
      <c r="B12" s="47" t="s">
        <v>30</v>
      </c>
      <c r="C12" s="49">
        <f>+C6*C37</f>
        <v>450000</v>
      </c>
      <c r="D12" s="49">
        <f t="shared" ref="D12:E12" si="4">+D6*D37</f>
        <v>986400</v>
      </c>
      <c r="E12" s="49">
        <f t="shared" si="4"/>
        <v>0</v>
      </c>
      <c r="F12" s="49">
        <f t="shared" ref="F12" si="5">+F6*F37</f>
        <v>0</v>
      </c>
      <c r="G12" s="49">
        <f t="shared" si="0"/>
        <v>1436400</v>
      </c>
      <c r="R12" s="47" t="s">
        <v>30</v>
      </c>
      <c r="AH12" s="47" t="s">
        <v>31</v>
      </c>
      <c r="AI12" s="47" t="s">
        <v>30</v>
      </c>
    </row>
    <row r="13" spans="1:36">
      <c r="A13" s="152">
        <v>7</v>
      </c>
      <c r="B13" s="47" t="s">
        <v>32</v>
      </c>
      <c r="C13" s="49">
        <f>+C6*C38</f>
        <v>173250</v>
      </c>
      <c r="D13" s="49">
        <f t="shared" ref="D13:E13" si="6">+D6*D38</f>
        <v>379764</v>
      </c>
      <c r="E13" s="49">
        <f t="shared" si="6"/>
        <v>0</v>
      </c>
      <c r="F13" s="49">
        <f t="shared" ref="F13" si="7">+F6*F38</f>
        <v>0</v>
      </c>
      <c r="G13" s="49">
        <f t="shared" si="0"/>
        <v>553014</v>
      </c>
      <c r="R13" s="47" t="s">
        <v>32</v>
      </c>
      <c r="AH13" s="47" t="s">
        <v>33</v>
      </c>
      <c r="AI13" s="47" t="s">
        <v>32</v>
      </c>
      <c r="AJ13" s="43" t="s">
        <v>16</v>
      </c>
    </row>
    <row r="14" spans="1:36">
      <c r="A14" s="152">
        <v>8</v>
      </c>
      <c r="B14" s="50" t="s">
        <v>34</v>
      </c>
      <c r="C14" s="49">
        <f>SUM(C11:C13)</f>
        <v>729000</v>
      </c>
      <c r="D14" s="49">
        <f t="shared" ref="D14:F14" si="8">SUM(D11:D13)</f>
        <v>1597968</v>
      </c>
      <c r="E14" s="49">
        <f t="shared" si="8"/>
        <v>0</v>
      </c>
      <c r="F14" s="49">
        <f t="shared" si="8"/>
        <v>0</v>
      </c>
      <c r="G14" s="49">
        <f t="shared" si="0"/>
        <v>2326968</v>
      </c>
      <c r="R14" s="50" t="s">
        <v>34</v>
      </c>
      <c r="AH14" s="47" t="s">
        <v>35</v>
      </c>
      <c r="AI14" s="50" t="s">
        <v>34</v>
      </c>
    </row>
    <row r="15" spans="1:36">
      <c r="A15" s="152">
        <v>9</v>
      </c>
      <c r="B15" s="50" t="s">
        <v>36</v>
      </c>
      <c r="C15" s="49">
        <f>+C9-C10-C14</f>
        <v>550624.00000000186</v>
      </c>
      <c r="D15" s="49">
        <f t="shared" ref="D15:F15" si="9">+D9-D10-D14</f>
        <v>249848.18239310198</v>
      </c>
      <c r="E15" s="49">
        <f t="shared" si="9"/>
        <v>0</v>
      </c>
      <c r="F15" s="49">
        <f t="shared" si="9"/>
        <v>0</v>
      </c>
      <c r="G15" s="49">
        <f t="shared" si="0"/>
        <v>800472.18239310384</v>
      </c>
      <c r="R15" s="50" t="s">
        <v>36</v>
      </c>
      <c r="AH15" s="47" t="s">
        <v>37</v>
      </c>
      <c r="AI15" s="50" t="s">
        <v>36</v>
      </c>
    </row>
    <row r="16" spans="1:36">
      <c r="A16" s="152">
        <v>10</v>
      </c>
      <c r="B16" s="47" t="s">
        <v>38</v>
      </c>
      <c r="C16" s="51">
        <f>+C15/C9</f>
        <v>7.8027987387962128E-2</v>
      </c>
      <c r="D16" s="51">
        <f t="shared" ref="D16:F16" si="10">+D15/D9</f>
        <v>1.6152171330052704E-2</v>
      </c>
      <c r="E16" s="51" t="e">
        <f t="shared" si="10"/>
        <v>#DIV/0!</v>
      </c>
      <c r="F16" s="51" t="e">
        <f t="shared" si="10"/>
        <v>#DIV/0!</v>
      </c>
      <c r="G16" s="51">
        <f t="shared" ref="G16" si="11">+G15/G9</f>
        <v>3.5536825483533103E-2</v>
      </c>
      <c r="R16" s="47" t="s">
        <v>38</v>
      </c>
      <c r="AH16" s="47" t="s">
        <v>39</v>
      </c>
      <c r="AI16" s="47" t="s">
        <v>38</v>
      </c>
    </row>
    <row r="17" spans="1:36">
      <c r="A17" s="152">
        <v>11</v>
      </c>
      <c r="B17" s="47" t="s">
        <v>40</v>
      </c>
      <c r="C17" s="49">
        <f>C6*C43+C18</f>
        <v>295195</v>
      </c>
      <c r="D17" s="49">
        <f t="shared" ref="D17:F17" si="12">D6*D43+D18</f>
        <v>632232.99999999988</v>
      </c>
      <c r="E17" s="49">
        <f t="shared" si="12"/>
        <v>0</v>
      </c>
      <c r="F17" s="49">
        <f t="shared" si="12"/>
        <v>0</v>
      </c>
      <c r="G17" s="49">
        <f>SUM(C17:F17)</f>
        <v>927427.99999999988</v>
      </c>
      <c r="H17" s="63"/>
      <c r="R17" s="47" t="s">
        <v>40</v>
      </c>
      <c r="AH17" s="47" t="s">
        <v>41</v>
      </c>
      <c r="AI17" s="47" t="s">
        <v>40</v>
      </c>
    </row>
    <row r="18" spans="1:36" s="41" customFormat="1">
      <c r="A18" s="152">
        <v>12</v>
      </c>
      <c r="B18" s="52" t="s">
        <v>142</v>
      </c>
      <c r="C18" s="53">
        <f>$G$18/$G$6*C6</f>
        <v>12445</v>
      </c>
      <c r="D18" s="53">
        <f>$G$18/$G$6*D6</f>
        <v>12445</v>
      </c>
      <c r="E18" s="53">
        <f>$G$18/$G$6*E6</f>
        <v>0</v>
      </c>
      <c r="F18" s="53">
        <f>$G$18/$G$6*F6</f>
        <v>0</v>
      </c>
      <c r="G18" s="53">
        <f>项目投资!D26</f>
        <v>24890</v>
      </c>
      <c r="H18" s="64" t="s">
        <v>143</v>
      </c>
      <c r="I18" s="64"/>
      <c r="J18" s="64"/>
    </row>
    <row r="19" spans="1:36">
      <c r="A19" s="152">
        <v>13</v>
      </c>
      <c r="B19" s="47" t="s">
        <v>42</v>
      </c>
      <c r="C19" s="49">
        <f>C6*C44</f>
        <v>51000</v>
      </c>
      <c r="D19" s="49">
        <f t="shared" ref="D19:F19" si="13">D6*D44</f>
        <v>111792</v>
      </c>
      <c r="E19" s="49">
        <f t="shared" si="13"/>
        <v>0</v>
      </c>
      <c r="F19" s="49">
        <f t="shared" si="13"/>
        <v>0</v>
      </c>
      <c r="G19" s="49">
        <f>SUM(C19:F19)</f>
        <v>162792</v>
      </c>
      <c r="H19" s="41"/>
      <c r="R19" s="47" t="s">
        <v>42</v>
      </c>
      <c r="AH19" s="47" t="s">
        <v>43</v>
      </c>
      <c r="AI19" s="47" t="s">
        <v>42</v>
      </c>
      <c r="AJ19" s="43" t="s">
        <v>16</v>
      </c>
    </row>
    <row r="20" spans="1:36">
      <c r="A20" s="152">
        <v>14</v>
      </c>
      <c r="B20" s="47" t="s">
        <v>44</v>
      </c>
      <c r="C20" s="49">
        <f>C6*C45</f>
        <v>202500</v>
      </c>
      <c r="D20" s="49">
        <f t="shared" ref="D20:F20" si="14">D6*D45</f>
        <v>443880</v>
      </c>
      <c r="E20" s="49">
        <f t="shared" si="14"/>
        <v>0</v>
      </c>
      <c r="F20" s="49">
        <f t="shared" si="14"/>
        <v>0</v>
      </c>
      <c r="G20" s="49">
        <f>SUM(C20:F20)</f>
        <v>646380</v>
      </c>
      <c r="R20" s="47" t="s">
        <v>44</v>
      </c>
      <c r="AH20" s="47" t="s">
        <v>45</v>
      </c>
      <c r="AI20" s="47" t="s">
        <v>44</v>
      </c>
    </row>
    <row r="21" spans="1:36">
      <c r="A21" s="152">
        <v>15</v>
      </c>
      <c r="B21" s="47" t="s">
        <v>46</v>
      </c>
      <c r="C21" s="54">
        <f>$G$21/$G$6*C6</f>
        <v>18290</v>
      </c>
      <c r="D21" s="54">
        <f>$G$21/$G$6*D6</f>
        <v>18290</v>
      </c>
      <c r="E21" s="54">
        <f>$G$21/$G$6*E6</f>
        <v>0</v>
      </c>
      <c r="F21" s="54">
        <f>$G$21/$G$6*F6</f>
        <v>0</v>
      </c>
      <c r="G21" s="49">
        <f>项目投资!D27</f>
        <v>36580</v>
      </c>
      <c r="R21" s="47" t="s">
        <v>46</v>
      </c>
      <c r="AH21" s="47"/>
      <c r="AI21" s="47"/>
    </row>
    <row r="22" spans="1:36">
      <c r="A22" s="152">
        <v>16</v>
      </c>
      <c r="B22" s="47" t="s">
        <v>47</v>
      </c>
      <c r="C22" s="49">
        <f>C6*C47</f>
        <v>173100</v>
      </c>
      <c r="D22" s="49">
        <f t="shared" ref="D22:F22" si="15">D6*D47</f>
        <v>379435.2</v>
      </c>
      <c r="E22" s="49">
        <f t="shared" si="15"/>
        <v>0</v>
      </c>
      <c r="F22" s="49">
        <f t="shared" si="15"/>
        <v>0</v>
      </c>
      <c r="G22" s="49">
        <f>SUM(C22:F22)</f>
        <v>552535.19999999995</v>
      </c>
      <c r="R22" s="47" t="s">
        <v>47</v>
      </c>
      <c r="AH22" s="47" t="s">
        <v>48</v>
      </c>
      <c r="AI22" s="47" t="s">
        <v>47</v>
      </c>
    </row>
    <row r="23" spans="1:36">
      <c r="A23" s="152">
        <v>17</v>
      </c>
      <c r="B23" s="50" t="s">
        <v>49</v>
      </c>
      <c r="C23" s="54">
        <f>+C22+C21+C20+C19+C17</f>
        <v>740085</v>
      </c>
      <c r="D23" s="54">
        <f t="shared" ref="D23:F23" si="16">+D22+D21+D20+D19+D17</f>
        <v>1585630.1999999997</v>
      </c>
      <c r="E23" s="54">
        <f t="shared" si="16"/>
        <v>0</v>
      </c>
      <c r="F23" s="54">
        <f t="shared" si="16"/>
        <v>0</v>
      </c>
      <c r="G23" s="54">
        <f t="shared" ref="G23" si="17">+G22+G21+G20+G19+G17</f>
        <v>2325715.1999999997</v>
      </c>
      <c r="R23" s="50" t="s">
        <v>49</v>
      </c>
      <c r="AH23" s="47" t="s">
        <v>50</v>
      </c>
      <c r="AI23" s="50" t="s">
        <v>49</v>
      </c>
    </row>
    <row r="24" spans="1:36">
      <c r="A24" s="152">
        <v>18</v>
      </c>
      <c r="B24" s="55" t="s">
        <v>51</v>
      </c>
      <c r="C24" s="54">
        <f>+C15-C23</f>
        <v>-189460.99999999814</v>
      </c>
      <c r="D24" s="54">
        <f t="shared" ref="D24:F24" si="18">+D15-D23</f>
        <v>-1335782.0176068977</v>
      </c>
      <c r="E24" s="54">
        <f t="shared" si="18"/>
        <v>0</v>
      </c>
      <c r="F24" s="54">
        <f t="shared" si="18"/>
        <v>0</v>
      </c>
      <c r="G24" s="54">
        <f t="shared" ref="G24" si="19">+G15-G23</f>
        <v>-1525243.0176068959</v>
      </c>
      <c r="I24" s="65"/>
      <c r="R24" s="47" t="s">
        <v>51</v>
      </c>
      <c r="AH24" s="47" t="s">
        <v>52</v>
      </c>
      <c r="AI24" s="47" t="s">
        <v>51</v>
      </c>
    </row>
    <row r="25" spans="1:36">
      <c r="A25" s="152">
        <v>19</v>
      </c>
      <c r="B25" s="47" t="s">
        <v>234</v>
      </c>
      <c r="C25" s="54">
        <f>IF(C24&lt;0,0,C24*0.15)</f>
        <v>0</v>
      </c>
      <c r="D25" s="54">
        <f>IF(D24&lt;0,0,D24*0.15)</f>
        <v>0</v>
      </c>
      <c r="E25" s="54">
        <f>IF(E24&lt;0,0,E24*0.15)</f>
        <v>0</v>
      </c>
      <c r="F25" s="54">
        <f>IF(F24&lt;0,0,F24*0.15)</f>
        <v>0</v>
      </c>
      <c r="G25" s="54">
        <f>IF(G24&lt;0,0,G24*0.15)</f>
        <v>0</v>
      </c>
      <c r="H25" s="61"/>
      <c r="I25" s="61"/>
      <c r="J25" s="61"/>
      <c r="R25" s="47" t="s">
        <v>53</v>
      </c>
      <c r="AH25" s="47" t="s">
        <v>54</v>
      </c>
      <c r="AI25" s="47" t="s">
        <v>53</v>
      </c>
    </row>
    <row r="26" spans="1:36">
      <c r="A26" s="152">
        <v>20</v>
      </c>
      <c r="B26" s="47" t="s">
        <v>55</v>
      </c>
      <c r="C26" s="54">
        <f t="shared" ref="C26:F26" si="20">C24-C25</f>
        <v>-189460.99999999814</v>
      </c>
      <c r="D26" s="54">
        <f t="shared" si="20"/>
        <v>-1335782.0176068977</v>
      </c>
      <c r="E26" s="54">
        <f t="shared" si="20"/>
        <v>0</v>
      </c>
      <c r="F26" s="54">
        <f t="shared" si="20"/>
        <v>0</v>
      </c>
      <c r="G26" s="49">
        <f>G24-G25</f>
        <v>-1525243.0176068959</v>
      </c>
      <c r="H26" s="178"/>
      <c r="I26" s="61"/>
      <c r="J26" s="61"/>
      <c r="R26" s="47" t="s">
        <v>55</v>
      </c>
      <c r="AH26" s="47" t="s">
        <v>56</v>
      </c>
      <c r="AI26" s="47" t="s">
        <v>55</v>
      </c>
    </row>
    <row r="27" spans="1:36">
      <c r="A27" s="152">
        <v>21</v>
      </c>
      <c r="B27" s="47" t="s">
        <v>59</v>
      </c>
      <c r="C27" s="124">
        <f t="shared" ref="C27:G27" si="21">C26/C7</f>
        <v>-2.526146666666642E-2</v>
      </c>
      <c r="D27" s="124">
        <f t="shared" ref="D27:F27" si="22">D26/D7</f>
        <v>-8.1251947542998651E-2</v>
      </c>
      <c r="E27" s="124" t="e">
        <f t="shared" si="22"/>
        <v>#DIV/0!</v>
      </c>
      <c r="F27" s="124" t="e">
        <f t="shared" si="22"/>
        <v>#DIV/0!</v>
      </c>
      <c r="G27" s="124">
        <f t="shared" si="21"/>
        <v>-6.3711070075476023E-2</v>
      </c>
      <c r="H27" s="176"/>
      <c r="I27" s="61"/>
      <c r="J27" s="61"/>
      <c r="R27" s="47" t="s">
        <v>59</v>
      </c>
      <c r="AH27" s="47" t="s">
        <v>58</v>
      </c>
      <c r="AI27" s="47" t="s">
        <v>59</v>
      </c>
    </row>
    <row r="28" spans="1:36">
      <c r="H28" s="61"/>
      <c r="I28" s="61"/>
      <c r="J28" s="61"/>
      <c r="R28" s="47"/>
    </row>
    <row r="29" spans="1:36">
      <c r="A29" s="43" t="s">
        <v>60</v>
      </c>
      <c r="G29" s="44" t="s">
        <v>144</v>
      </c>
      <c r="H29" s="61"/>
      <c r="I29" s="61"/>
      <c r="J29" s="61"/>
      <c r="R29" s="47"/>
      <c r="AH29" s="43" t="s">
        <v>60</v>
      </c>
    </row>
    <row r="30" spans="1:36">
      <c r="A30" s="47" t="s">
        <v>61</v>
      </c>
      <c r="B30" s="50" t="s">
        <v>62</v>
      </c>
      <c r="C30" s="54"/>
      <c r="D30" s="54"/>
      <c r="E30" s="54"/>
      <c r="F30" s="54"/>
      <c r="G30" s="54"/>
      <c r="H30" s="61"/>
      <c r="I30" s="61"/>
      <c r="J30" s="61"/>
      <c r="L30" s="61"/>
      <c r="R30" s="50" t="s">
        <v>62</v>
      </c>
      <c r="AH30" s="47" t="s">
        <v>63</v>
      </c>
      <c r="AI30" s="50" t="s">
        <v>62</v>
      </c>
    </row>
    <row r="31" spans="1:36">
      <c r="A31" s="152">
        <v>1</v>
      </c>
      <c r="B31" s="52" t="s">
        <v>64</v>
      </c>
      <c r="C31" s="57">
        <f>销量!C8</f>
        <v>750</v>
      </c>
      <c r="D31" s="57">
        <f>销量!D8</f>
        <v>1644</v>
      </c>
      <c r="E31" s="57">
        <f>销量!E8</f>
        <v>0</v>
      </c>
      <c r="F31" s="57">
        <f>销量!F8</f>
        <v>0</v>
      </c>
      <c r="G31" s="54"/>
      <c r="H31" s="61"/>
      <c r="I31" s="61"/>
      <c r="J31" s="61"/>
      <c r="L31" s="61"/>
      <c r="R31" s="47" t="s">
        <v>64</v>
      </c>
      <c r="AH31" s="47" t="s">
        <v>18</v>
      </c>
      <c r="AI31" s="47" t="s">
        <v>64</v>
      </c>
    </row>
    <row r="32" spans="1:36">
      <c r="A32" s="152">
        <v>2</v>
      </c>
      <c r="B32" s="47" t="s">
        <v>145</v>
      </c>
      <c r="C32" s="49">
        <f>C9/C6</f>
        <v>705.67500000000007</v>
      </c>
      <c r="D32" s="49">
        <f t="shared" ref="D32:E32" si="23">D9/D6</f>
        <v>1546.8396000000002</v>
      </c>
      <c r="E32" s="49" t="e">
        <f t="shared" si="23"/>
        <v>#DIV/0!</v>
      </c>
      <c r="F32" s="49" t="e">
        <f t="shared" ref="F32" si="24">F9/F6</f>
        <v>#DIV/0!</v>
      </c>
      <c r="G32" s="54"/>
      <c r="H32" s="61"/>
      <c r="I32" s="61"/>
      <c r="J32" s="61"/>
      <c r="K32" s="61"/>
      <c r="L32" s="61"/>
      <c r="M32" s="61"/>
      <c r="N32" s="61"/>
      <c r="AH32" s="47"/>
      <c r="AI32" s="47"/>
    </row>
    <row r="33" spans="1:35">
      <c r="A33" s="152">
        <v>3</v>
      </c>
      <c r="B33" s="52" t="s">
        <v>65</v>
      </c>
      <c r="C33" s="49">
        <f>材料成本!G40</f>
        <v>577.71259999999995</v>
      </c>
      <c r="D33" s="49">
        <f>材料成本!G41</f>
        <v>1362.0579817606899</v>
      </c>
      <c r="E33" s="49">
        <f>材料成本!G42</f>
        <v>0</v>
      </c>
      <c r="F33" s="49">
        <f>材料成本!G43</f>
        <v>0</v>
      </c>
      <c r="G33" s="54"/>
      <c r="I33" s="61"/>
      <c r="J33" s="61"/>
      <c r="K33" s="61"/>
      <c r="L33" s="61"/>
      <c r="M33" s="61"/>
      <c r="N33" s="61"/>
      <c r="R33" s="47" t="s">
        <v>65</v>
      </c>
      <c r="AH33" s="47" t="s">
        <v>20</v>
      </c>
      <c r="AI33" s="47" t="s">
        <v>65</v>
      </c>
    </row>
    <row r="34" spans="1:35" ht="17.25" customHeight="1">
      <c r="A34" s="152">
        <v>4</v>
      </c>
      <c r="B34" s="47" t="s">
        <v>67</v>
      </c>
      <c r="C34" s="58">
        <f>C32-C33</f>
        <v>127.96240000000012</v>
      </c>
      <c r="D34" s="58">
        <f t="shared" ref="D34:E34" si="25">D32-D33</f>
        <v>184.78161823931032</v>
      </c>
      <c r="E34" s="58" t="e">
        <f t="shared" si="25"/>
        <v>#DIV/0!</v>
      </c>
      <c r="F34" s="58" t="e">
        <f t="shared" ref="F34" si="26">F32-F33</f>
        <v>#DIV/0!</v>
      </c>
      <c r="G34" s="54"/>
      <c r="I34" s="61"/>
      <c r="J34" s="61"/>
      <c r="K34" s="61"/>
      <c r="L34" s="61"/>
      <c r="M34" s="61"/>
      <c r="N34" s="61"/>
      <c r="R34" s="47" t="s">
        <v>67</v>
      </c>
      <c r="AH34" s="47" t="s">
        <v>66</v>
      </c>
      <c r="AI34" s="47" t="s">
        <v>67</v>
      </c>
    </row>
    <row r="35" spans="1:35">
      <c r="A35" s="47" t="s">
        <v>63</v>
      </c>
      <c r="B35" s="50" t="s">
        <v>8</v>
      </c>
      <c r="C35" s="54"/>
      <c r="D35" s="54"/>
      <c r="E35" s="54"/>
      <c r="F35" s="54"/>
      <c r="G35" s="5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50" t="s">
        <v>8</v>
      </c>
      <c r="AH35" s="47" t="s">
        <v>69</v>
      </c>
      <c r="AI35" s="50" t="s">
        <v>8</v>
      </c>
    </row>
    <row r="36" spans="1:35">
      <c r="A36" s="152">
        <v>1</v>
      </c>
      <c r="B36" s="47" t="s">
        <v>70</v>
      </c>
      <c r="C36" s="53">
        <f>'2023年'!C36</f>
        <v>10.574999999999999</v>
      </c>
      <c r="D36" s="53">
        <f>'2023年'!D36</f>
        <v>23.180399999999999</v>
      </c>
      <c r="E36" s="53">
        <f>'2023年'!E36</f>
        <v>0</v>
      </c>
      <c r="F36" s="53">
        <f>'2023年'!F36</f>
        <v>0</v>
      </c>
      <c r="G36" s="57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47" t="s">
        <v>70</v>
      </c>
      <c r="AH36" s="47" t="s">
        <v>66</v>
      </c>
      <c r="AI36" s="47" t="s">
        <v>70</v>
      </c>
    </row>
    <row r="37" spans="1:35">
      <c r="A37" s="152">
        <v>2</v>
      </c>
      <c r="B37" s="47" t="s">
        <v>71</v>
      </c>
      <c r="C37" s="53">
        <f>'2023年'!C37</f>
        <v>45</v>
      </c>
      <c r="D37" s="53">
        <f>'2023年'!D37</f>
        <v>98.64</v>
      </c>
      <c r="E37" s="53">
        <f>'2023年'!E37</f>
        <v>0</v>
      </c>
      <c r="F37" s="53">
        <f>'2023年'!F37</f>
        <v>0</v>
      </c>
      <c r="G37" s="57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47" t="s">
        <v>71</v>
      </c>
      <c r="AH37" s="47" t="s">
        <v>23</v>
      </c>
      <c r="AI37" s="47" t="s">
        <v>71</v>
      </c>
    </row>
    <row r="38" spans="1:35">
      <c r="A38" s="152">
        <v>3</v>
      </c>
      <c r="B38" s="47" t="s">
        <v>72</v>
      </c>
      <c r="C38" s="53">
        <f>'2023年'!C38</f>
        <v>17.324999999999999</v>
      </c>
      <c r="D38" s="53">
        <f>'2023年'!D38</f>
        <v>37.976399999999998</v>
      </c>
      <c r="E38" s="53">
        <f>'2023年'!E38</f>
        <v>0</v>
      </c>
      <c r="F38" s="53">
        <f>'2023年'!F38</f>
        <v>0</v>
      </c>
      <c r="G38" s="57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47" t="s">
        <v>72</v>
      </c>
      <c r="AH38" s="47" t="s">
        <v>29</v>
      </c>
      <c r="AI38" s="47" t="s">
        <v>72</v>
      </c>
    </row>
    <row r="39" spans="1:35">
      <c r="A39" s="47" t="s">
        <v>69</v>
      </c>
      <c r="B39" s="50" t="s">
        <v>74</v>
      </c>
      <c r="C39" s="54"/>
      <c r="D39" s="54"/>
      <c r="E39" s="54"/>
      <c r="F39" s="54"/>
      <c r="G39" s="54"/>
      <c r="R39" s="50" t="s">
        <v>74</v>
      </c>
      <c r="AH39" s="47" t="s">
        <v>73</v>
      </c>
      <c r="AI39" s="50" t="s">
        <v>74</v>
      </c>
    </row>
    <row r="40" spans="1:35">
      <c r="A40" s="152">
        <v>1</v>
      </c>
      <c r="B40" s="47" t="s">
        <v>76</v>
      </c>
      <c r="C40" s="54">
        <f>C34-C36-C37-C38</f>
        <v>55.06240000000011</v>
      </c>
      <c r="D40" s="54">
        <f t="shared" ref="D40:F40" si="27">D34-D36-D37-D38</f>
        <v>24.984818239310329</v>
      </c>
      <c r="E40" s="54" t="e">
        <f t="shared" si="27"/>
        <v>#DIV/0!</v>
      </c>
      <c r="F40" s="54" t="e">
        <f t="shared" si="27"/>
        <v>#DIV/0!</v>
      </c>
      <c r="G40" s="54"/>
      <c r="R40" s="47" t="s">
        <v>76</v>
      </c>
      <c r="AH40" s="47" t="s">
        <v>18</v>
      </c>
      <c r="AI40" s="47" t="s">
        <v>76</v>
      </c>
    </row>
    <row r="41" spans="1:35">
      <c r="A41" s="152">
        <v>2</v>
      </c>
      <c r="B41" s="47" t="s">
        <v>77</v>
      </c>
      <c r="C41" s="54"/>
      <c r="D41" s="54"/>
      <c r="E41" s="54"/>
      <c r="F41" s="54"/>
      <c r="G41" s="54"/>
      <c r="R41" s="47" t="s">
        <v>77</v>
      </c>
      <c r="AH41" s="47" t="s">
        <v>20</v>
      </c>
      <c r="AI41" s="47" t="s">
        <v>77</v>
      </c>
    </row>
    <row r="42" spans="1:35">
      <c r="A42" s="47" t="s">
        <v>73</v>
      </c>
      <c r="B42" s="50" t="s">
        <v>79</v>
      </c>
      <c r="C42" s="54"/>
      <c r="D42" s="54"/>
      <c r="E42" s="54"/>
      <c r="F42" s="54"/>
      <c r="G42" s="54"/>
      <c r="R42" s="50" t="s">
        <v>79</v>
      </c>
      <c r="AH42" s="47" t="s">
        <v>78</v>
      </c>
      <c r="AI42" s="50" t="s">
        <v>79</v>
      </c>
    </row>
    <row r="43" spans="1:35">
      <c r="A43" s="152">
        <v>1</v>
      </c>
      <c r="B43" s="55" t="s">
        <v>80</v>
      </c>
      <c r="C43" s="53">
        <f>'2023年'!C43</f>
        <v>28.274999999999999</v>
      </c>
      <c r="D43" s="53">
        <f>'2023年'!D43</f>
        <v>61.978799999999993</v>
      </c>
      <c r="E43" s="53">
        <f>'2023年'!E43</f>
        <v>0</v>
      </c>
      <c r="F43" s="53">
        <f>'2023年'!F43</f>
        <v>0</v>
      </c>
      <c r="G43" s="54"/>
      <c r="R43" s="47" t="s">
        <v>80</v>
      </c>
      <c r="AH43" s="47" t="s">
        <v>18</v>
      </c>
      <c r="AI43" s="47" t="s">
        <v>80</v>
      </c>
    </row>
    <row r="44" spans="1:35">
      <c r="A44" s="152">
        <v>2</v>
      </c>
      <c r="B44" s="55" t="s">
        <v>81</v>
      </c>
      <c r="C44" s="53">
        <f>'2023年'!C44</f>
        <v>5.0999999999999996</v>
      </c>
      <c r="D44" s="53">
        <f>'2023年'!D44</f>
        <v>11.1792</v>
      </c>
      <c r="E44" s="53">
        <f>'2023年'!E44</f>
        <v>0</v>
      </c>
      <c r="F44" s="53">
        <f>'2023年'!F44</f>
        <v>0</v>
      </c>
      <c r="G44" s="54"/>
      <c r="R44" s="47" t="s">
        <v>81</v>
      </c>
      <c r="AH44" s="47" t="s">
        <v>20</v>
      </c>
      <c r="AI44" s="47" t="s">
        <v>81</v>
      </c>
    </row>
    <row r="45" spans="1:35">
      <c r="A45" s="152">
        <v>3</v>
      </c>
      <c r="B45" s="55" t="s">
        <v>82</v>
      </c>
      <c r="C45" s="53">
        <f>'2023年'!C45</f>
        <v>20.25</v>
      </c>
      <c r="D45" s="53">
        <f>'2023年'!D45</f>
        <v>44.387999999999998</v>
      </c>
      <c r="E45" s="53">
        <f>'2023年'!E45</f>
        <v>0</v>
      </c>
      <c r="F45" s="53">
        <f>'2023年'!F45</f>
        <v>0</v>
      </c>
      <c r="G45" s="54"/>
      <c r="R45" s="47" t="s">
        <v>82</v>
      </c>
      <c r="AH45" s="47" t="s">
        <v>66</v>
      </c>
      <c r="AI45" s="47" t="s">
        <v>82</v>
      </c>
    </row>
    <row r="46" spans="1:35" s="42" customFormat="1">
      <c r="A46" s="152">
        <v>4</v>
      </c>
      <c r="B46" s="55" t="s">
        <v>83</v>
      </c>
      <c r="C46" s="59">
        <f>C21/C6</f>
        <v>1.829</v>
      </c>
      <c r="D46" s="59">
        <f t="shared" ref="D46:F46" si="28">D21/D6</f>
        <v>1.829</v>
      </c>
      <c r="E46" s="59" t="e">
        <f t="shared" si="28"/>
        <v>#DIV/0!</v>
      </c>
      <c r="F46" s="59" t="e">
        <f t="shared" si="28"/>
        <v>#DIV/0!</v>
      </c>
      <c r="G46" s="59"/>
      <c r="R46" s="55" t="s">
        <v>85</v>
      </c>
      <c r="AH46" s="55" t="s">
        <v>26</v>
      </c>
      <c r="AI46" s="55" t="s">
        <v>85</v>
      </c>
    </row>
    <row r="47" spans="1:35" s="42" customFormat="1">
      <c r="A47" s="152">
        <v>5</v>
      </c>
      <c r="B47" s="55" t="s">
        <v>85</v>
      </c>
      <c r="C47" s="59">
        <f>'2023年'!C47</f>
        <v>17.309999999999999</v>
      </c>
      <c r="D47" s="59">
        <f>'2023年'!D47</f>
        <v>37.943519999999999</v>
      </c>
      <c r="E47" s="59">
        <f>'2023年'!E47</f>
        <v>0</v>
      </c>
      <c r="F47" s="59">
        <f>'2023年'!F47</f>
        <v>0</v>
      </c>
      <c r="G47" s="59"/>
      <c r="R47" s="55" t="s">
        <v>85</v>
      </c>
      <c r="AH47" s="55" t="s">
        <v>26</v>
      </c>
      <c r="AI47" s="55" t="s">
        <v>85</v>
      </c>
    </row>
    <row r="48" spans="1:35">
      <c r="A48" s="47" t="s">
        <v>78</v>
      </c>
      <c r="B48" s="50" t="s">
        <v>96</v>
      </c>
      <c r="C48" s="54">
        <f>C40-C43-C44-C45-C47-C46</f>
        <v>-17.701599999999889</v>
      </c>
      <c r="D48" s="54">
        <f t="shared" ref="D48:F48" si="29">D40-D43-D44-D45-D47-D46</f>
        <v>-132.33370176068968</v>
      </c>
      <c r="E48" s="54" t="e">
        <f t="shared" si="29"/>
        <v>#DIV/0!</v>
      </c>
      <c r="F48" s="54" t="e">
        <f t="shared" si="29"/>
        <v>#DIV/0!</v>
      </c>
      <c r="G48" s="54"/>
      <c r="R48" s="50" t="s">
        <v>96</v>
      </c>
      <c r="AH48" s="47" t="s">
        <v>95</v>
      </c>
      <c r="AI48" s="50" t="s">
        <v>96</v>
      </c>
    </row>
    <row r="51" spans="2:12">
      <c r="C51" s="60"/>
      <c r="D51" s="60"/>
      <c r="E51" s="60"/>
      <c r="F51" s="60"/>
    </row>
    <row r="54" spans="2:12">
      <c r="B54" s="61"/>
      <c r="C54" s="62"/>
      <c r="D54" s="62"/>
      <c r="E54" s="62"/>
      <c r="F54" s="62"/>
      <c r="G54" s="62"/>
      <c r="H54" s="61"/>
      <c r="I54" s="61"/>
      <c r="J54" s="61"/>
      <c r="K54" s="61"/>
      <c r="L54" s="61"/>
    </row>
    <row r="55" spans="2:12">
      <c r="B55" s="61"/>
      <c r="C55" s="62"/>
      <c r="D55" s="62"/>
      <c r="E55" s="62"/>
      <c r="F55" s="62"/>
      <c r="G55" s="62"/>
      <c r="H55" s="61"/>
      <c r="I55" s="61"/>
      <c r="J55" s="61"/>
      <c r="K55" s="61"/>
      <c r="L55" s="61"/>
    </row>
    <row r="56" spans="2:12">
      <c r="B56" s="61"/>
      <c r="C56" s="62"/>
      <c r="D56" s="62"/>
      <c r="E56" s="62"/>
      <c r="F56" s="62"/>
      <c r="G56" s="62"/>
      <c r="H56" s="61"/>
      <c r="I56" s="61"/>
      <c r="J56" s="61"/>
      <c r="K56" s="61"/>
      <c r="L56" s="61"/>
    </row>
    <row r="57" spans="2:12">
      <c r="B57" s="61"/>
      <c r="C57" s="62"/>
      <c r="D57" s="62"/>
      <c r="E57" s="62"/>
      <c r="F57" s="62"/>
      <c r="G57" s="62"/>
      <c r="H57" s="61"/>
      <c r="I57" s="61"/>
      <c r="J57" s="61"/>
      <c r="K57" s="61"/>
      <c r="L57" s="61"/>
    </row>
    <row r="58" spans="2:12">
      <c r="B58" s="61"/>
      <c r="C58" s="62"/>
      <c r="D58" s="62"/>
      <c r="E58" s="62"/>
      <c r="F58" s="62"/>
      <c r="G58" s="62"/>
      <c r="H58" s="61"/>
      <c r="I58" s="61"/>
      <c r="J58" s="61"/>
      <c r="K58" s="61"/>
      <c r="L58" s="61"/>
    </row>
    <row r="59" spans="2:12">
      <c r="B59" s="61"/>
      <c r="C59" s="62"/>
      <c r="D59" s="62"/>
      <c r="E59" s="62"/>
      <c r="F59" s="62"/>
      <c r="G59" s="62"/>
      <c r="H59" s="61"/>
      <c r="I59" s="61"/>
      <c r="J59" s="61"/>
      <c r="K59" s="61"/>
      <c r="L59" s="61"/>
    </row>
    <row r="60" spans="2:12">
      <c r="B60" s="61"/>
      <c r="C60" s="62"/>
      <c r="D60" s="62"/>
      <c r="E60" s="62"/>
      <c r="F60" s="62"/>
      <c r="G60" s="62"/>
      <c r="H60" s="61"/>
      <c r="I60" s="61"/>
      <c r="J60" s="61"/>
      <c r="K60" s="61"/>
      <c r="L60" s="61"/>
    </row>
    <row r="61" spans="2:12">
      <c r="B61" s="61"/>
      <c r="C61" s="62"/>
      <c r="D61" s="62"/>
      <c r="E61" s="62"/>
      <c r="F61" s="62"/>
      <c r="G61" s="62"/>
      <c r="H61" s="61"/>
      <c r="I61" s="61"/>
      <c r="J61" s="61"/>
      <c r="K61" s="61"/>
      <c r="L61" s="61"/>
    </row>
    <row r="62" spans="2:12">
      <c r="B62" s="61"/>
      <c r="C62" s="62"/>
      <c r="D62" s="62"/>
      <c r="E62" s="62"/>
      <c r="F62" s="62"/>
      <c r="G62" s="62"/>
      <c r="H62" s="61"/>
      <c r="I62" s="61"/>
      <c r="J62" s="61"/>
      <c r="K62" s="61"/>
      <c r="L62" s="61"/>
    </row>
    <row r="63" spans="2:12">
      <c r="B63" s="61"/>
      <c r="C63" s="62"/>
      <c r="D63" s="62"/>
      <c r="E63" s="62"/>
      <c r="F63" s="62"/>
      <c r="G63" s="62"/>
      <c r="H63" s="61"/>
      <c r="I63" s="61"/>
      <c r="J63" s="61"/>
      <c r="K63" s="61"/>
      <c r="L63" s="61"/>
    </row>
    <row r="64" spans="2:12">
      <c r="B64" s="61"/>
      <c r="C64" s="62"/>
      <c r="D64" s="62"/>
      <c r="E64" s="62"/>
      <c r="F64" s="62"/>
      <c r="G64" s="62"/>
      <c r="H64" s="61"/>
      <c r="I64" s="61"/>
      <c r="J64" s="61"/>
      <c r="K64" s="61"/>
      <c r="L64" s="61"/>
    </row>
    <row r="65" spans="2:12">
      <c r="B65" s="61"/>
      <c r="C65" s="62"/>
      <c r="D65" s="62"/>
      <c r="E65" s="62"/>
      <c r="F65" s="62"/>
      <c r="G65" s="62"/>
      <c r="H65" s="61"/>
      <c r="I65" s="61"/>
      <c r="J65" s="61"/>
      <c r="K65" s="61"/>
      <c r="L65" s="61"/>
    </row>
    <row r="66" spans="2:12">
      <c r="B66" s="61"/>
      <c r="C66" s="62"/>
      <c r="D66" s="62"/>
      <c r="E66" s="62"/>
      <c r="F66" s="62"/>
      <c r="G66" s="62"/>
      <c r="H66" s="61"/>
      <c r="I66" s="61"/>
      <c r="J66" s="61"/>
      <c r="K66" s="61"/>
      <c r="L66" s="61"/>
    </row>
    <row r="67" spans="2:12">
      <c r="B67" s="61"/>
      <c r="C67" s="62"/>
      <c r="D67" s="62"/>
      <c r="E67" s="62"/>
      <c r="F67" s="62"/>
      <c r="G67" s="62"/>
      <c r="H67" s="61"/>
    </row>
    <row r="68" spans="2:12">
      <c r="B68" s="61"/>
      <c r="C68" s="62"/>
      <c r="D68" s="62"/>
      <c r="E68" s="62"/>
      <c r="F68" s="62"/>
      <c r="G68" s="62"/>
      <c r="H68" s="61"/>
    </row>
    <row r="69" spans="2:12">
      <c r="B69" s="61"/>
      <c r="C69" s="62"/>
      <c r="D69" s="62"/>
      <c r="E69" s="62"/>
      <c r="F69" s="62"/>
      <c r="G69" s="62"/>
      <c r="H69" s="61"/>
    </row>
    <row r="70" spans="2:12">
      <c r="B70" s="61"/>
      <c r="C70" s="62"/>
      <c r="D70" s="62"/>
      <c r="E70" s="62"/>
      <c r="F70" s="62"/>
      <c r="G70" s="62"/>
      <c r="H70" s="61"/>
    </row>
    <row r="71" spans="2:12">
      <c r="B71" s="61"/>
      <c r="C71" s="62"/>
      <c r="D71" s="62"/>
      <c r="E71" s="62"/>
      <c r="F71" s="62"/>
      <c r="G71" s="62"/>
      <c r="H71" s="61"/>
    </row>
    <row r="72" spans="2:12">
      <c r="B72" s="61"/>
      <c r="C72" s="62"/>
      <c r="D72" s="62"/>
      <c r="E72" s="62"/>
      <c r="F72" s="62"/>
      <c r="G72" s="62"/>
      <c r="H72" s="61"/>
    </row>
    <row r="73" spans="2:12">
      <c r="B73" s="61"/>
      <c r="C73" s="62"/>
      <c r="D73" s="62"/>
      <c r="E73" s="62"/>
      <c r="F73" s="62"/>
      <c r="G73" s="62"/>
      <c r="H73" s="61"/>
    </row>
    <row r="74" spans="2:12">
      <c r="B74" s="61"/>
      <c r="C74" s="62"/>
      <c r="D74" s="62"/>
      <c r="E74" s="62"/>
      <c r="F74" s="62"/>
      <c r="G74" s="62"/>
      <c r="H74" s="61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3" customWidth="1"/>
    <col min="2" max="2" width="17.5" style="43" customWidth="1"/>
    <col min="3" max="3" width="13.25" style="44" customWidth="1"/>
    <col min="4" max="4" width="20.25" style="44" bestFit="1" customWidth="1"/>
    <col min="5" max="6" width="13.25" style="44" customWidth="1"/>
    <col min="7" max="7" width="18.75" style="44" customWidth="1"/>
    <col min="8" max="8" width="12.375" style="43" customWidth="1"/>
    <col min="9" max="9" width="10.125" style="43" customWidth="1"/>
    <col min="10" max="16" width="9" style="43" customWidth="1"/>
    <col min="17" max="33" width="9" style="43"/>
    <col min="34" max="34" width="4.375" style="43" customWidth="1"/>
    <col min="35" max="35" width="13.875" style="43" customWidth="1"/>
    <col min="36" max="16384" width="9" style="43"/>
  </cols>
  <sheetData>
    <row r="1" spans="1:36">
      <c r="A1" s="237" t="s">
        <v>136</v>
      </c>
      <c r="B1" s="237"/>
      <c r="C1" s="241" t="s">
        <v>250</v>
      </c>
      <c r="D1" s="242"/>
      <c r="E1" s="242"/>
      <c r="F1" s="242"/>
      <c r="G1" s="243"/>
    </row>
    <row r="2" spans="1:36">
      <c r="A2" s="237" t="s">
        <v>137</v>
      </c>
      <c r="B2" s="237"/>
      <c r="C2" s="244" t="str">
        <f>'2023年'!C2:G2</f>
        <v>一汽解放</v>
      </c>
      <c r="D2" s="244"/>
      <c r="E2" s="244"/>
      <c r="F2" s="244"/>
      <c r="G2" s="244"/>
    </row>
    <row r="3" spans="1:36">
      <c r="A3" s="237" t="s">
        <v>138</v>
      </c>
      <c r="B3" s="237"/>
      <c r="C3" s="153" t="str">
        <f>销量!C5</f>
        <v>前座总成</v>
      </c>
      <c r="D3" s="153" t="str">
        <f>销量!D5</f>
        <v>驾驶员总成</v>
      </c>
      <c r="E3" s="153">
        <f>销量!E5</f>
        <v>0</v>
      </c>
      <c r="F3" s="153">
        <f>销量!F5</f>
        <v>0</v>
      </c>
      <c r="G3" s="238" t="s">
        <v>14</v>
      </c>
    </row>
    <row r="4" spans="1:36" ht="28.5">
      <c r="A4" s="237" t="s">
        <v>139</v>
      </c>
      <c r="B4" s="237"/>
      <c r="C4" s="153" t="str">
        <f>销量!C6</f>
        <v>6900010GH13-C00/A</v>
      </c>
      <c r="D4" s="153" t="str">
        <f>销量!D6</f>
        <v>6800010PH13-C00/A</v>
      </c>
      <c r="E4" s="153">
        <f>销量!E6</f>
        <v>0</v>
      </c>
      <c r="F4" s="153">
        <f>销量!F6</f>
        <v>0</v>
      </c>
      <c r="G4" s="239"/>
    </row>
    <row r="5" spans="1:36">
      <c r="A5" s="237" t="s">
        <v>140</v>
      </c>
      <c r="B5" s="237"/>
      <c r="C5" s="46"/>
      <c r="D5" s="46"/>
      <c r="E5" s="46"/>
      <c r="F5" s="46"/>
      <c r="G5" s="240"/>
      <c r="AJ5" s="43" t="s">
        <v>15</v>
      </c>
    </row>
    <row r="6" spans="1:36" ht="17.25">
      <c r="A6" s="47" t="s">
        <v>13</v>
      </c>
      <c r="B6" s="48" t="s">
        <v>141</v>
      </c>
      <c r="C6" s="20">
        <f>销量!C11</f>
        <v>10000</v>
      </c>
      <c r="D6" s="20">
        <f>销量!D11</f>
        <v>10000</v>
      </c>
      <c r="E6" s="20">
        <f>销量!E11</f>
        <v>0</v>
      </c>
      <c r="F6" s="20">
        <f>销量!F11</f>
        <v>0</v>
      </c>
      <c r="G6" s="49">
        <f t="shared" ref="G6:G15" si="0">SUM(C6:F6)</f>
        <v>20000</v>
      </c>
      <c r="R6" s="48" t="s">
        <v>3</v>
      </c>
      <c r="AH6" s="47" t="s">
        <v>13</v>
      </c>
      <c r="AI6" s="48" t="s">
        <v>3</v>
      </c>
      <c r="AJ6" s="43" t="s">
        <v>16</v>
      </c>
    </row>
    <row r="7" spans="1:36">
      <c r="A7" s="182">
        <v>1</v>
      </c>
      <c r="B7" s="48" t="s">
        <v>17</v>
      </c>
      <c r="C7" s="49">
        <f>C6*销量!C8</f>
        <v>7500000</v>
      </c>
      <c r="D7" s="49">
        <f>D6*销量!D8</f>
        <v>16440000</v>
      </c>
      <c r="E7" s="49">
        <f>E6*销量!E8</f>
        <v>0</v>
      </c>
      <c r="F7" s="49">
        <f>F6*销量!F8</f>
        <v>0</v>
      </c>
      <c r="G7" s="49">
        <f t="shared" si="0"/>
        <v>23940000</v>
      </c>
      <c r="H7" s="44"/>
      <c r="R7" s="48" t="s">
        <v>17</v>
      </c>
      <c r="AH7" s="47" t="s">
        <v>18</v>
      </c>
      <c r="AI7" s="48" t="s">
        <v>17</v>
      </c>
      <c r="AJ7" s="43" t="s">
        <v>16</v>
      </c>
    </row>
    <row r="8" spans="1:36">
      <c r="A8" s="182">
        <v>2</v>
      </c>
      <c r="B8" s="182" t="s">
        <v>19</v>
      </c>
      <c r="C8" s="49">
        <f>C7*(1-销量!$L$9)</f>
        <v>654952.49999999953</v>
      </c>
      <c r="D8" s="49">
        <f>D7*(1-销量!$L$9)</f>
        <v>1435655.879999999</v>
      </c>
      <c r="E8" s="49">
        <f>E7*(1-销量!$L$9)</f>
        <v>0</v>
      </c>
      <c r="F8" s="49">
        <f>F7*(1-销量!$L$9)</f>
        <v>0</v>
      </c>
      <c r="G8" s="49">
        <f t="shared" si="0"/>
        <v>2090608.3799999985</v>
      </c>
      <c r="H8" s="63"/>
      <c r="R8" s="182" t="s">
        <v>21</v>
      </c>
      <c r="AH8" s="47" t="s">
        <v>20</v>
      </c>
      <c r="AI8" s="182" t="s">
        <v>21</v>
      </c>
      <c r="AJ8" s="43" t="s">
        <v>16</v>
      </c>
    </row>
    <row r="9" spans="1:36">
      <c r="A9" s="182">
        <v>3</v>
      </c>
      <c r="B9" s="48" t="s">
        <v>22</v>
      </c>
      <c r="C9" s="49">
        <f>+C7-C8</f>
        <v>6845047.5</v>
      </c>
      <c r="D9" s="49">
        <f t="shared" ref="D9:F9" si="1">+D7-D8</f>
        <v>15004344.120000001</v>
      </c>
      <c r="E9" s="49">
        <f t="shared" si="1"/>
        <v>0</v>
      </c>
      <c r="F9" s="49">
        <f t="shared" si="1"/>
        <v>0</v>
      </c>
      <c r="G9" s="49">
        <f t="shared" si="0"/>
        <v>21849391.620000001</v>
      </c>
      <c r="R9" s="48" t="s">
        <v>22</v>
      </c>
      <c r="AH9" s="47" t="s">
        <v>23</v>
      </c>
      <c r="AI9" s="48" t="s">
        <v>22</v>
      </c>
      <c r="AJ9" s="43" t="s">
        <v>24</v>
      </c>
    </row>
    <row r="10" spans="1:36">
      <c r="A10" s="182">
        <v>4</v>
      </c>
      <c r="B10" s="47" t="s">
        <v>25</v>
      </c>
      <c r="C10" s="49">
        <f>C6*材料成本!H40</f>
        <v>5603812.2199999997</v>
      </c>
      <c r="D10" s="49">
        <f>D6*材料成本!H41</f>
        <v>13211962.423078692</v>
      </c>
      <c r="E10" s="49">
        <f>E6*材料成本!H42</f>
        <v>0</v>
      </c>
      <c r="F10" s="49">
        <f>F6*材料成本!H43</f>
        <v>0</v>
      </c>
      <c r="G10" s="49">
        <f t="shared" si="0"/>
        <v>18815774.643078692</v>
      </c>
      <c r="R10" s="47" t="s">
        <v>25</v>
      </c>
      <c r="AH10" s="47" t="s">
        <v>26</v>
      </c>
      <c r="AI10" s="47" t="s">
        <v>25</v>
      </c>
      <c r="AJ10" s="43" t="s">
        <v>27</v>
      </c>
    </row>
    <row r="11" spans="1:36">
      <c r="A11" s="182">
        <v>5</v>
      </c>
      <c r="B11" s="47" t="s">
        <v>28</v>
      </c>
      <c r="C11" s="49">
        <f>+C6*C36</f>
        <v>105750</v>
      </c>
      <c r="D11" s="49">
        <f t="shared" ref="D11:E11" si="2">+D6*D36</f>
        <v>231804</v>
      </c>
      <c r="E11" s="49">
        <f t="shared" si="2"/>
        <v>0</v>
      </c>
      <c r="F11" s="49">
        <f t="shared" ref="F11" si="3">+F6*F36</f>
        <v>0</v>
      </c>
      <c r="G11" s="49">
        <f t="shared" si="0"/>
        <v>337554</v>
      </c>
      <c r="R11" s="47" t="s">
        <v>28</v>
      </c>
      <c r="AH11" s="47" t="s">
        <v>29</v>
      </c>
      <c r="AI11" s="47" t="s">
        <v>28</v>
      </c>
    </row>
    <row r="12" spans="1:36">
      <c r="A12" s="182">
        <v>6</v>
      </c>
      <c r="B12" s="47" t="s">
        <v>30</v>
      </c>
      <c r="C12" s="49">
        <f>+C6*C37</f>
        <v>450000</v>
      </c>
      <c r="D12" s="49">
        <f t="shared" ref="D12:E12" si="4">+D6*D37</f>
        <v>986400</v>
      </c>
      <c r="E12" s="49">
        <f t="shared" si="4"/>
        <v>0</v>
      </c>
      <c r="F12" s="49">
        <f t="shared" ref="F12" si="5">+F6*F37</f>
        <v>0</v>
      </c>
      <c r="G12" s="49">
        <f t="shared" si="0"/>
        <v>1436400</v>
      </c>
      <c r="R12" s="47" t="s">
        <v>30</v>
      </c>
      <c r="AH12" s="47" t="s">
        <v>31</v>
      </c>
      <c r="AI12" s="47" t="s">
        <v>30</v>
      </c>
    </row>
    <row r="13" spans="1:36">
      <c r="A13" s="182">
        <v>7</v>
      </c>
      <c r="B13" s="47" t="s">
        <v>32</v>
      </c>
      <c r="C13" s="49">
        <f>+C6*C38</f>
        <v>173250</v>
      </c>
      <c r="D13" s="49">
        <f t="shared" ref="D13:E13" si="6">+D6*D38</f>
        <v>379764</v>
      </c>
      <c r="E13" s="49">
        <f t="shared" si="6"/>
        <v>0</v>
      </c>
      <c r="F13" s="49">
        <f t="shared" ref="F13" si="7">+F6*F38</f>
        <v>0</v>
      </c>
      <c r="G13" s="49">
        <f t="shared" si="0"/>
        <v>553014</v>
      </c>
      <c r="R13" s="47" t="s">
        <v>32</v>
      </c>
      <c r="AH13" s="47" t="s">
        <v>33</v>
      </c>
      <c r="AI13" s="47" t="s">
        <v>32</v>
      </c>
      <c r="AJ13" s="43" t="s">
        <v>16</v>
      </c>
    </row>
    <row r="14" spans="1:36">
      <c r="A14" s="182">
        <v>8</v>
      </c>
      <c r="B14" s="50" t="s">
        <v>34</v>
      </c>
      <c r="C14" s="49">
        <f>SUM(C11:C13)</f>
        <v>729000</v>
      </c>
      <c r="D14" s="49">
        <f t="shared" ref="D14:F14" si="8">SUM(D11:D13)</f>
        <v>1597968</v>
      </c>
      <c r="E14" s="49">
        <f t="shared" si="8"/>
        <v>0</v>
      </c>
      <c r="F14" s="49">
        <f t="shared" si="8"/>
        <v>0</v>
      </c>
      <c r="G14" s="49">
        <f t="shared" si="0"/>
        <v>2326968</v>
      </c>
      <c r="R14" s="50" t="s">
        <v>34</v>
      </c>
      <c r="AH14" s="47" t="s">
        <v>35</v>
      </c>
      <c r="AI14" s="50" t="s">
        <v>34</v>
      </c>
    </row>
    <row r="15" spans="1:36">
      <c r="A15" s="182">
        <v>9</v>
      </c>
      <c r="B15" s="50" t="s">
        <v>36</v>
      </c>
      <c r="C15" s="49">
        <f>+C9-C10-C14</f>
        <v>512235.28000000026</v>
      </c>
      <c r="D15" s="49">
        <f t="shared" ref="D15:F15" si="9">+D9-D10-D14</f>
        <v>194413.69692130946</v>
      </c>
      <c r="E15" s="49">
        <f t="shared" si="9"/>
        <v>0</v>
      </c>
      <c r="F15" s="49">
        <f t="shared" si="9"/>
        <v>0</v>
      </c>
      <c r="G15" s="49">
        <f t="shared" si="0"/>
        <v>706648.97692130972</v>
      </c>
      <c r="R15" s="50" t="s">
        <v>36</v>
      </c>
      <c r="AH15" s="47" t="s">
        <v>37</v>
      </c>
      <c r="AI15" s="50" t="s">
        <v>36</v>
      </c>
    </row>
    <row r="16" spans="1:36">
      <c r="A16" s="182">
        <v>10</v>
      </c>
      <c r="B16" s="47" t="s">
        <v>38</v>
      </c>
      <c r="C16" s="51">
        <f>+C15/C9</f>
        <v>7.4832976688620531E-2</v>
      </c>
      <c r="D16" s="51">
        <f t="shared" ref="D16:F16" si="10">+D15/D9</f>
        <v>1.2957160630711357E-2</v>
      </c>
      <c r="E16" s="51" t="e">
        <f t="shared" si="10"/>
        <v>#DIV/0!</v>
      </c>
      <c r="F16" s="51" t="e">
        <f t="shared" si="10"/>
        <v>#DIV/0!</v>
      </c>
      <c r="G16" s="51">
        <f t="shared" ref="G16" si="11">+G15/G9</f>
        <v>3.2341814784191673E-2</v>
      </c>
      <c r="R16" s="47" t="s">
        <v>38</v>
      </c>
      <c r="AH16" s="47" t="s">
        <v>39</v>
      </c>
      <c r="AI16" s="47" t="s">
        <v>38</v>
      </c>
    </row>
    <row r="17" spans="1:36">
      <c r="A17" s="182">
        <v>11</v>
      </c>
      <c r="B17" s="47" t="s">
        <v>40</v>
      </c>
      <c r="C17" s="49">
        <f>C6*C43+C18</f>
        <v>295195</v>
      </c>
      <c r="D17" s="49">
        <f t="shared" ref="D17:E17" si="12">D6*D43+D18</f>
        <v>632232.99999999988</v>
      </c>
      <c r="E17" s="49">
        <f t="shared" si="12"/>
        <v>0</v>
      </c>
      <c r="F17" s="49">
        <f t="shared" ref="F17" si="13">F6*F43+F18</f>
        <v>0</v>
      </c>
      <c r="G17" s="49">
        <f>SUM(C17:F17)</f>
        <v>927427.99999999988</v>
      </c>
      <c r="H17" s="63"/>
      <c r="R17" s="47" t="s">
        <v>40</v>
      </c>
      <c r="AH17" s="47" t="s">
        <v>41</v>
      </c>
      <c r="AI17" s="47" t="s">
        <v>40</v>
      </c>
    </row>
    <row r="18" spans="1:36" s="41" customFormat="1">
      <c r="A18" s="182">
        <v>12</v>
      </c>
      <c r="B18" s="52" t="s">
        <v>142</v>
      </c>
      <c r="C18" s="53">
        <f>$G$18/$G$6*C6</f>
        <v>12445</v>
      </c>
      <c r="D18" s="53">
        <f>$G$18/$G$6*D6</f>
        <v>12445</v>
      </c>
      <c r="E18" s="53">
        <f>$G$18/$G$6*E6</f>
        <v>0</v>
      </c>
      <c r="F18" s="53">
        <f>$G$18/$G$6*F6</f>
        <v>0</v>
      </c>
      <c r="G18" s="53">
        <f>项目投资!F26</f>
        <v>24890</v>
      </c>
      <c r="H18" s="64" t="s">
        <v>143</v>
      </c>
      <c r="I18" s="64"/>
      <c r="J18" s="64"/>
    </row>
    <row r="19" spans="1:36">
      <c r="A19" s="182">
        <v>13</v>
      </c>
      <c r="B19" s="47" t="s">
        <v>42</v>
      </c>
      <c r="C19" s="49">
        <f>C6*C44</f>
        <v>51000</v>
      </c>
      <c r="D19" s="49">
        <f t="shared" ref="D19:E19" si="14">D6*D44</f>
        <v>111792</v>
      </c>
      <c r="E19" s="49">
        <f t="shared" si="14"/>
        <v>0</v>
      </c>
      <c r="F19" s="49">
        <f t="shared" ref="F19" si="15">F6*F44</f>
        <v>0</v>
      </c>
      <c r="G19" s="49">
        <f>SUM(C19:F19)</f>
        <v>162792</v>
      </c>
      <c r="H19" s="41"/>
      <c r="R19" s="47" t="s">
        <v>42</v>
      </c>
      <c r="AH19" s="47" t="s">
        <v>43</v>
      </c>
      <c r="AI19" s="47" t="s">
        <v>42</v>
      </c>
      <c r="AJ19" s="43" t="s">
        <v>16</v>
      </c>
    </row>
    <row r="20" spans="1:36">
      <c r="A20" s="182">
        <v>14</v>
      </c>
      <c r="B20" s="47" t="s">
        <v>44</v>
      </c>
      <c r="C20" s="49">
        <f>C6*C45</f>
        <v>202500</v>
      </c>
      <c r="D20" s="49">
        <f t="shared" ref="D20:E20" si="16">D6*D45</f>
        <v>443880</v>
      </c>
      <c r="E20" s="49">
        <f t="shared" si="16"/>
        <v>0</v>
      </c>
      <c r="F20" s="49">
        <f t="shared" ref="F20" si="17">F6*F45</f>
        <v>0</v>
      </c>
      <c r="G20" s="49">
        <f>SUM(C20:F20)</f>
        <v>646380</v>
      </c>
      <c r="R20" s="47" t="s">
        <v>44</v>
      </c>
      <c r="AH20" s="47" t="s">
        <v>45</v>
      </c>
      <c r="AI20" s="47" t="s">
        <v>44</v>
      </c>
    </row>
    <row r="21" spans="1:36">
      <c r="A21" s="182">
        <v>15</v>
      </c>
      <c r="B21" s="47" t="s">
        <v>46</v>
      </c>
      <c r="C21" s="54">
        <f>$G$21/$G$6*C6</f>
        <v>18290</v>
      </c>
      <c r="D21" s="54">
        <f>$G$21/$G$6*D6</f>
        <v>18290</v>
      </c>
      <c r="E21" s="54">
        <f>$G$21/$G$6*E6</f>
        <v>0</v>
      </c>
      <c r="F21" s="54">
        <f>$G$21/$G$6*F6</f>
        <v>0</v>
      </c>
      <c r="G21" s="49">
        <f>项目投资!D27</f>
        <v>36580</v>
      </c>
      <c r="R21" s="47" t="s">
        <v>46</v>
      </c>
      <c r="AH21" s="47"/>
      <c r="AI21" s="47"/>
    </row>
    <row r="22" spans="1:36">
      <c r="A22" s="182">
        <v>16</v>
      </c>
      <c r="B22" s="47" t="s">
        <v>47</v>
      </c>
      <c r="C22" s="49">
        <f>C6*C47</f>
        <v>173100</v>
      </c>
      <c r="D22" s="49">
        <f t="shared" ref="D22:E22" si="18">D6*D47</f>
        <v>379435.2</v>
      </c>
      <c r="E22" s="49">
        <f t="shared" si="18"/>
        <v>0</v>
      </c>
      <c r="F22" s="49">
        <f t="shared" ref="F22" si="19">F6*F47</f>
        <v>0</v>
      </c>
      <c r="G22" s="49">
        <f>SUM(C22:F22)</f>
        <v>552535.19999999995</v>
      </c>
      <c r="R22" s="47" t="s">
        <v>47</v>
      </c>
      <c r="AH22" s="47" t="s">
        <v>48</v>
      </c>
      <c r="AI22" s="47" t="s">
        <v>47</v>
      </c>
    </row>
    <row r="23" spans="1:36">
      <c r="A23" s="182">
        <v>17</v>
      </c>
      <c r="B23" s="50" t="s">
        <v>49</v>
      </c>
      <c r="C23" s="54">
        <f>+C22+C21+C20+C19+C17</f>
        <v>740085</v>
      </c>
      <c r="D23" s="54">
        <f t="shared" ref="D23:G23" si="20">+D22+D21+D20+D19+D17</f>
        <v>1585630.1999999997</v>
      </c>
      <c r="E23" s="54">
        <f t="shared" si="20"/>
        <v>0</v>
      </c>
      <c r="F23" s="54">
        <f t="shared" si="20"/>
        <v>0</v>
      </c>
      <c r="G23" s="54">
        <f t="shared" si="20"/>
        <v>2325715.1999999997</v>
      </c>
      <c r="R23" s="50" t="s">
        <v>49</v>
      </c>
      <c r="AH23" s="47" t="s">
        <v>50</v>
      </c>
      <c r="AI23" s="50" t="s">
        <v>49</v>
      </c>
    </row>
    <row r="24" spans="1:36">
      <c r="A24" s="182">
        <v>18</v>
      </c>
      <c r="B24" s="55" t="s">
        <v>51</v>
      </c>
      <c r="C24" s="54">
        <f>+C15-C23</f>
        <v>-227849.71999999974</v>
      </c>
      <c r="D24" s="54">
        <f t="shared" ref="D24:F24" si="21">+D15-D23</f>
        <v>-1391216.5030786903</v>
      </c>
      <c r="E24" s="54">
        <f t="shared" si="21"/>
        <v>0</v>
      </c>
      <c r="F24" s="54">
        <f t="shared" si="21"/>
        <v>0</v>
      </c>
      <c r="G24" s="54">
        <f t="shared" ref="G24" si="22">+G15-G23</f>
        <v>-1619066.22307869</v>
      </c>
      <c r="I24" s="65"/>
      <c r="R24" s="47" t="s">
        <v>51</v>
      </c>
      <c r="AH24" s="47" t="s">
        <v>52</v>
      </c>
      <c r="AI24" s="47" t="s">
        <v>51</v>
      </c>
    </row>
    <row r="25" spans="1:36">
      <c r="A25" s="182">
        <v>19</v>
      </c>
      <c r="B25" s="47" t="s">
        <v>234</v>
      </c>
      <c r="C25" s="54">
        <f>IF(C24&lt;0,0,C24*0.15)</f>
        <v>0</v>
      </c>
      <c r="D25" s="54">
        <f>IF(D24&lt;0,0,D24*0.15)</f>
        <v>0</v>
      </c>
      <c r="E25" s="54">
        <f>IF(E24&lt;0,0,E24*0.15)</f>
        <v>0</v>
      </c>
      <c r="F25" s="54">
        <f>IF(F24&lt;0,0,F24*0.15)</f>
        <v>0</v>
      </c>
      <c r="G25" s="54">
        <f>IF(G24&lt;0,0,G24*0.15)</f>
        <v>0</v>
      </c>
      <c r="H25" s="61"/>
      <c r="I25" s="61"/>
      <c r="J25" s="61"/>
      <c r="R25" s="47" t="s">
        <v>53</v>
      </c>
      <c r="AH25" s="47" t="s">
        <v>54</v>
      </c>
      <c r="AI25" s="47" t="s">
        <v>53</v>
      </c>
    </row>
    <row r="26" spans="1:36">
      <c r="A26" s="182">
        <v>20</v>
      </c>
      <c r="B26" s="47" t="s">
        <v>55</v>
      </c>
      <c r="C26" s="54">
        <f t="shared" ref="C26:F26" si="23">C24-C25</f>
        <v>-227849.71999999974</v>
      </c>
      <c r="D26" s="54">
        <f t="shared" si="23"/>
        <v>-1391216.5030786903</v>
      </c>
      <c r="E26" s="54">
        <f t="shared" si="23"/>
        <v>0</v>
      </c>
      <c r="F26" s="54">
        <f t="shared" si="23"/>
        <v>0</v>
      </c>
      <c r="G26" s="49">
        <f>G24-G25</f>
        <v>-1619066.22307869</v>
      </c>
      <c r="H26" s="178"/>
      <c r="I26" s="61"/>
      <c r="J26" s="61"/>
      <c r="R26" s="47" t="s">
        <v>55</v>
      </c>
      <c r="AH26" s="47" t="s">
        <v>56</v>
      </c>
      <c r="AI26" s="47" t="s">
        <v>55</v>
      </c>
    </row>
    <row r="27" spans="1:36">
      <c r="A27" s="182">
        <v>21</v>
      </c>
      <c r="B27" s="47" t="s">
        <v>59</v>
      </c>
      <c r="C27" s="124">
        <f t="shared" ref="C27:G27" si="24">C26/C7</f>
        <v>-3.0379962666666632E-2</v>
      </c>
      <c r="D27" s="124">
        <f t="shared" si="24"/>
        <v>-8.4623874883132014E-2</v>
      </c>
      <c r="E27" s="124" t="e">
        <f t="shared" si="24"/>
        <v>#DIV/0!</v>
      </c>
      <c r="F27" s="124" t="e">
        <f t="shared" si="24"/>
        <v>#DIV/0!</v>
      </c>
      <c r="G27" s="124">
        <f t="shared" si="24"/>
        <v>-6.7630168048399747E-2</v>
      </c>
      <c r="H27" s="176"/>
      <c r="I27" s="61"/>
      <c r="J27" s="61"/>
      <c r="R27" s="47" t="s">
        <v>59</v>
      </c>
      <c r="AH27" s="47" t="s">
        <v>58</v>
      </c>
      <c r="AI27" s="47" t="s">
        <v>59</v>
      </c>
    </row>
    <row r="28" spans="1:36">
      <c r="H28" s="61"/>
      <c r="I28" s="61"/>
      <c r="J28" s="61"/>
      <c r="R28" s="47"/>
    </row>
    <row r="29" spans="1:36">
      <c r="A29" s="43" t="s">
        <v>60</v>
      </c>
      <c r="G29" s="44" t="s">
        <v>144</v>
      </c>
      <c r="H29" s="61"/>
      <c r="I29" s="61"/>
      <c r="J29" s="61"/>
      <c r="R29" s="47"/>
      <c r="AH29" s="43" t="s">
        <v>60</v>
      </c>
    </row>
    <row r="30" spans="1:36">
      <c r="A30" s="47" t="s">
        <v>61</v>
      </c>
      <c r="B30" s="50" t="s">
        <v>62</v>
      </c>
      <c r="C30" s="54"/>
      <c r="D30" s="54"/>
      <c r="E30" s="54"/>
      <c r="F30" s="54"/>
      <c r="G30" s="54"/>
      <c r="H30" s="61"/>
      <c r="I30" s="61"/>
      <c r="J30" s="61"/>
      <c r="L30" s="61"/>
      <c r="R30" s="50" t="s">
        <v>62</v>
      </c>
      <c r="AH30" s="47" t="s">
        <v>63</v>
      </c>
      <c r="AI30" s="50" t="s">
        <v>62</v>
      </c>
    </row>
    <row r="31" spans="1:36">
      <c r="A31" s="182">
        <v>1</v>
      </c>
      <c r="B31" s="52" t="s">
        <v>64</v>
      </c>
      <c r="C31" s="57">
        <f>销量!C8</f>
        <v>750</v>
      </c>
      <c r="D31" s="57">
        <f>销量!D8</f>
        <v>1644</v>
      </c>
      <c r="E31" s="57">
        <f>销量!E8</f>
        <v>0</v>
      </c>
      <c r="F31" s="57">
        <f>销量!F8</f>
        <v>0</v>
      </c>
      <c r="G31" s="54"/>
      <c r="H31" s="61"/>
      <c r="I31" s="61"/>
      <c r="J31" s="61"/>
      <c r="L31" s="61"/>
      <c r="R31" s="47" t="s">
        <v>64</v>
      </c>
      <c r="AH31" s="47" t="s">
        <v>18</v>
      </c>
      <c r="AI31" s="47" t="s">
        <v>64</v>
      </c>
    </row>
    <row r="32" spans="1:36">
      <c r="A32" s="182">
        <v>2</v>
      </c>
      <c r="B32" s="47" t="s">
        <v>145</v>
      </c>
      <c r="C32" s="49">
        <f>C9/C6</f>
        <v>684.50474999999994</v>
      </c>
      <c r="D32" s="49">
        <f t="shared" ref="D32:E32" si="25">D9/D6</f>
        <v>1500.4344120000001</v>
      </c>
      <c r="E32" s="49" t="e">
        <f t="shared" si="25"/>
        <v>#DIV/0!</v>
      </c>
      <c r="F32" s="49" t="e">
        <f t="shared" ref="F32" si="26">F9/F6</f>
        <v>#DIV/0!</v>
      </c>
      <c r="G32" s="54"/>
      <c r="H32" s="61"/>
      <c r="I32" s="61"/>
      <c r="J32" s="61"/>
      <c r="K32" s="61"/>
      <c r="L32" s="61"/>
      <c r="M32" s="61"/>
      <c r="N32" s="61"/>
      <c r="AH32" s="47"/>
      <c r="AI32" s="47"/>
    </row>
    <row r="33" spans="1:35">
      <c r="A33" s="182">
        <v>3</v>
      </c>
      <c r="B33" s="52" t="s">
        <v>65</v>
      </c>
      <c r="C33" s="49">
        <f>材料成本!H40</f>
        <v>560.38122199999998</v>
      </c>
      <c r="D33" s="49">
        <f>材料成本!H41</f>
        <v>1321.1962423078692</v>
      </c>
      <c r="E33" s="49">
        <f>材料成本!H42</f>
        <v>0</v>
      </c>
      <c r="F33" s="49">
        <f>材料成本!H43</f>
        <v>0</v>
      </c>
      <c r="G33" s="54"/>
      <c r="I33" s="61"/>
      <c r="J33" s="61"/>
      <c r="K33" s="61"/>
      <c r="L33" s="61"/>
      <c r="M33" s="61"/>
      <c r="N33" s="61"/>
      <c r="R33" s="47" t="s">
        <v>65</v>
      </c>
      <c r="AH33" s="47" t="s">
        <v>20</v>
      </c>
      <c r="AI33" s="47" t="s">
        <v>65</v>
      </c>
    </row>
    <row r="34" spans="1:35" ht="17.25" customHeight="1">
      <c r="A34" s="182">
        <v>4</v>
      </c>
      <c r="B34" s="47" t="s">
        <v>67</v>
      </c>
      <c r="C34" s="58">
        <f>C32-C33</f>
        <v>124.12352799999996</v>
      </c>
      <c r="D34" s="58">
        <f t="shared" ref="D34:E34" si="27">D32-D33</f>
        <v>179.2381696921309</v>
      </c>
      <c r="E34" s="58" t="e">
        <f t="shared" si="27"/>
        <v>#DIV/0!</v>
      </c>
      <c r="F34" s="58" t="e">
        <f t="shared" ref="F34" si="28">F32-F33</f>
        <v>#DIV/0!</v>
      </c>
      <c r="G34" s="54"/>
      <c r="I34" s="61"/>
      <c r="J34" s="61"/>
      <c r="K34" s="61"/>
      <c r="L34" s="61"/>
      <c r="M34" s="61"/>
      <c r="N34" s="61"/>
      <c r="R34" s="47" t="s">
        <v>67</v>
      </c>
      <c r="AH34" s="47" t="s">
        <v>66</v>
      </c>
      <c r="AI34" s="47" t="s">
        <v>67</v>
      </c>
    </row>
    <row r="35" spans="1:35">
      <c r="A35" s="47" t="s">
        <v>63</v>
      </c>
      <c r="B35" s="50" t="s">
        <v>8</v>
      </c>
      <c r="C35" s="54"/>
      <c r="D35" s="54"/>
      <c r="E35" s="54"/>
      <c r="F35" s="54"/>
      <c r="G35" s="5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50" t="s">
        <v>8</v>
      </c>
      <c r="AH35" s="47" t="s">
        <v>69</v>
      </c>
      <c r="AI35" s="50" t="s">
        <v>8</v>
      </c>
    </row>
    <row r="36" spans="1:35">
      <c r="A36" s="182">
        <v>1</v>
      </c>
      <c r="B36" s="47" t="s">
        <v>70</v>
      </c>
      <c r="C36" s="53">
        <f>'2023年'!C36</f>
        <v>10.574999999999999</v>
      </c>
      <c r="D36" s="53">
        <f>'2023年'!D36</f>
        <v>23.180399999999999</v>
      </c>
      <c r="E36" s="53">
        <f>'2023年'!E36</f>
        <v>0</v>
      </c>
      <c r="F36" s="53">
        <f>'2023年'!F36</f>
        <v>0</v>
      </c>
      <c r="G36" s="57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47" t="s">
        <v>70</v>
      </c>
      <c r="AH36" s="47" t="s">
        <v>66</v>
      </c>
      <c r="AI36" s="47" t="s">
        <v>70</v>
      </c>
    </row>
    <row r="37" spans="1:35">
      <c r="A37" s="182">
        <v>2</v>
      </c>
      <c r="B37" s="47" t="s">
        <v>71</v>
      </c>
      <c r="C37" s="53">
        <f>'2023年'!C37</f>
        <v>45</v>
      </c>
      <c r="D37" s="53">
        <f>'2023年'!D37</f>
        <v>98.64</v>
      </c>
      <c r="E37" s="53">
        <f>'2023年'!E37</f>
        <v>0</v>
      </c>
      <c r="F37" s="53">
        <f>'2023年'!F37</f>
        <v>0</v>
      </c>
      <c r="G37" s="57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47" t="s">
        <v>71</v>
      </c>
      <c r="AH37" s="47" t="s">
        <v>23</v>
      </c>
      <c r="AI37" s="47" t="s">
        <v>71</v>
      </c>
    </row>
    <row r="38" spans="1:35">
      <c r="A38" s="182">
        <v>3</v>
      </c>
      <c r="B38" s="47" t="s">
        <v>72</v>
      </c>
      <c r="C38" s="53">
        <f>'2023年'!C38</f>
        <v>17.324999999999999</v>
      </c>
      <c r="D38" s="53">
        <f>'2023年'!D38</f>
        <v>37.976399999999998</v>
      </c>
      <c r="E38" s="53">
        <f>'2023年'!E38</f>
        <v>0</v>
      </c>
      <c r="F38" s="53">
        <f>'2023年'!F38</f>
        <v>0</v>
      </c>
      <c r="G38" s="57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47" t="s">
        <v>72</v>
      </c>
      <c r="AH38" s="47" t="s">
        <v>29</v>
      </c>
      <c r="AI38" s="47" t="s">
        <v>72</v>
      </c>
    </row>
    <row r="39" spans="1:35">
      <c r="A39" s="47" t="s">
        <v>69</v>
      </c>
      <c r="B39" s="50" t="s">
        <v>74</v>
      </c>
      <c r="C39" s="54"/>
      <c r="D39" s="54"/>
      <c r="E39" s="54"/>
      <c r="F39" s="54"/>
      <c r="G39" s="54"/>
      <c r="R39" s="50" t="s">
        <v>74</v>
      </c>
      <c r="AH39" s="47" t="s">
        <v>73</v>
      </c>
      <c r="AI39" s="50" t="s">
        <v>74</v>
      </c>
    </row>
    <row r="40" spans="1:35">
      <c r="A40" s="182">
        <v>1</v>
      </c>
      <c r="B40" s="47" t="s">
        <v>76</v>
      </c>
      <c r="C40" s="54">
        <f>C34-C36-C37-C38</f>
        <v>51.223527999999959</v>
      </c>
      <c r="D40" s="54">
        <f t="shared" ref="D40:F40" si="29">D34-D36-D37-D38</f>
        <v>19.441369692130905</v>
      </c>
      <c r="E40" s="54" t="e">
        <f t="shared" si="29"/>
        <v>#DIV/0!</v>
      </c>
      <c r="F40" s="54" t="e">
        <f t="shared" si="29"/>
        <v>#DIV/0!</v>
      </c>
      <c r="G40" s="54"/>
      <c r="R40" s="47" t="s">
        <v>76</v>
      </c>
      <c r="AH40" s="47" t="s">
        <v>18</v>
      </c>
      <c r="AI40" s="47" t="s">
        <v>76</v>
      </c>
    </row>
    <row r="41" spans="1:35">
      <c r="A41" s="182">
        <v>2</v>
      </c>
      <c r="B41" s="47" t="s">
        <v>77</v>
      </c>
      <c r="C41" s="54"/>
      <c r="D41" s="54"/>
      <c r="E41" s="54"/>
      <c r="F41" s="54"/>
      <c r="G41" s="54"/>
      <c r="R41" s="47" t="s">
        <v>77</v>
      </c>
      <c r="AH41" s="47" t="s">
        <v>20</v>
      </c>
      <c r="AI41" s="47" t="s">
        <v>77</v>
      </c>
    </row>
    <row r="42" spans="1:35">
      <c r="A42" s="47" t="s">
        <v>73</v>
      </c>
      <c r="B42" s="50" t="s">
        <v>79</v>
      </c>
      <c r="C42" s="54"/>
      <c r="D42" s="54"/>
      <c r="E42" s="54"/>
      <c r="F42" s="54"/>
      <c r="G42" s="54"/>
      <c r="R42" s="50" t="s">
        <v>79</v>
      </c>
      <c r="AH42" s="47" t="s">
        <v>78</v>
      </c>
      <c r="AI42" s="50" t="s">
        <v>79</v>
      </c>
    </row>
    <row r="43" spans="1:35">
      <c r="A43" s="182">
        <v>1</v>
      </c>
      <c r="B43" s="55" t="s">
        <v>80</v>
      </c>
      <c r="C43" s="53">
        <f>'2023年'!C43</f>
        <v>28.274999999999999</v>
      </c>
      <c r="D43" s="53">
        <f>'2023年'!D43</f>
        <v>61.978799999999993</v>
      </c>
      <c r="E43" s="53">
        <f>'2023年'!E43</f>
        <v>0</v>
      </c>
      <c r="F43" s="53">
        <f>'2023年'!F43</f>
        <v>0</v>
      </c>
      <c r="G43" s="54"/>
      <c r="R43" s="47" t="s">
        <v>80</v>
      </c>
      <c r="AH43" s="47" t="s">
        <v>18</v>
      </c>
      <c r="AI43" s="47" t="s">
        <v>80</v>
      </c>
    </row>
    <row r="44" spans="1:35">
      <c r="A44" s="182">
        <v>2</v>
      </c>
      <c r="B44" s="55" t="s">
        <v>81</v>
      </c>
      <c r="C44" s="53">
        <f>'2023年'!C44</f>
        <v>5.0999999999999996</v>
      </c>
      <c r="D44" s="53">
        <f>'2023年'!D44</f>
        <v>11.1792</v>
      </c>
      <c r="E44" s="53">
        <f>'2023年'!E44</f>
        <v>0</v>
      </c>
      <c r="F44" s="53">
        <f>'2023年'!F44</f>
        <v>0</v>
      </c>
      <c r="G44" s="54"/>
      <c r="R44" s="47" t="s">
        <v>81</v>
      </c>
      <c r="AH44" s="47" t="s">
        <v>20</v>
      </c>
      <c r="AI44" s="47" t="s">
        <v>81</v>
      </c>
    </row>
    <row r="45" spans="1:35">
      <c r="A45" s="182">
        <v>3</v>
      </c>
      <c r="B45" s="55" t="s">
        <v>82</v>
      </c>
      <c r="C45" s="53">
        <f>'2023年'!C45</f>
        <v>20.25</v>
      </c>
      <c r="D45" s="53">
        <f>'2023年'!D45</f>
        <v>44.387999999999998</v>
      </c>
      <c r="E45" s="53">
        <f>'2023年'!E45</f>
        <v>0</v>
      </c>
      <c r="F45" s="53">
        <f>'2023年'!F45</f>
        <v>0</v>
      </c>
      <c r="G45" s="54"/>
      <c r="R45" s="47" t="s">
        <v>82</v>
      </c>
      <c r="AH45" s="47" t="s">
        <v>66</v>
      </c>
      <c r="AI45" s="47" t="s">
        <v>82</v>
      </c>
    </row>
    <row r="46" spans="1:35" s="42" customFormat="1">
      <c r="A46" s="182">
        <v>4</v>
      </c>
      <c r="B46" s="55" t="s">
        <v>83</v>
      </c>
      <c r="C46" s="59">
        <f>C21/C6</f>
        <v>1.829</v>
      </c>
      <c r="D46" s="59">
        <f t="shared" ref="D46:F46" si="30">D21/D6</f>
        <v>1.829</v>
      </c>
      <c r="E46" s="59" t="e">
        <f t="shared" si="30"/>
        <v>#DIV/0!</v>
      </c>
      <c r="F46" s="59" t="e">
        <f t="shared" si="30"/>
        <v>#DIV/0!</v>
      </c>
      <c r="G46" s="59"/>
      <c r="R46" s="55" t="s">
        <v>85</v>
      </c>
      <c r="AH46" s="55" t="s">
        <v>26</v>
      </c>
      <c r="AI46" s="55" t="s">
        <v>85</v>
      </c>
    </row>
    <row r="47" spans="1:35" s="42" customFormat="1">
      <c r="A47" s="182">
        <v>5</v>
      </c>
      <c r="B47" s="55" t="s">
        <v>85</v>
      </c>
      <c r="C47" s="59">
        <f>'2023年'!C47</f>
        <v>17.309999999999999</v>
      </c>
      <c r="D47" s="59">
        <f>'2023年'!D47</f>
        <v>37.943519999999999</v>
      </c>
      <c r="E47" s="59">
        <f>'2023年'!E47</f>
        <v>0</v>
      </c>
      <c r="F47" s="59">
        <f>'2023年'!F47</f>
        <v>0</v>
      </c>
      <c r="G47" s="59"/>
      <c r="R47" s="55" t="s">
        <v>85</v>
      </c>
      <c r="AH47" s="55" t="s">
        <v>26</v>
      </c>
      <c r="AI47" s="55" t="s">
        <v>85</v>
      </c>
    </row>
    <row r="48" spans="1:35">
      <c r="A48" s="47" t="s">
        <v>78</v>
      </c>
      <c r="B48" s="50" t="s">
        <v>96</v>
      </c>
      <c r="C48" s="54">
        <f>C40-C43-C44-C45-C47-C46</f>
        <v>-21.54047200000004</v>
      </c>
      <c r="D48" s="54">
        <f t="shared" ref="D48:F48" si="31">D40-D43-D44-D45-D47-D46</f>
        <v>-137.8771503078691</v>
      </c>
      <c r="E48" s="54" t="e">
        <f t="shared" si="31"/>
        <v>#DIV/0!</v>
      </c>
      <c r="F48" s="54" t="e">
        <f t="shared" si="31"/>
        <v>#DIV/0!</v>
      </c>
      <c r="G48" s="54"/>
      <c r="R48" s="50" t="s">
        <v>96</v>
      </c>
      <c r="AH48" s="47" t="s">
        <v>95</v>
      </c>
      <c r="AI48" s="50" t="s">
        <v>96</v>
      </c>
    </row>
    <row r="51" spans="2:12">
      <c r="C51" s="60"/>
      <c r="D51" s="60"/>
      <c r="E51" s="60"/>
      <c r="F51" s="60"/>
    </row>
    <row r="54" spans="2:12">
      <c r="B54" s="61"/>
      <c r="C54" s="62"/>
      <c r="D54" s="62"/>
      <c r="E54" s="62"/>
      <c r="F54" s="62"/>
      <c r="G54" s="62"/>
      <c r="H54" s="61"/>
      <c r="I54" s="61"/>
      <c r="J54" s="61"/>
      <c r="K54" s="61"/>
      <c r="L54" s="61"/>
    </row>
    <row r="55" spans="2:12">
      <c r="B55" s="61"/>
      <c r="C55" s="62"/>
      <c r="D55" s="62"/>
      <c r="E55" s="62"/>
      <c r="F55" s="62"/>
      <c r="G55" s="62"/>
      <c r="H55" s="61"/>
      <c r="I55" s="61"/>
      <c r="J55" s="61"/>
      <c r="K55" s="61"/>
      <c r="L55" s="61"/>
    </row>
    <row r="56" spans="2:12">
      <c r="B56" s="61"/>
      <c r="C56" s="62"/>
      <c r="D56" s="62"/>
      <c r="E56" s="62"/>
      <c r="F56" s="62"/>
      <c r="G56" s="62"/>
      <c r="H56" s="61"/>
      <c r="I56" s="61"/>
      <c r="J56" s="61"/>
      <c r="K56" s="61"/>
      <c r="L56" s="61"/>
    </row>
    <row r="57" spans="2:12">
      <c r="B57" s="61"/>
      <c r="C57" s="62"/>
      <c r="D57" s="62"/>
      <c r="E57" s="62"/>
      <c r="F57" s="62"/>
      <c r="G57" s="62"/>
      <c r="H57" s="61"/>
      <c r="I57" s="61"/>
      <c r="J57" s="61"/>
      <c r="K57" s="61"/>
      <c r="L57" s="61"/>
    </row>
    <row r="58" spans="2:12">
      <c r="B58" s="61"/>
      <c r="C58" s="62"/>
      <c r="D58" s="62"/>
      <c r="E58" s="62"/>
      <c r="F58" s="62"/>
      <c r="G58" s="62"/>
      <c r="H58" s="61"/>
      <c r="I58" s="61"/>
      <c r="J58" s="61"/>
      <c r="K58" s="61"/>
      <c r="L58" s="61"/>
    </row>
    <row r="59" spans="2:12">
      <c r="B59" s="61"/>
      <c r="C59" s="62"/>
      <c r="D59" s="62"/>
      <c r="E59" s="62"/>
      <c r="F59" s="62"/>
      <c r="G59" s="62"/>
      <c r="H59" s="61"/>
      <c r="I59" s="61"/>
      <c r="J59" s="61"/>
      <c r="K59" s="61"/>
      <c r="L59" s="61"/>
    </row>
    <row r="60" spans="2:12">
      <c r="B60" s="61"/>
      <c r="C60" s="62"/>
      <c r="D60" s="62"/>
      <c r="E60" s="62"/>
      <c r="F60" s="62"/>
      <c r="G60" s="62"/>
      <c r="H60" s="61"/>
      <c r="I60" s="61"/>
      <c r="J60" s="61"/>
      <c r="K60" s="61"/>
      <c r="L60" s="61"/>
    </row>
    <row r="61" spans="2:12">
      <c r="B61" s="61"/>
      <c r="C61" s="62"/>
      <c r="D61" s="62"/>
      <c r="E61" s="62"/>
      <c r="F61" s="62"/>
      <c r="G61" s="62"/>
      <c r="H61" s="61"/>
      <c r="I61" s="61"/>
      <c r="J61" s="61"/>
      <c r="K61" s="61"/>
      <c r="L61" s="61"/>
    </row>
    <row r="62" spans="2:12">
      <c r="B62" s="61"/>
      <c r="C62" s="62"/>
      <c r="D62" s="62"/>
      <c r="E62" s="62"/>
      <c r="F62" s="62"/>
      <c r="G62" s="62"/>
      <c r="H62" s="61"/>
      <c r="I62" s="61"/>
      <c r="J62" s="61"/>
      <c r="K62" s="61"/>
      <c r="L62" s="61"/>
    </row>
    <row r="63" spans="2:12">
      <c r="B63" s="61"/>
      <c r="C63" s="62"/>
      <c r="D63" s="62"/>
      <c r="E63" s="62"/>
      <c r="F63" s="62"/>
      <c r="G63" s="62"/>
      <c r="H63" s="61"/>
      <c r="I63" s="61"/>
      <c r="J63" s="61"/>
      <c r="K63" s="61"/>
      <c r="L63" s="61"/>
    </row>
    <row r="64" spans="2:12">
      <c r="B64" s="61"/>
      <c r="C64" s="62"/>
      <c r="D64" s="62"/>
      <c r="E64" s="62"/>
      <c r="F64" s="62"/>
      <c r="G64" s="62"/>
      <c r="H64" s="61"/>
      <c r="I64" s="61"/>
      <c r="J64" s="61"/>
      <c r="K64" s="61"/>
      <c r="L64" s="61"/>
    </row>
    <row r="65" spans="2:12">
      <c r="B65" s="61"/>
      <c r="C65" s="62"/>
      <c r="D65" s="62"/>
      <c r="E65" s="62"/>
      <c r="F65" s="62"/>
      <c r="G65" s="62"/>
      <c r="H65" s="61"/>
      <c r="I65" s="61"/>
      <c r="J65" s="61"/>
      <c r="K65" s="61"/>
      <c r="L65" s="61"/>
    </row>
    <row r="66" spans="2:12">
      <c r="B66" s="61"/>
      <c r="C66" s="62"/>
      <c r="D66" s="62"/>
      <c r="E66" s="62"/>
      <c r="F66" s="62"/>
      <c r="G66" s="62"/>
      <c r="H66" s="61"/>
      <c r="I66" s="61"/>
      <c r="J66" s="61"/>
      <c r="K66" s="61"/>
      <c r="L66" s="61"/>
    </row>
    <row r="67" spans="2:12">
      <c r="B67" s="61"/>
      <c r="C67" s="62"/>
      <c r="D67" s="62"/>
      <c r="E67" s="62"/>
      <c r="F67" s="62"/>
      <c r="G67" s="62"/>
      <c r="H67" s="61"/>
    </row>
    <row r="68" spans="2:12">
      <c r="B68" s="61"/>
      <c r="C68" s="62"/>
      <c r="D68" s="62"/>
      <c r="E68" s="62"/>
      <c r="F68" s="62"/>
      <c r="G68" s="62"/>
      <c r="H68" s="61"/>
    </row>
    <row r="69" spans="2:12">
      <c r="B69" s="61"/>
      <c r="C69" s="62"/>
      <c r="D69" s="62"/>
      <c r="E69" s="62"/>
      <c r="F69" s="62"/>
      <c r="G69" s="62"/>
      <c r="H69" s="61"/>
    </row>
    <row r="70" spans="2:12">
      <c r="B70" s="61"/>
      <c r="C70" s="62"/>
      <c r="D70" s="62"/>
      <c r="E70" s="62"/>
      <c r="F70" s="62"/>
      <c r="G70" s="62"/>
      <c r="H70" s="61"/>
    </row>
    <row r="71" spans="2:12">
      <c r="B71" s="61"/>
      <c r="C71" s="62"/>
      <c r="D71" s="62"/>
      <c r="E71" s="62"/>
      <c r="F71" s="62"/>
      <c r="G71" s="62"/>
      <c r="H71" s="61"/>
    </row>
    <row r="72" spans="2:12">
      <c r="B72" s="61"/>
      <c r="C72" s="62"/>
      <c r="D72" s="62"/>
      <c r="E72" s="62"/>
      <c r="F72" s="62"/>
      <c r="G72" s="62"/>
      <c r="H72" s="61"/>
    </row>
    <row r="73" spans="2:12">
      <c r="B73" s="61"/>
      <c r="C73" s="62"/>
      <c r="D73" s="62"/>
      <c r="E73" s="62"/>
      <c r="F73" s="62"/>
      <c r="G73" s="62"/>
      <c r="H73" s="61"/>
    </row>
    <row r="74" spans="2:12">
      <c r="B74" s="61"/>
      <c r="C74" s="62"/>
      <c r="D74" s="62"/>
      <c r="E74" s="62"/>
      <c r="F74" s="62"/>
      <c r="G74" s="62"/>
      <c r="H74" s="61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8" activePane="bottomRight" state="frozen"/>
      <selection pane="topRight"/>
      <selection pane="bottomLeft"/>
      <selection pane="bottomRight" activeCell="E12" sqref="E12"/>
    </sheetView>
  </sheetViews>
  <sheetFormatPr defaultColWidth="9" defaultRowHeight="16.5"/>
  <cols>
    <col min="1" max="1" width="5.125" style="43" customWidth="1"/>
    <col min="2" max="2" width="17.5" style="43" customWidth="1"/>
    <col min="3" max="3" width="13.25" style="44" customWidth="1"/>
    <col min="4" max="4" width="20.25" style="44" bestFit="1" customWidth="1"/>
    <col min="5" max="6" width="13.25" style="44" customWidth="1"/>
    <col min="7" max="7" width="18.75" style="44" customWidth="1"/>
    <col min="8" max="8" width="12.375" style="43" customWidth="1"/>
    <col min="9" max="9" width="10.125" style="43" customWidth="1"/>
    <col min="10" max="16" width="9" style="43" customWidth="1"/>
    <col min="17" max="33" width="9" style="43"/>
    <col min="34" max="34" width="4.375" style="43" customWidth="1"/>
    <col min="35" max="35" width="13.875" style="43" customWidth="1"/>
    <col min="36" max="16384" width="9" style="43"/>
  </cols>
  <sheetData>
    <row r="1" spans="1:36">
      <c r="A1" s="237" t="s">
        <v>136</v>
      </c>
      <c r="B1" s="237"/>
      <c r="C1" s="241" t="s">
        <v>249</v>
      </c>
      <c r="D1" s="242"/>
      <c r="E1" s="242"/>
      <c r="F1" s="242"/>
      <c r="G1" s="243"/>
    </row>
    <row r="2" spans="1:36">
      <c r="A2" s="237" t="s">
        <v>137</v>
      </c>
      <c r="B2" s="237"/>
      <c r="C2" s="244" t="str">
        <f>'2023年'!C2:G2</f>
        <v>一汽解放</v>
      </c>
      <c r="D2" s="244"/>
      <c r="E2" s="244"/>
      <c r="F2" s="244"/>
      <c r="G2" s="244"/>
    </row>
    <row r="3" spans="1:36">
      <c r="A3" s="237" t="s">
        <v>138</v>
      </c>
      <c r="B3" s="237"/>
      <c r="C3" s="153" t="str">
        <f>销量!C5</f>
        <v>前座总成</v>
      </c>
      <c r="D3" s="153" t="str">
        <f>销量!D5</f>
        <v>驾驶员总成</v>
      </c>
      <c r="E3" s="153">
        <f>销量!E5</f>
        <v>0</v>
      </c>
      <c r="F3" s="153">
        <f>销量!F5</f>
        <v>0</v>
      </c>
      <c r="G3" s="238" t="s">
        <v>14</v>
      </c>
    </row>
    <row r="4" spans="1:36" ht="28.5">
      <c r="A4" s="237" t="s">
        <v>139</v>
      </c>
      <c r="B4" s="237"/>
      <c r="C4" s="153" t="str">
        <f>销量!C6</f>
        <v>6900010GH13-C00/A</v>
      </c>
      <c r="D4" s="153" t="str">
        <f>销量!D6</f>
        <v>6800010PH13-C00/A</v>
      </c>
      <c r="E4" s="153">
        <f>销量!E6</f>
        <v>0</v>
      </c>
      <c r="F4" s="153">
        <f>销量!F6</f>
        <v>0</v>
      </c>
      <c r="G4" s="239"/>
    </row>
    <row r="5" spans="1:36">
      <c r="A5" s="237" t="s">
        <v>140</v>
      </c>
      <c r="B5" s="237"/>
      <c r="C5" s="46"/>
      <c r="D5" s="46"/>
      <c r="E5" s="46"/>
      <c r="F5" s="46"/>
      <c r="G5" s="240"/>
      <c r="AJ5" s="43" t="s">
        <v>15</v>
      </c>
    </row>
    <row r="6" spans="1:36" ht="17.25">
      <c r="A6" s="47" t="s">
        <v>13</v>
      </c>
      <c r="B6" s="48" t="s">
        <v>141</v>
      </c>
      <c r="C6" s="20">
        <f>销量!C11</f>
        <v>10000</v>
      </c>
      <c r="D6" s="20">
        <f>销量!D11</f>
        <v>10000</v>
      </c>
      <c r="E6" s="20">
        <f>销量!E11</f>
        <v>0</v>
      </c>
      <c r="F6" s="20">
        <f>销量!F11</f>
        <v>0</v>
      </c>
      <c r="G6" s="49">
        <f t="shared" ref="G6:G15" si="0">SUM(C6:F6)</f>
        <v>20000</v>
      </c>
      <c r="R6" s="48" t="s">
        <v>3</v>
      </c>
      <c r="AH6" s="47" t="s">
        <v>13</v>
      </c>
      <c r="AI6" s="48" t="s">
        <v>3</v>
      </c>
      <c r="AJ6" s="43" t="s">
        <v>16</v>
      </c>
    </row>
    <row r="7" spans="1:36">
      <c r="A7" s="182">
        <v>1</v>
      </c>
      <c r="B7" s="48" t="s">
        <v>17</v>
      </c>
      <c r="C7" s="49">
        <f>C6*销量!C8</f>
        <v>7500000</v>
      </c>
      <c r="D7" s="49">
        <f>D6*销量!D8</f>
        <v>16440000</v>
      </c>
      <c r="E7" s="49">
        <f>E6*销量!E8</f>
        <v>0</v>
      </c>
      <c r="F7" s="49">
        <f>F6*销量!F8</f>
        <v>0</v>
      </c>
      <c r="G7" s="49">
        <f t="shared" si="0"/>
        <v>23940000</v>
      </c>
      <c r="H7" s="44"/>
      <c r="R7" s="48" t="s">
        <v>17</v>
      </c>
      <c r="AH7" s="47" t="s">
        <v>18</v>
      </c>
      <c r="AI7" s="48" t="s">
        <v>17</v>
      </c>
      <c r="AJ7" s="43" t="s">
        <v>16</v>
      </c>
    </row>
    <row r="8" spans="1:36">
      <c r="A8" s="182">
        <v>2</v>
      </c>
      <c r="B8" s="182" t="s">
        <v>19</v>
      </c>
      <c r="C8" s="49">
        <f>C7*(1-销量!$L$10)</f>
        <v>860303.92500000051</v>
      </c>
      <c r="D8" s="49">
        <f>D7*(1-销量!$L$10)</f>
        <v>1885786.2036000011</v>
      </c>
      <c r="E8" s="49">
        <f>E7*(1-销量!$L$10)</f>
        <v>0</v>
      </c>
      <c r="F8" s="49">
        <f>F7*(1-销量!$L$10)</f>
        <v>0</v>
      </c>
      <c r="G8" s="49">
        <f t="shared" si="0"/>
        <v>2746090.1286000013</v>
      </c>
      <c r="H8" s="63"/>
      <c r="R8" s="182" t="s">
        <v>21</v>
      </c>
      <c r="AH8" s="47" t="s">
        <v>20</v>
      </c>
      <c r="AI8" s="182" t="s">
        <v>21</v>
      </c>
      <c r="AJ8" s="43" t="s">
        <v>16</v>
      </c>
    </row>
    <row r="9" spans="1:36">
      <c r="A9" s="182">
        <v>3</v>
      </c>
      <c r="B9" s="48" t="s">
        <v>22</v>
      </c>
      <c r="C9" s="49">
        <f>+C7-C8</f>
        <v>6639696.0749999993</v>
      </c>
      <c r="D9" s="49">
        <f t="shared" ref="D9:E9" si="1">+D7-D8</f>
        <v>14554213.796399999</v>
      </c>
      <c r="E9" s="49">
        <f t="shared" si="1"/>
        <v>0</v>
      </c>
      <c r="F9" s="49">
        <f t="shared" ref="F9" si="2">+F7-F8</f>
        <v>0</v>
      </c>
      <c r="G9" s="49">
        <f t="shared" si="0"/>
        <v>21193909.871399999</v>
      </c>
      <c r="R9" s="48" t="s">
        <v>22</v>
      </c>
      <c r="AH9" s="47" t="s">
        <v>23</v>
      </c>
      <c r="AI9" s="48" t="s">
        <v>22</v>
      </c>
      <c r="AJ9" s="43" t="s">
        <v>24</v>
      </c>
    </row>
    <row r="10" spans="1:36">
      <c r="A10" s="182">
        <v>4</v>
      </c>
      <c r="B10" s="47" t="s">
        <v>25</v>
      </c>
      <c r="C10" s="49">
        <f>C6*材料成本!I40</f>
        <v>5435697.8533999994</v>
      </c>
      <c r="D10" s="49">
        <f>D6*材料成本!I41</f>
        <v>12815603.550386332</v>
      </c>
      <c r="E10" s="49">
        <f>E6*材料成本!I42</f>
        <v>0</v>
      </c>
      <c r="F10" s="49">
        <f>F6*材料成本!I43</f>
        <v>0</v>
      </c>
      <c r="G10" s="49">
        <f t="shared" si="0"/>
        <v>18251301.403786331</v>
      </c>
      <c r="R10" s="47" t="s">
        <v>25</v>
      </c>
      <c r="AH10" s="47" t="s">
        <v>26</v>
      </c>
      <c r="AI10" s="47" t="s">
        <v>25</v>
      </c>
      <c r="AJ10" s="43" t="s">
        <v>27</v>
      </c>
    </row>
    <row r="11" spans="1:36">
      <c r="A11" s="182">
        <v>5</v>
      </c>
      <c r="B11" s="47" t="s">
        <v>28</v>
      </c>
      <c r="C11" s="49">
        <f>+C6*C36</f>
        <v>105750</v>
      </c>
      <c r="D11" s="49">
        <f t="shared" ref="D11:E11" si="3">+D6*D36</f>
        <v>231804</v>
      </c>
      <c r="E11" s="49">
        <f t="shared" si="3"/>
        <v>0</v>
      </c>
      <c r="F11" s="49">
        <f t="shared" ref="F11" si="4">+F6*F36</f>
        <v>0</v>
      </c>
      <c r="G11" s="49">
        <f t="shared" si="0"/>
        <v>337554</v>
      </c>
      <c r="R11" s="47" t="s">
        <v>28</v>
      </c>
      <c r="AH11" s="47" t="s">
        <v>29</v>
      </c>
      <c r="AI11" s="47" t="s">
        <v>28</v>
      </c>
    </row>
    <row r="12" spans="1:36">
      <c r="A12" s="182">
        <v>6</v>
      </c>
      <c r="B12" s="47" t="s">
        <v>30</v>
      </c>
      <c r="C12" s="49">
        <f>+C6*C37</f>
        <v>450000</v>
      </c>
      <c r="D12" s="49">
        <f t="shared" ref="D12:E12" si="5">+D6*D37</f>
        <v>986400</v>
      </c>
      <c r="E12" s="49">
        <f t="shared" si="5"/>
        <v>0</v>
      </c>
      <c r="F12" s="49">
        <f t="shared" ref="F12" si="6">+F6*F37</f>
        <v>0</v>
      </c>
      <c r="G12" s="49">
        <f t="shared" si="0"/>
        <v>1436400</v>
      </c>
      <c r="R12" s="47" t="s">
        <v>30</v>
      </c>
      <c r="AH12" s="47" t="s">
        <v>31</v>
      </c>
      <c r="AI12" s="47" t="s">
        <v>30</v>
      </c>
    </row>
    <row r="13" spans="1:36">
      <c r="A13" s="182">
        <v>7</v>
      </c>
      <c r="B13" s="47" t="s">
        <v>32</v>
      </c>
      <c r="C13" s="49">
        <f>+C6*C38</f>
        <v>173250</v>
      </c>
      <c r="D13" s="49">
        <f t="shared" ref="D13:E13" si="7">+D6*D38</f>
        <v>379764</v>
      </c>
      <c r="E13" s="49">
        <f t="shared" si="7"/>
        <v>0</v>
      </c>
      <c r="F13" s="49">
        <f t="shared" ref="F13" si="8">+F6*F38</f>
        <v>0</v>
      </c>
      <c r="G13" s="49">
        <f t="shared" si="0"/>
        <v>553014</v>
      </c>
      <c r="R13" s="47" t="s">
        <v>32</v>
      </c>
      <c r="AH13" s="47" t="s">
        <v>33</v>
      </c>
      <c r="AI13" s="47" t="s">
        <v>32</v>
      </c>
      <c r="AJ13" s="43" t="s">
        <v>16</v>
      </c>
    </row>
    <row r="14" spans="1:36">
      <c r="A14" s="182">
        <v>8</v>
      </c>
      <c r="B14" s="50" t="s">
        <v>34</v>
      </c>
      <c r="C14" s="49">
        <f>SUM(C11:C13)</f>
        <v>729000</v>
      </c>
      <c r="D14" s="49">
        <f t="shared" ref="D14:F14" si="9">SUM(D11:D13)</f>
        <v>1597968</v>
      </c>
      <c r="E14" s="49">
        <f t="shared" si="9"/>
        <v>0</v>
      </c>
      <c r="F14" s="49">
        <f t="shared" si="9"/>
        <v>0</v>
      </c>
      <c r="G14" s="49">
        <f t="shared" si="0"/>
        <v>2326968</v>
      </c>
      <c r="R14" s="50" t="s">
        <v>34</v>
      </c>
      <c r="AH14" s="47" t="s">
        <v>35</v>
      </c>
      <c r="AI14" s="50" t="s">
        <v>34</v>
      </c>
    </row>
    <row r="15" spans="1:36">
      <c r="A15" s="182">
        <v>9</v>
      </c>
      <c r="B15" s="50" t="s">
        <v>36</v>
      </c>
      <c r="C15" s="49">
        <f>+C9-C10-C14</f>
        <v>474998.22159999982</v>
      </c>
      <c r="D15" s="49">
        <f t="shared" ref="D15:F15" si="10">+D9-D10-D14</f>
        <v>140642.24601366743</v>
      </c>
      <c r="E15" s="49">
        <f t="shared" si="10"/>
        <v>0</v>
      </c>
      <c r="F15" s="49">
        <f t="shared" si="10"/>
        <v>0</v>
      </c>
      <c r="G15" s="49">
        <f t="shared" si="0"/>
        <v>615640.46761366725</v>
      </c>
      <c r="R15" s="50" t="s">
        <v>36</v>
      </c>
      <c r="AH15" s="47" t="s">
        <v>37</v>
      </c>
      <c r="AI15" s="50" t="s">
        <v>36</v>
      </c>
    </row>
    <row r="16" spans="1:36">
      <c r="A16" s="182">
        <v>10</v>
      </c>
      <c r="B16" s="47" t="s">
        <v>38</v>
      </c>
      <c r="C16" s="51">
        <f>+C15/C9</f>
        <v>7.1539151225381931E-2</v>
      </c>
      <c r="D16" s="51">
        <f t="shared" ref="D16:G16" si="11">+D15/D9</f>
        <v>9.6633351674726281E-3</v>
      </c>
      <c r="E16" s="51" t="e">
        <f t="shared" si="11"/>
        <v>#DIV/0!</v>
      </c>
      <c r="F16" s="51" t="e">
        <f t="shared" si="11"/>
        <v>#DIV/0!</v>
      </c>
      <c r="G16" s="51">
        <f t="shared" si="11"/>
        <v>2.9047989320952986E-2</v>
      </c>
      <c r="R16" s="47" t="s">
        <v>38</v>
      </c>
      <c r="AH16" s="47" t="s">
        <v>39</v>
      </c>
      <c r="AI16" s="47" t="s">
        <v>38</v>
      </c>
    </row>
    <row r="17" spans="1:36">
      <c r="A17" s="182">
        <v>11</v>
      </c>
      <c r="B17" s="47" t="s">
        <v>40</v>
      </c>
      <c r="C17" s="49">
        <f>C6*C43+C18</f>
        <v>295195</v>
      </c>
      <c r="D17" s="49">
        <f t="shared" ref="D17:E17" si="12">D6*D43+D18</f>
        <v>632232.99999999988</v>
      </c>
      <c r="E17" s="49">
        <f t="shared" si="12"/>
        <v>0</v>
      </c>
      <c r="F17" s="49">
        <f t="shared" ref="F17" si="13">F6*F43+F18</f>
        <v>0</v>
      </c>
      <c r="G17" s="49">
        <f>SUM(C17:F17)</f>
        <v>927427.99999999988</v>
      </c>
      <c r="H17" s="63"/>
      <c r="R17" s="47" t="s">
        <v>40</v>
      </c>
      <c r="AH17" s="47" t="s">
        <v>41</v>
      </c>
      <c r="AI17" s="47" t="s">
        <v>40</v>
      </c>
    </row>
    <row r="18" spans="1:36" s="41" customFormat="1">
      <c r="A18" s="182">
        <v>12</v>
      </c>
      <c r="B18" s="52" t="s">
        <v>142</v>
      </c>
      <c r="C18" s="53">
        <f>$G$18/$G$6*C6</f>
        <v>12445</v>
      </c>
      <c r="D18" s="53">
        <f>$G$18/$G$6*D6</f>
        <v>12445</v>
      </c>
      <c r="E18" s="53">
        <f>$G$18/$G$6*E6</f>
        <v>0</v>
      </c>
      <c r="F18" s="53">
        <f>$G$18/$G$6*F6</f>
        <v>0</v>
      </c>
      <c r="G18" s="53">
        <f>项目投资!H26</f>
        <v>24890</v>
      </c>
      <c r="H18" s="64" t="s">
        <v>143</v>
      </c>
      <c r="I18" s="64"/>
      <c r="J18" s="64"/>
    </row>
    <row r="19" spans="1:36">
      <c r="A19" s="182">
        <v>13</v>
      </c>
      <c r="B19" s="47" t="s">
        <v>42</v>
      </c>
      <c r="C19" s="49">
        <f>C6*C44</f>
        <v>51000</v>
      </c>
      <c r="D19" s="49">
        <f t="shared" ref="D19:E19" si="14">D6*D44</f>
        <v>111792</v>
      </c>
      <c r="E19" s="49">
        <f t="shared" si="14"/>
        <v>0</v>
      </c>
      <c r="F19" s="49">
        <f t="shared" ref="F19" si="15">F6*F44</f>
        <v>0</v>
      </c>
      <c r="G19" s="49">
        <f>SUM(C19:F19)</f>
        <v>162792</v>
      </c>
      <c r="H19" s="41"/>
      <c r="R19" s="47" t="s">
        <v>42</v>
      </c>
      <c r="AH19" s="47" t="s">
        <v>43</v>
      </c>
      <c r="AI19" s="47" t="s">
        <v>42</v>
      </c>
      <c r="AJ19" s="43" t="s">
        <v>16</v>
      </c>
    </row>
    <row r="20" spans="1:36">
      <c r="A20" s="182">
        <v>14</v>
      </c>
      <c r="B20" s="47" t="s">
        <v>44</v>
      </c>
      <c r="C20" s="49">
        <f>C6*C45</f>
        <v>202500</v>
      </c>
      <c r="D20" s="49">
        <f t="shared" ref="D20:E20" si="16">D6*D45</f>
        <v>443880</v>
      </c>
      <c r="E20" s="49">
        <f t="shared" si="16"/>
        <v>0</v>
      </c>
      <c r="F20" s="49">
        <f t="shared" ref="F20" si="17">F6*F45</f>
        <v>0</v>
      </c>
      <c r="G20" s="49">
        <f>SUM(C20:F20)</f>
        <v>646380</v>
      </c>
      <c r="R20" s="47" t="s">
        <v>44</v>
      </c>
      <c r="AH20" s="47" t="s">
        <v>45</v>
      </c>
      <c r="AI20" s="47" t="s">
        <v>44</v>
      </c>
    </row>
    <row r="21" spans="1:36">
      <c r="A21" s="182">
        <v>15</v>
      </c>
      <c r="B21" s="47" t="s">
        <v>46</v>
      </c>
      <c r="C21" s="54">
        <f>$G$21/$G$6*C6</f>
        <v>18290</v>
      </c>
      <c r="D21" s="54">
        <f>$G$21/$G$6*D6</f>
        <v>18290</v>
      </c>
      <c r="E21" s="54">
        <f>$G$21/$G$6*E6</f>
        <v>0</v>
      </c>
      <c r="F21" s="54">
        <f>$G$21/$G$6*F6</f>
        <v>0</v>
      </c>
      <c r="G21" s="49">
        <f>项目投资!H27</f>
        <v>36580</v>
      </c>
      <c r="R21" s="47" t="s">
        <v>46</v>
      </c>
      <c r="AH21" s="47"/>
      <c r="AI21" s="47"/>
    </row>
    <row r="22" spans="1:36">
      <c r="A22" s="182">
        <v>16</v>
      </c>
      <c r="B22" s="47" t="s">
        <v>47</v>
      </c>
      <c r="C22" s="49">
        <f>C6*C47</f>
        <v>173100</v>
      </c>
      <c r="D22" s="49">
        <f t="shared" ref="D22:E22" si="18">D6*D47</f>
        <v>379435.2</v>
      </c>
      <c r="E22" s="49">
        <f t="shared" si="18"/>
        <v>0</v>
      </c>
      <c r="F22" s="49">
        <f t="shared" ref="F22" si="19">F6*F47</f>
        <v>0</v>
      </c>
      <c r="G22" s="49">
        <f>SUM(C22:F22)</f>
        <v>552535.19999999995</v>
      </c>
      <c r="R22" s="47" t="s">
        <v>47</v>
      </c>
      <c r="AH22" s="47" t="s">
        <v>48</v>
      </c>
      <c r="AI22" s="47" t="s">
        <v>47</v>
      </c>
    </row>
    <row r="23" spans="1:36">
      <c r="A23" s="182">
        <v>17</v>
      </c>
      <c r="B23" s="50" t="s">
        <v>49</v>
      </c>
      <c r="C23" s="54">
        <f>+C22+C21+C20+C19+C17</f>
        <v>740085</v>
      </c>
      <c r="D23" s="54">
        <f t="shared" ref="D23:G23" si="20">+D22+D21+D20+D19+D17</f>
        <v>1585630.1999999997</v>
      </c>
      <c r="E23" s="54">
        <f t="shared" si="20"/>
        <v>0</v>
      </c>
      <c r="F23" s="54">
        <f t="shared" si="20"/>
        <v>0</v>
      </c>
      <c r="G23" s="54">
        <f t="shared" si="20"/>
        <v>2325715.1999999997</v>
      </c>
      <c r="R23" s="50" t="s">
        <v>49</v>
      </c>
      <c r="AH23" s="47" t="s">
        <v>50</v>
      </c>
      <c r="AI23" s="50" t="s">
        <v>49</v>
      </c>
    </row>
    <row r="24" spans="1:36">
      <c r="A24" s="182">
        <v>18</v>
      </c>
      <c r="B24" s="55" t="s">
        <v>51</v>
      </c>
      <c r="C24" s="54">
        <f>+C15-C23</f>
        <v>-265086.77840000018</v>
      </c>
      <c r="D24" s="54">
        <f t="shared" ref="D24:G24" si="21">+D15-D23</f>
        <v>-1444987.9539863323</v>
      </c>
      <c r="E24" s="54">
        <f t="shared" si="21"/>
        <v>0</v>
      </c>
      <c r="F24" s="54">
        <f t="shared" si="21"/>
        <v>0</v>
      </c>
      <c r="G24" s="54">
        <f t="shared" si="21"/>
        <v>-1710074.7323863325</v>
      </c>
      <c r="I24" s="65"/>
      <c r="R24" s="47" t="s">
        <v>51</v>
      </c>
      <c r="AH24" s="47" t="s">
        <v>52</v>
      </c>
      <c r="AI24" s="47" t="s">
        <v>51</v>
      </c>
    </row>
    <row r="25" spans="1:36">
      <c r="A25" s="182">
        <v>19</v>
      </c>
      <c r="B25" s="47" t="s">
        <v>234</v>
      </c>
      <c r="C25" s="54">
        <f>IF(C24&lt;0,0,C24*0.15)</f>
        <v>0</v>
      </c>
      <c r="D25" s="54">
        <f>IF(D24&lt;0,0,D24*0.15)</f>
        <v>0</v>
      </c>
      <c r="E25" s="54">
        <f>IF(E24&lt;0,0,E24*0.15)</f>
        <v>0</v>
      </c>
      <c r="F25" s="54">
        <f>IF(F24&lt;0,0,F24*0.15)</f>
        <v>0</v>
      </c>
      <c r="G25" s="54">
        <f>IF(G24&lt;0,0,G24*0.15)</f>
        <v>0</v>
      </c>
      <c r="H25" s="61"/>
      <c r="I25" s="61"/>
      <c r="J25" s="61"/>
      <c r="R25" s="47" t="s">
        <v>53</v>
      </c>
      <c r="AH25" s="47" t="s">
        <v>54</v>
      </c>
      <c r="AI25" s="47" t="s">
        <v>53</v>
      </c>
    </row>
    <row r="26" spans="1:36">
      <c r="A26" s="182">
        <v>20</v>
      </c>
      <c r="B26" s="47" t="s">
        <v>55</v>
      </c>
      <c r="C26" s="54">
        <f t="shared" ref="C26:F26" si="22">C24-C25</f>
        <v>-265086.77840000018</v>
      </c>
      <c r="D26" s="54">
        <f t="shared" si="22"/>
        <v>-1444987.9539863323</v>
      </c>
      <c r="E26" s="54">
        <f t="shared" si="22"/>
        <v>0</v>
      </c>
      <c r="F26" s="54">
        <f t="shared" si="22"/>
        <v>0</v>
      </c>
      <c r="G26" s="49">
        <f>G24-G25</f>
        <v>-1710074.7323863325</v>
      </c>
      <c r="H26" s="178"/>
      <c r="I26" s="61"/>
      <c r="J26" s="61"/>
      <c r="R26" s="47" t="s">
        <v>55</v>
      </c>
      <c r="AH26" s="47" t="s">
        <v>56</v>
      </c>
      <c r="AI26" s="47" t="s">
        <v>55</v>
      </c>
    </row>
    <row r="27" spans="1:36">
      <c r="A27" s="182">
        <v>21</v>
      </c>
      <c r="B27" s="47" t="s">
        <v>59</v>
      </c>
      <c r="C27" s="124">
        <f t="shared" ref="C27:G27" si="23">C26/C7</f>
        <v>-3.5344903786666694E-2</v>
      </c>
      <c r="D27" s="124">
        <f t="shared" si="23"/>
        <v>-8.7894644403061578E-2</v>
      </c>
      <c r="E27" s="124" t="e">
        <f t="shared" si="23"/>
        <v>#DIV/0!</v>
      </c>
      <c r="F27" s="124" t="e">
        <f t="shared" si="23"/>
        <v>#DIV/0!</v>
      </c>
      <c r="G27" s="124">
        <f t="shared" si="23"/>
        <v>-7.1431693082135858E-2</v>
      </c>
      <c r="H27" s="176"/>
      <c r="I27" s="61"/>
      <c r="J27" s="61"/>
      <c r="R27" s="47" t="s">
        <v>59</v>
      </c>
      <c r="AH27" s="47" t="s">
        <v>58</v>
      </c>
      <c r="AI27" s="47" t="s">
        <v>59</v>
      </c>
    </row>
    <row r="28" spans="1:36">
      <c r="H28" s="61"/>
      <c r="I28" s="61"/>
      <c r="J28" s="61"/>
      <c r="R28" s="47"/>
    </row>
    <row r="29" spans="1:36">
      <c r="A29" s="43" t="s">
        <v>60</v>
      </c>
      <c r="G29" s="44" t="s">
        <v>144</v>
      </c>
      <c r="H29" s="61"/>
      <c r="I29" s="61"/>
      <c r="J29" s="61"/>
      <c r="R29" s="47"/>
      <c r="AH29" s="43" t="s">
        <v>60</v>
      </c>
    </row>
    <row r="30" spans="1:36">
      <c r="A30" s="47" t="s">
        <v>61</v>
      </c>
      <c r="B30" s="50" t="s">
        <v>62</v>
      </c>
      <c r="C30" s="54"/>
      <c r="D30" s="54"/>
      <c r="E30" s="54"/>
      <c r="F30" s="54"/>
      <c r="G30" s="54"/>
      <c r="H30" s="61"/>
      <c r="I30" s="61"/>
      <c r="J30" s="61"/>
      <c r="L30" s="61"/>
      <c r="R30" s="50" t="s">
        <v>62</v>
      </c>
      <c r="AH30" s="47" t="s">
        <v>63</v>
      </c>
      <c r="AI30" s="50" t="s">
        <v>62</v>
      </c>
    </row>
    <row r="31" spans="1:36">
      <c r="A31" s="182">
        <v>1</v>
      </c>
      <c r="B31" s="52" t="s">
        <v>64</v>
      </c>
      <c r="C31" s="57">
        <f>销量!C8</f>
        <v>750</v>
      </c>
      <c r="D31" s="57">
        <f>销量!D8</f>
        <v>1644</v>
      </c>
      <c r="E31" s="57">
        <f>销量!E8</f>
        <v>0</v>
      </c>
      <c r="F31" s="57">
        <f>销量!F8</f>
        <v>0</v>
      </c>
      <c r="G31" s="54"/>
      <c r="H31" s="61"/>
      <c r="I31" s="61"/>
      <c r="J31" s="61"/>
      <c r="L31" s="61"/>
      <c r="R31" s="47" t="s">
        <v>64</v>
      </c>
      <c r="AH31" s="47" t="s">
        <v>18</v>
      </c>
      <c r="AI31" s="47" t="s">
        <v>64</v>
      </c>
    </row>
    <row r="32" spans="1:36">
      <c r="A32" s="182">
        <v>2</v>
      </c>
      <c r="B32" s="47" t="s">
        <v>145</v>
      </c>
      <c r="C32" s="49">
        <f>C9/C6</f>
        <v>663.96960749999994</v>
      </c>
      <c r="D32" s="49">
        <f t="shared" ref="D32:E32" si="24">D9/D6</f>
        <v>1455.4213796399999</v>
      </c>
      <c r="E32" s="49" t="e">
        <f t="shared" si="24"/>
        <v>#DIV/0!</v>
      </c>
      <c r="F32" s="49" t="e">
        <f t="shared" ref="F32" si="25">F9/F6</f>
        <v>#DIV/0!</v>
      </c>
      <c r="G32" s="54"/>
      <c r="H32" s="61"/>
      <c r="I32" s="61"/>
      <c r="J32" s="61"/>
      <c r="K32" s="61"/>
      <c r="L32" s="61"/>
      <c r="M32" s="61"/>
      <c r="N32" s="61"/>
      <c r="AH32" s="47"/>
      <c r="AI32" s="47"/>
    </row>
    <row r="33" spans="1:35">
      <c r="A33" s="182">
        <v>3</v>
      </c>
      <c r="B33" s="52" t="s">
        <v>65</v>
      </c>
      <c r="C33" s="49">
        <f>材料成本!I40</f>
        <v>543.56978533999995</v>
      </c>
      <c r="D33" s="49">
        <f>材料成本!I41</f>
        <v>1281.5603550386331</v>
      </c>
      <c r="E33" s="49">
        <f>材料成本!I42</f>
        <v>0</v>
      </c>
      <c r="F33" s="49">
        <f>材料成本!I43</f>
        <v>0</v>
      </c>
      <c r="G33" s="54"/>
      <c r="I33" s="61"/>
      <c r="J33" s="61"/>
      <c r="K33" s="61"/>
      <c r="L33" s="61"/>
      <c r="M33" s="61"/>
      <c r="N33" s="61"/>
      <c r="R33" s="47" t="s">
        <v>65</v>
      </c>
      <c r="AH33" s="47" t="s">
        <v>20</v>
      </c>
      <c r="AI33" s="47" t="s">
        <v>65</v>
      </c>
    </row>
    <row r="34" spans="1:35" ht="17.25" customHeight="1">
      <c r="A34" s="182">
        <v>4</v>
      </c>
      <c r="B34" s="47" t="s">
        <v>67</v>
      </c>
      <c r="C34" s="58">
        <f>C32-C33</f>
        <v>120.39982215999999</v>
      </c>
      <c r="D34" s="58">
        <f t="shared" ref="D34:E34" si="26">D32-D33</f>
        <v>173.86102460136681</v>
      </c>
      <c r="E34" s="58" t="e">
        <f t="shared" si="26"/>
        <v>#DIV/0!</v>
      </c>
      <c r="F34" s="58" t="e">
        <f t="shared" ref="F34" si="27">F32-F33</f>
        <v>#DIV/0!</v>
      </c>
      <c r="G34" s="54"/>
      <c r="I34" s="61"/>
      <c r="J34" s="61"/>
      <c r="K34" s="61"/>
      <c r="L34" s="61"/>
      <c r="M34" s="61"/>
      <c r="N34" s="61"/>
      <c r="R34" s="47" t="s">
        <v>67</v>
      </c>
      <c r="AH34" s="47" t="s">
        <v>66</v>
      </c>
      <c r="AI34" s="47" t="s">
        <v>67</v>
      </c>
    </row>
    <row r="35" spans="1:35">
      <c r="A35" s="47" t="s">
        <v>63</v>
      </c>
      <c r="B35" s="50" t="s">
        <v>8</v>
      </c>
      <c r="C35" s="54"/>
      <c r="D35" s="54"/>
      <c r="E35" s="54"/>
      <c r="F35" s="54"/>
      <c r="G35" s="54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50" t="s">
        <v>8</v>
      </c>
      <c r="AH35" s="47" t="s">
        <v>69</v>
      </c>
      <c r="AI35" s="50" t="s">
        <v>8</v>
      </c>
    </row>
    <row r="36" spans="1:35">
      <c r="A36" s="182">
        <v>1</v>
      </c>
      <c r="B36" s="47" t="s">
        <v>70</v>
      </c>
      <c r="C36" s="53">
        <f>'2023年'!C36</f>
        <v>10.574999999999999</v>
      </c>
      <c r="D36" s="53">
        <f>'2023年'!D36</f>
        <v>23.180399999999999</v>
      </c>
      <c r="E36" s="53">
        <f>'2023年'!E36</f>
        <v>0</v>
      </c>
      <c r="F36" s="53">
        <f>'2023年'!F36</f>
        <v>0</v>
      </c>
      <c r="G36" s="57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47" t="s">
        <v>70</v>
      </c>
      <c r="AH36" s="47" t="s">
        <v>66</v>
      </c>
      <c r="AI36" s="47" t="s">
        <v>70</v>
      </c>
    </row>
    <row r="37" spans="1:35">
      <c r="A37" s="182">
        <v>2</v>
      </c>
      <c r="B37" s="47" t="s">
        <v>71</v>
      </c>
      <c r="C37" s="53">
        <f>'2023年'!C37</f>
        <v>45</v>
      </c>
      <c r="D37" s="53">
        <f>'2023年'!D37</f>
        <v>98.64</v>
      </c>
      <c r="E37" s="53">
        <f>'2023年'!E37</f>
        <v>0</v>
      </c>
      <c r="F37" s="53">
        <f>'2023年'!F37</f>
        <v>0</v>
      </c>
      <c r="G37" s="57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47" t="s">
        <v>71</v>
      </c>
      <c r="AH37" s="47" t="s">
        <v>23</v>
      </c>
      <c r="AI37" s="47" t="s">
        <v>71</v>
      </c>
    </row>
    <row r="38" spans="1:35">
      <c r="A38" s="182">
        <v>3</v>
      </c>
      <c r="B38" s="47" t="s">
        <v>72</v>
      </c>
      <c r="C38" s="53">
        <f>'2023年'!C38</f>
        <v>17.324999999999999</v>
      </c>
      <c r="D38" s="53">
        <f>'2023年'!D38</f>
        <v>37.976399999999998</v>
      </c>
      <c r="E38" s="53">
        <f>'2023年'!E38</f>
        <v>0</v>
      </c>
      <c r="F38" s="53">
        <f>'2023年'!F38</f>
        <v>0</v>
      </c>
      <c r="G38" s="57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47" t="s">
        <v>72</v>
      </c>
      <c r="AH38" s="47" t="s">
        <v>29</v>
      </c>
      <c r="AI38" s="47" t="s">
        <v>72</v>
      </c>
    </row>
    <row r="39" spans="1:35">
      <c r="A39" s="47" t="s">
        <v>69</v>
      </c>
      <c r="B39" s="50" t="s">
        <v>74</v>
      </c>
      <c r="C39" s="54"/>
      <c r="D39" s="54"/>
      <c r="E39" s="54"/>
      <c r="F39" s="54"/>
      <c r="G39" s="54"/>
      <c r="R39" s="50" t="s">
        <v>74</v>
      </c>
      <c r="AH39" s="47" t="s">
        <v>73</v>
      </c>
      <c r="AI39" s="50" t="s">
        <v>74</v>
      </c>
    </row>
    <row r="40" spans="1:35">
      <c r="A40" s="182">
        <v>1</v>
      </c>
      <c r="B40" s="47" t="s">
        <v>76</v>
      </c>
      <c r="C40" s="54">
        <f>C34-C36-C37-C38</f>
        <v>47.499822159999979</v>
      </c>
      <c r="D40" s="54">
        <f t="shared" ref="D40:F40" si="28">D34-D36-D37-D38</f>
        <v>14.064224601366817</v>
      </c>
      <c r="E40" s="54" t="e">
        <f t="shared" si="28"/>
        <v>#DIV/0!</v>
      </c>
      <c r="F40" s="54" t="e">
        <f t="shared" si="28"/>
        <v>#DIV/0!</v>
      </c>
      <c r="G40" s="54"/>
      <c r="R40" s="47" t="s">
        <v>76</v>
      </c>
      <c r="AH40" s="47" t="s">
        <v>18</v>
      </c>
      <c r="AI40" s="47" t="s">
        <v>76</v>
      </c>
    </row>
    <row r="41" spans="1:35">
      <c r="A41" s="182">
        <v>2</v>
      </c>
      <c r="B41" s="47" t="s">
        <v>77</v>
      </c>
      <c r="C41" s="54"/>
      <c r="D41" s="54"/>
      <c r="E41" s="54"/>
      <c r="F41" s="54"/>
      <c r="G41" s="54"/>
      <c r="R41" s="47" t="s">
        <v>77</v>
      </c>
      <c r="AH41" s="47" t="s">
        <v>20</v>
      </c>
      <c r="AI41" s="47" t="s">
        <v>77</v>
      </c>
    </row>
    <row r="42" spans="1:35">
      <c r="A42" s="47" t="s">
        <v>73</v>
      </c>
      <c r="B42" s="50" t="s">
        <v>79</v>
      </c>
      <c r="C42" s="54"/>
      <c r="D42" s="54"/>
      <c r="E42" s="54"/>
      <c r="F42" s="54"/>
      <c r="G42" s="54"/>
      <c r="R42" s="50" t="s">
        <v>79</v>
      </c>
      <c r="AH42" s="47" t="s">
        <v>78</v>
      </c>
      <c r="AI42" s="50" t="s">
        <v>79</v>
      </c>
    </row>
    <row r="43" spans="1:35">
      <c r="A43" s="182">
        <v>1</v>
      </c>
      <c r="B43" s="55" t="s">
        <v>80</v>
      </c>
      <c r="C43" s="53">
        <f>'2023年'!C43</f>
        <v>28.274999999999999</v>
      </c>
      <c r="D43" s="53">
        <f>'2023年'!D43</f>
        <v>61.978799999999993</v>
      </c>
      <c r="E43" s="53">
        <f>'2023年'!E43</f>
        <v>0</v>
      </c>
      <c r="F43" s="53">
        <f>'2023年'!F43</f>
        <v>0</v>
      </c>
      <c r="G43" s="54"/>
      <c r="R43" s="47" t="s">
        <v>80</v>
      </c>
      <c r="AH43" s="47" t="s">
        <v>18</v>
      </c>
      <c r="AI43" s="47" t="s">
        <v>80</v>
      </c>
    </row>
    <row r="44" spans="1:35">
      <c r="A44" s="182">
        <v>2</v>
      </c>
      <c r="B44" s="55" t="s">
        <v>81</v>
      </c>
      <c r="C44" s="53">
        <f>'2023年'!C44</f>
        <v>5.0999999999999996</v>
      </c>
      <c r="D44" s="53">
        <f>'2023年'!D44</f>
        <v>11.1792</v>
      </c>
      <c r="E44" s="53">
        <f>'2023年'!E44</f>
        <v>0</v>
      </c>
      <c r="F44" s="53">
        <f>'2023年'!F44</f>
        <v>0</v>
      </c>
      <c r="G44" s="54"/>
      <c r="R44" s="47" t="s">
        <v>81</v>
      </c>
      <c r="AH44" s="47" t="s">
        <v>20</v>
      </c>
      <c r="AI44" s="47" t="s">
        <v>81</v>
      </c>
    </row>
    <row r="45" spans="1:35">
      <c r="A45" s="182">
        <v>3</v>
      </c>
      <c r="B45" s="55" t="s">
        <v>82</v>
      </c>
      <c r="C45" s="53">
        <f>'2023年'!C45</f>
        <v>20.25</v>
      </c>
      <c r="D45" s="53">
        <f>'2023年'!D45</f>
        <v>44.387999999999998</v>
      </c>
      <c r="E45" s="53">
        <f>'2023年'!E45</f>
        <v>0</v>
      </c>
      <c r="F45" s="53">
        <f>'2023年'!F45</f>
        <v>0</v>
      </c>
      <c r="G45" s="54"/>
      <c r="R45" s="47" t="s">
        <v>82</v>
      </c>
      <c r="AH45" s="47" t="s">
        <v>66</v>
      </c>
      <c r="AI45" s="47" t="s">
        <v>82</v>
      </c>
    </row>
    <row r="46" spans="1:35" s="42" customFormat="1">
      <c r="A46" s="182">
        <v>4</v>
      </c>
      <c r="B46" s="55" t="s">
        <v>83</v>
      </c>
      <c r="C46" s="59">
        <f>C21/C6</f>
        <v>1.829</v>
      </c>
      <c r="D46" s="59">
        <f t="shared" ref="D46:F46" si="29">D21/D6</f>
        <v>1.829</v>
      </c>
      <c r="E46" s="59" t="e">
        <f t="shared" si="29"/>
        <v>#DIV/0!</v>
      </c>
      <c r="F46" s="59" t="e">
        <f t="shared" si="29"/>
        <v>#DIV/0!</v>
      </c>
      <c r="G46" s="59"/>
      <c r="R46" s="55" t="s">
        <v>85</v>
      </c>
      <c r="AH46" s="55" t="s">
        <v>26</v>
      </c>
      <c r="AI46" s="55" t="s">
        <v>85</v>
      </c>
    </row>
    <row r="47" spans="1:35" s="42" customFormat="1">
      <c r="A47" s="182">
        <v>5</v>
      </c>
      <c r="B47" s="55" t="s">
        <v>85</v>
      </c>
      <c r="C47" s="59">
        <f>'2023年'!C47</f>
        <v>17.309999999999999</v>
      </c>
      <c r="D47" s="59">
        <f>'2023年'!D47</f>
        <v>37.943519999999999</v>
      </c>
      <c r="E47" s="59">
        <f>'2023年'!E47</f>
        <v>0</v>
      </c>
      <c r="F47" s="59">
        <f>'2023年'!F47</f>
        <v>0</v>
      </c>
      <c r="G47" s="59"/>
      <c r="R47" s="55" t="s">
        <v>85</v>
      </c>
      <c r="AH47" s="55" t="s">
        <v>26</v>
      </c>
      <c r="AI47" s="55" t="s">
        <v>85</v>
      </c>
    </row>
    <row r="48" spans="1:35">
      <c r="A48" s="47" t="s">
        <v>78</v>
      </c>
      <c r="B48" s="50" t="s">
        <v>96</v>
      </c>
      <c r="C48" s="54">
        <f>C40-C43-C44-C45-C47-C46</f>
        <v>-25.264177840000016</v>
      </c>
      <c r="D48" s="54">
        <f t="shared" ref="D48:F48" si="30">D40-D43-D44-D45-D47-D46</f>
        <v>-143.25429539863319</v>
      </c>
      <c r="E48" s="54" t="e">
        <f t="shared" si="30"/>
        <v>#DIV/0!</v>
      </c>
      <c r="F48" s="54" t="e">
        <f t="shared" si="30"/>
        <v>#DIV/0!</v>
      </c>
      <c r="G48" s="54"/>
      <c r="R48" s="50" t="s">
        <v>96</v>
      </c>
      <c r="AH48" s="47" t="s">
        <v>95</v>
      </c>
      <c r="AI48" s="50" t="s">
        <v>96</v>
      </c>
    </row>
    <row r="51" spans="2:12">
      <c r="C51" s="60"/>
      <c r="D51" s="60"/>
      <c r="E51" s="60"/>
      <c r="F51" s="60"/>
    </row>
    <row r="54" spans="2:12">
      <c r="B54" s="61"/>
      <c r="C54" s="62"/>
      <c r="D54" s="62"/>
      <c r="E54" s="62"/>
      <c r="F54" s="62"/>
      <c r="G54" s="62"/>
      <c r="H54" s="61"/>
      <c r="I54" s="61"/>
      <c r="J54" s="61"/>
      <c r="K54" s="61"/>
      <c r="L54" s="61"/>
    </row>
    <row r="55" spans="2:12">
      <c r="B55" s="61"/>
      <c r="C55" s="62"/>
      <c r="D55" s="62"/>
      <c r="E55" s="62"/>
      <c r="F55" s="62"/>
      <c r="G55" s="62"/>
      <c r="H55" s="61"/>
      <c r="I55" s="61"/>
      <c r="J55" s="61"/>
      <c r="K55" s="61"/>
      <c r="L55" s="61"/>
    </row>
    <row r="56" spans="2:12">
      <c r="B56" s="61"/>
      <c r="C56" s="62"/>
      <c r="D56" s="62"/>
      <c r="E56" s="62"/>
      <c r="F56" s="62"/>
      <c r="G56" s="62"/>
      <c r="H56" s="61"/>
      <c r="I56" s="61"/>
      <c r="J56" s="61"/>
      <c r="K56" s="61"/>
      <c r="L56" s="61"/>
    </row>
    <row r="57" spans="2:12">
      <c r="B57" s="61"/>
      <c r="C57" s="62"/>
      <c r="D57" s="62"/>
      <c r="E57" s="62"/>
      <c r="F57" s="62"/>
      <c r="G57" s="62"/>
      <c r="H57" s="61"/>
      <c r="I57" s="61"/>
      <c r="J57" s="61"/>
      <c r="K57" s="61"/>
      <c r="L57" s="61"/>
    </row>
    <row r="58" spans="2:12">
      <c r="B58" s="61"/>
      <c r="C58" s="62"/>
      <c r="D58" s="62"/>
      <c r="E58" s="62"/>
      <c r="F58" s="62"/>
      <c r="G58" s="62"/>
      <c r="H58" s="61"/>
      <c r="I58" s="61"/>
      <c r="J58" s="61"/>
      <c r="K58" s="61"/>
      <c r="L58" s="61"/>
    </row>
    <row r="59" spans="2:12">
      <c r="B59" s="61"/>
      <c r="C59" s="62"/>
      <c r="D59" s="62"/>
      <c r="E59" s="62"/>
      <c r="F59" s="62"/>
      <c r="G59" s="62"/>
      <c r="H59" s="61"/>
      <c r="I59" s="61"/>
      <c r="J59" s="61"/>
      <c r="K59" s="61"/>
      <c r="L59" s="61"/>
    </row>
    <row r="60" spans="2:12">
      <c r="B60" s="61"/>
      <c r="C60" s="62"/>
      <c r="D60" s="62"/>
      <c r="E60" s="62"/>
      <c r="F60" s="62"/>
      <c r="G60" s="62"/>
      <c r="H60" s="61"/>
      <c r="I60" s="61"/>
      <c r="J60" s="61"/>
      <c r="K60" s="61"/>
      <c r="L60" s="61"/>
    </row>
    <row r="61" spans="2:12">
      <c r="B61" s="61"/>
      <c r="C61" s="62"/>
      <c r="D61" s="62"/>
      <c r="E61" s="62"/>
      <c r="F61" s="62"/>
      <c r="G61" s="62"/>
      <c r="H61" s="61"/>
      <c r="I61" s="61"/>
      <c r="J61" s="61"/>
      <c r="K61" s="61"/>
      <c r="L61" s="61"/>
    </row>
    <row r="62" spans="2:12">
      <c r="B62" s="61"/>
      <c r="C62" s="62"/>
      <c r="D62" s="62"/>
      <c r="E62" s="62"/>
      <c r="F62" s="62"/>
      <c r="G62" s="62"/>
      <c r="H62" s="61"/>
      <c r="I62" s="61"/>
      <c r="J62" s="61"/>
      <c r="K62" s="61"/>
      <c r="L62" s="61"/>
    </row>
    <row r="63" spans="2:12">
      <c r="B63" s="61"/>
      <c r="C63" s="62"/>
      <c r="D63" s="62"/>
      <c r="E63" s="62"/>
      <c r="F63" s="62"/>
      <c r="G63" s="62"/>
      <c r="H63" s="61"/>
      <c r="I63" s="61"/>
      <c r="J63" s="61"/>
      <c r="K63" s="61"/>
      <c r="L63" s="61"/>
    </row>
    <row r="64" spans="2:12">
      <c r="B64" s="61"/>
      <c r="C64" s="62"/>
      <c r="D64" s="62"/>
      <c r="E64" s="62"/>
      <c r="F64" s="62"/>
      <c r="G64" s="62"/>
      <c r="H64" s="61"/>
      <c r="I64" s="61"/>
      <c r="J64" s="61"/>
      <c r="K64" s="61"/>
      <c r="L64" s="61"/>
    </row>
    <row r="65" spans="2:12">
      <c r="B65" s="61"/>
      <c r="C65" s="62"/>
      <c r="D65" s="62"/>
      <c r="E65" s="62"/>
      <c r="F65" s="62"/>
      <c r="G65" s="62"/>
      <c r="H65" s="61"/>
      <c r="I65" s="61"/>
      <c r="J65" s="61"/>
      <c r="K65" s="61"/>
      <c r="L65" s="61"/>
    </row>
    <row r="66" spans="2:12">
      <c r="B66" s="61"/>
      <c r="C66" s="62"/>
      <c r="D66" s="62"/>
      <c r="E66" s="62"/>
      <c r="F66" s="62"/>
      <c r="G66" s="62"/>
      <c r="H66" s="61"/>
      <c r="I66" s="61"/>
      <c r="J66" s="61"/>
      <c r="K66" s="61"/>
      <c r="L66" s="61"/>
    </row>
    <row r="67" spans="2:12">
      <c r="B67" s="61"/>
      <c r="C67" s="62"/>
      <c r="D67" s="62"/>
      <c r="E67" s="62"/>
      <c r="F67" s="62"/>
      <c r="G67" s="62"/>
      <c r="H67" s="61"/>
    </row>
    <row r="68" spans="2:12">
      <c r="B68" s="61"/>
      <c r="C68" s="62"/>
      <c r="D68" s="62"/>
      <c r="E68" s="62"/>
      <c r="F68" s="62"/>
      <c r="G68" s="62"/>
      <c r="H68" s="61"/>
    </row>
    <row r="69" spans="2:12">
      <c r="B69" s="61"/>
      <c r="C69" s="62"/>
      <c r="D69" s="62"/>
      <c r="E69" s="62"/>
      <c r="F69" s="62"/>
      <c r="G69" s="62"/>
      <c r="H69" s="61"/>
    </row>
    <row r="70" spans="2:12">
      <c r="B70" s="61"/>
      <c r="C70" s="62"/>
      <c r="D70" s="62"/>
      <c r="E70" s="62"/>
      <c r="F70" s="62"/>
      <c r="G70" s="62"/>
      <c r="H70" s="61"/>
    </row>
    <row r="71" spans="2:12">
      <c r="B71" s="61"/>
      <c r="C71" s="62"/>
      <c r="D71" s="62"/>
      <c r="E71" s="62"/>
      <c r="F71" s="62"/>
      <c r="G71" s="62"/>
      <c r="H71" s="61"/>
    </row>
    <row r="72" spans="2:12">
      <c r="B72" s="61"/>
      <c r="C72" s="62"/>
      <c r="D72" s="62"/>
      <c r="E72" s="62"/>
      <c r="F72" s="62"/>
      <c r="G72" s="62"/>
      <c r="H72" s="61"/>
    </row>
    <row r="73" spans="2:12">
      <c r="B73" s="61"/>
      <c r="C73" s="62"/>
      <c r="D73" s="62"/>
      <c r="E73" s="62"/>
      <c r="F73" s="62"/>
      <c r="G73" s="62"/>
      <c r="H73" s="61"/>
    </row>
    <row r="74" spans="2:12">
      <c r="B74" s="61"/>
      <c r="C74" s="62"/>
      <c r="D74" s="62"/>
      <c r="E74" s="62"/>
      <c r="F74" s="62"/>
      <c r="G74" s="62"/>
      <c r="H74" s="61"/>
    </row>
  </sheetData>
  <mergeCells count="8">
    <mergeCell ref="A1:B1"/>
    <mergeCell ref="C1:G1"/>
    <mergeCell ref="A2:B2"/>
    <mergeCell ref="C2:G2"/>
    <mergeCell ref="A3:B3"/>
    <mergeCell ref="G3:G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F33" sqref="F33"/>
    </sheetView>
  </sheetViews>
  <sheetFormatPr defaultColWidth="9" defaultRowHeight="13.5"/>
  <cols>
    <col min="1" max="1" width="20.625" customWidth="1"/>
    <col min="2" max="2" width="14.25" style="24" customWidth="1"/>
    <col min="3" max="3" width="13.125" customWidth="1"/>
    <col min="4" max="6" width="14.5" customWidth="1"/>
    <col min="7" max="7" width="13.25" customWidth="1"/>
    <col min="8" max="8" width="23.25" style="227" customWidth="1"/>
    <col min="9" max="9" width="24.75" customWidth="1"/>
    <col min="10" max="10" width="14.125" customWidth="1"/>
    <col min="12" max="12" width="12" customWidth="1"/>
  </cols>
  <sheetData>
    <row r="1" spans="1:13" ht="20.25">
      <c r="A1" s="245" t="s">
        <v>146</v>
      </c>
      <c r="B1" s="245"/>
      <c r="C1" s="245"/>
      <c r="E1" s="246" t="s">
        <v>280</v>
      </c>
      <c r="F1" s="247"/>
      <c r="G1" s="247"/>
      <c r="H1" s="248"/>
      <c r="J1" s="197"/>
      <c r="K1" s="197"/>
      <c r="L1" s="197"/>
      <c r="M1" s="197"/>
    </row>
    <row r="2" spans="1:13" ht="23.45" customHeight="1">
      <c r="A2" s="25" t="s">
        <v>1</v>
      </c>
      <c r="B2" s="26" t="s">
        <v>147</v>
      </c>
      <c r="C2" s="27" t="s">
        <v>148</v>
      </c>
      <c r="E2" s="1" t="s">
        <v>149</v>
      </c>
      <c r="F2" s="1" t="s">
        <v>1</v>
      </c>
      <c r="G2" s="222" t="s">
        <v>150</v>
      </c>
      <c r="H2" s="223" t="s">
        <v>148</v>
      </c>
      <c r="J2" s="197"/>
      <c r="K2" s="197"/>
      <c r="L2" s="197"/>
      <c r="M2" s="197"/>
    </row>
    <row r="3" spans="1:13" ht="15.75" customHeight="1">
      <c r="A3" s="29" t="s">
        <v>151</v>
      </c>
      <c r="B3" s="30"/>
      <c r="C3" s="31"/>
      <c r="E3" s="253" t="s">
        <v>152</v>
      </c>
      <c r="F3" s="2" t="s">
        <v>153</v>
      </c>
      <c r="G3" s="166"/>
      <c r="H3" s="221"/>
      <c r="J3" s="197"/>
      <c r="K3" s="197"/>
      <c r="L3" s="197"/>
      <c r="M3" s="197"/>
    </row>
    <row r="4" spans="1:13" ht="15.75" customHeight="1">
      <c r="A4" s="29" t="s">
        <v>154</v>
      </c>
      <c r="B4" s="30"/>
      <c r="C4" s="32"/>
      <c r="E4" s="254"/>
      <c r="F4" s="2" t="s">
        <v>155</v>
      </c>
      <c r="G4" s="166"/>
      <c r="H4" s="221"/>
      <c r="J4" s="197"/>
      <c r="K4" s="197"/>
      <c r="L4" s="197"/>
      <c r="M4" s="197"/>
    </row>
    <row r="5" spans="1:13" ht="15.75" customHeight="1">
      <c r="A5" s="29" t="s">
        <v>156</v>
      </c>
      <c r="B5" s="33">
        <f>SUM(G3:G4)</f>
        <v>0</v>
      </c>
      <c r="C5" s="31"/>
      <c r="E5" s="255" t="s">
        <v>157</v>
      </c>
      <c r="F5" s="34" t="s">
        <v>158</v>
      </c>
      <c r="G5" s="166"/>
      <c r="H5" s="224"/>
      <c r="J5" s="197"/>
      <c r="K5" s="197"/>
      <c r="L5" s="197"/>
      <c r="M5" s="197"/>
    </row>
    <row r="6" spans="1:13" ht="15.75" customHeight="1">
      <c r="A6" s="29" t="s">
        <v>159</v>
      </c>
      <c r="B6" s="30"/>
      <c r="C6" s="31"/>
      <c r="E6" s="256"/>
      <c r="F6" s="34" t="s">
        <v>160</v>
      </c>
      <c r="G6" s="166">
        <v>9.1</v>
      </c>
      <c r="H6" s="221" t="s">
        <v>289</v>
      </c>
      <c r="J6" s="197"/>
      <c r="K6" s="197"/>
      <c r="L6" s="197"/>
      <c r="M6" s="197"/>
    </row>
    <row r="7" spans="1:13" ht="15.75" customHeight="1">
      <c r="A7" s="35" t="s">
        <v>161</v>
      </c>
      <c r="B7" s="33">
        <f>SUM(B3:B6)</f>
        <v>0</v>
      </c>
      <c r="C7" s="31"/>
      <c r="E7" s="256"/>
      <c r="F7" s="34" t="s">
        <v>162</v>
      </c>
      <c r="G7" s="166">
        <v>0</v>
      </c>
      <c r="H7" s="221"/>
      <c r="J7" s="197"/>
      <c r="K7" s="197"/>
      <c r="L7" s="197"/>
      <c r="M7" s="197"/>
    </row>
    <row r="8" spans="1:13" ht="15.75" customHeight="1">
      <c r="A8" s="36" t="s">
        <v>163</v>
      </c>
      <c r="B8" s="33">
        <f>SUM(G5:G12)</f>
        <v>13.1</v>
      </c>
      <c r="C8" s="37"/>
      <c r="E8" s="256"/>
      <c r="F8" s="34" t="s">
        <v>164</v>
      </c>
      <c r="G8" s="166">
        <v>0</v>
      </c>
      <c r="H8" s="221"/>
      <c r="J8" s="197"/>
      <c r="K8" s="197"/>
      <c r="L8" s="197"/>
      <c r="M8" s="197"/>
    </row>
    <row r="9" spans="1:13" ht="15.75" customHeight="1">
      <c r="A9" s="29" t="s">
        <v>165</v>
      </c>
      <c r="B9" s="33">
        <f>SUM(G13:G21)</f>
        <v>18.29</v>
      </c>
      <c r="C9" s="31"/>
      <c r="E9" s="256"/>
      <c r="F9" s="2" t="s">
        <v>166</v>
      </c>
      <c r="G9" s="166">
        <v>0</v>
      </c>
      <c r="H9" s="221"/>
      <c r="J9" s="197"/>
      <c r="K9" s="197"/>
      <c r="L9" s="197"/>
      <c r="M9" s="197"/>
    </row>
    <row r="10" spans="1:13" ht="15.75" customHeight="1">
      <c r="A10" s="32" t="s">
        <v>14</v>
      </c>
      <c r="B10" s="33">
        <f>B7+B8+B9</f>
        <v>31.39</v>
      </c>
      <c r="C10" s="31"/>
      <c r="E10" s="256"/>
      <c r="F10" s="2" t="s">
        <v>167</v>
      </c>
      <c r="G10" s="167">
        <v>0</v>
      </c>
      <c r="H10" s="221"/>
      <c r="J10" s="197"/>
      <c r="K10" s="197"/>
      <c r="L10" s="197"/>
      <c r="M10" s="197"/>
    </row>
    <row r="11" spans="1:13" ht="15.75" customHeight="1">
      <c r="E11" s="256"/>
      <c r="F11" s="2" t="s">
        <v>168</v>
      </c>
      <c r="G11" s="166">
        <v>1</v>
      </c>
      <c r="H11" s="221" t="s">
        <v>290</v>
      </c>
      <c r="J11" s="197"/>
      <c r="K11" s="197"/>
      <c r="L11" s="197"/>
      <c r="M11" s="197"/>
    </row>
    <row r="12" spans="1:13" ht="15.75" customHeight="1">
      <c r="E12" s="257"/>
      <c r="F12" s="2" t="s">
        <v>169</v>
      </c>
      <c r="G12" s="166">
        <v>3</v>
      </c>
      <c r="H12" s="221" t="s">
        <v>291</v>
      </c>
      <c r="J12" s="197"/>
      <c r="K12" s="197"/>
      <c r="L12" s="197"/>
      <c r="M12" s="197"/>
    </row>
    <row r="13" spans="1:13" ht="15.75" customHeight="1">
      <c r="E13" s="253" t="s">
        <v>46</v>
      </c>
      <c r="F13" s="2" t="s">
        <v>170</v>
      </c>
      <c r="G13" s="166">
        <v>0</v>
      </c>
      <c r="H13" s="221"/>
      <c r="J13" s="197"/>
      <c r="K13" s="197"/>
      <c r="L13" s="197"/>
      <c r="M13" s="197"/>
    </row>
    <row r="14" spans="1:13" ht="15.75" customHeight="1">
      <c r="E14" s="254"/>
      <c r="F14" s="2" t="s">
        <v>171</v>
      </c>
      <c r="G14" s="166">
        <v>0.7</v>
      </c>
      <c r="H14" s="221" t="s">
        <v>292</v>
      </c>
      <c r="J14" s="197"/>
      <c r="K14" s="197"/>
      <c r="L14" s="197"/>
      <c r="M14" s="197"/>
    </row>
    <row r="15" spans="1:13" ht="15.75" customHeight="1">
      <c r="E15" s="254"/>
      <c r="F15" s="2" t="s">
        <v>172</v>
      </c>
      <c r="G15" s="166">
        <v>0.13</v>
      </c>
      <c r="H15" s="221"/>
      <c r="J15" s="197"/>
      <c r="K15" s="197"/>
      <c r="L15" s="197"/>
      <c r="M15" s="197"/>
    </row>
    <row r="16" spans="1:13" ht="15.75" customHeight="1">
      <c r="E16" s="254"/>
      <c r="F16" s="2" t="s">
        <v>173</v>
      </c>
      <c r="G16" s="166">
        <v>1</v>
      </c>
      <c r="H16" s="221" t="s">
        <v>293</v>
      </c>
      <c r="J16" s="197"/>
      <c r="K16" s="197"/>
      <c r="L16" s="197"/>
      <c r="M16" s="197"/>
    </row>
    <row r="17" spans="1:13" ht="15.75" customHeight="1">
      <c r="E17" s="254"/>
      <c r="F17" s="2" t="s">
        <v>174</v>
      </c>
      <c r="G17" s="166">
        <v>2.8</v>
      </c>
      <c r="H17" s="221"/>
      <c r="J17" s="197"/>
      <c r="K17" s="197"/>
      <c r="L17" s="197"/>
      <c r="M17" s="197"/>
    </row>
    <row r="18" spans="1:13" ht="15.75" customHeight="1">
      <c r="E18" s="254"/>
      <c r="F18" s="2" t="s">
        <v>175</v>
      </c>
      <c r="G18" s="166">
        <f>0.3*50-0.2265*40</f>
        <v>5.9399999999999995</v>
      </c>
      <c r="H18" s="221" t="s">
        <v>294</v>
      </c>
      <c r="J18" s="197"/>
      <c r="K18" s="197"/>
      <c r="L18" s="197"/>
      <c r="M18" s="197"/>
    </row>
    <row r="19" spans="1:13" ht="15.75" customHeight="1">
      <c r="E19" s="254"/>
      <c r="F19" s="2" t="s">
        <v>176</v>
      </c>
      <c r="G19" s="166">
        <v>7.72</v>
      </c>
      <c r="H19" s="221" t="s">
        <v>295</v>
      </c>
      <c r="J19" s="197"/>
      <c r="K19" s="197"/>
      <c r="L19" s="197"/>
      <c r="M19" s="197"/>
    </row>
    <row r="20" spans="1:13" ht="15.75" customHeight="1">
      <c r="E20" s="254"/>
      <c r="F20" s="2" t="s">
        <v>177</v>
      </c>
      <c r="G20" s="166"/>
      <c r="H20" s="221"/>
      <c r="J20" s="197"/>
      <c r="K20" s="197"/>
      <c r="L20" s="197"/>
      <c r="M20" s="197"/>
    </row>
    <row r="21" spans="1:13" ht="15.75" customHeight="1">
      <c r="E21" s="258"/>
      <c r="F21" s="2" t="s">
        <v>124</v>
      </c>
      <c r="G21" s="166"/>
      <c r="H21" s="221"/>
      <c r="J21" s="197"/>
      <c r="K21" s="197"/>
      <c r="L21" s="197"/>
      <c r="M21" s="197"/>
    </row>
    <row r="22" spans="1:13" ht="15.75" customHeight="1">
      <c r="E22" s="1" t="s">
        <v>14</v>
      </c>
      <c r="F22" s="2"/>
      <c r="G22" s="28">
        <f>SUM(G3:G21)</f>
        <v>31.39</v>
      </c>
      <c r="H22" s="225"/>
      <c r="J22" s="198"/>
      <c r="K22" s="180"/>
      <c r="L22" s="181"/>
      <c r="M22" s="180"/>
    </row>
    <row r="23" spans="1:13" ht="30.75" customHeight="1">
      <c r="E23" s="249" t="s">
        <v>178</v>
      </c>
      <c r="F23" s="249"/>
      <c r="G23" s="249"/>
      <c r="H23" s="249"/>
    </row>
    <row r="25" spans="1:13" ht="17.25">
      <c r="A25" s="18" t="s">
        <v>1</v>
      </c>
      <c r="B25" s="18" t="s">
        <v>147</v>
      </c>
      <c r="C25" s="18" t="s">
        <v>179</v>
      </c>
      <c r="D25" s="168" t="s">
        <v>296</v>
      </c>
      <c r="E25" s="218" t="s">
        <v>180</v>
      </c>
      <c r="F25" s="218" t="s">
        <v>181</v>
      </c>
      <c r="G25" s="218" t="s">
        <v>227</v>
      </c>
      <c r="H25" s="218" t="s">
        <v>261</v>
      </c>
      <c r="I25" s="218" t="s">
        <v>14</v>
      </c>
      <c r="J25" s="19" t="s">
        <v>182</v>
      </c>
    </row>
    <row r="26" spans="1:13" ht="16.5">
      <c r="A26" s="38" t="s">
        <v>142</v>
      </c>
      <c r="B26" s="39">
        <f>(B5+B8)*10000</f>
        <v>131000</v>
      </c>
      <c r="C26" s="40">
        <v>0.05</v>
      </c>
      <c r="D26" s="12">
        <f>B26*(1-C26)/5</f>
        <v>24890</v>
      </c>
      <c r="E26" s="12">
        <f t="shared" ref="E26:F27" si="0">D26</f>
        <v>24890</v>
      </c>
      <c r="F26" s="12">
        <f t="shared" si="0"/>
        <v>24890</v>
      </c>
      <c r="G26" s="12">
        <f>F26</f>
        <v>24890</v>
      </c>
      <c r="H26" s="226">
        <f>G26</f>
        <v>24890</v>
      </c>
      <c r="I26" s="12">
        <f>SUM(D26:H26)</f>
        <v>124450</v>
      </c>
      <c r="J26" s="12">
        <f>B26*0.05</f>
        <v>6550</v>
      </c>
    </row>
    <row r="27" spans="1:13" ht="16.5">
      <c r="A27" s="38" t="s">
        <v>183</v>
      </c>
      <c r="B27" s="39">
        <f>B9*10000</f>
        <v>182900</v>
      </c>
      <c r="C27" s="12"/>
      <c r="D27" s="12">
        <f>B27/5</f>
        <v>36580</v>
      </c>
      <c r="E27" s="12">
        <f t="shared" si="0"/>
        <v>36580</v>
      </c>
      <c r="F27" s="12">
        <f t="shared" si="0"/>
        <v>36580</v>
      </c>
      <c r="G27" s="12">
        <f>F27</f>
        <v>36580</v>
      </c>
      <c r="H27" s="226">
        <f>G27</f>
        <v>36580</v>
      </c>
      <c r="I27" s="12">
        <f>SUM(D27:H27)</f>
        <v>182900</v>
      </c>
      <c r="J27" s="12"/>
    </row>
    <row r="28" spans="1:13" ht="16.5">
      <c r="A28" s="250" t="s">
        <v>104</v>
      </c>
      <c r="B28" s="251"/>
      <c r="C28" s="252"/>
      <c r="D28" s="12">
        <f>SUM(D26:D27)</f>
        <v>61470</v>
      </c>
      <c r="E28" s="12">
        <f t="shared" ref="E28:H28" si="1">SUM(E26:E27)</f>
        <v>61470</v>
      </c>
      <c r="F28" s="12">
        <f t="shared" si="1"/>
        <v>61470</v>
      </c>
      <c r="G28" s="12">
        <f t="shared" si="1"/>
        <v>61470</v>
      </c>
      <c r="H28" s="226">
        <f t="shared" si="1"/>
        <v>61470</v>
      </c>
      <c r="I28" s="228"/>
      <c r="J28" s="228"/>
    </row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2023-06-01T06:51:37Z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